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omments6.xml" ContentType="application/vnd.openxmlformats-officedocument.spreadsheetml.comments+xml"/>
  <Override PartName="/xl/drawings/drawing9.xml" ContentType="application/vnd.openxmlformats-officedocument.drawing+xml"/>
  <Override PartName="/xl/comments7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0.xml" ContentType="application/vnd.openxmlformats-officedocument.drawing+xml"/>
  <Override PartName="/xl/comments8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6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drawings/drawing11.xml" ContentType="application/vnd.openxmlformats-officedocument.drawing+xml"/>
  <Override PartName="/xl/comments9.xml" ContentType="application/vnd.openxmlformats-officedocument.spreadsheetml.comments+xml"/>
  <Override PartName="/xl/charts/chart81.xml" ContentType="application/vnd.openxmlformats-officedocument.drawingml.chart+xml"/>
  <Override PartName="/xl/drawings/drawing12.xml" ContentType="application/vnd.openxmlformats-officedocument.drawingml.chartshapes+xml"/>
  <Override PartName="/xl/charts/chart82.xml" ContentType="application/vnd.openxmlformats-officedocument.drawingml.chart+xml"/>
  <Override PartName="/xl/drawings/drawing13.xml" ContentType="application/vnd.openxmlformats-officedocument.drawingml.chartshapes+xml"/>
  <Override PartName="/xl/charts/chart83.xml" ContentType="application/vnd.openxmlformats-officedocument.drawingml.chart+xml"/>
  <Override PartName="/xl/drawings/drawing14.xml" ContentType="application/vnd.openxmlformats-officedocument.drawingml.chartshapes+xml"/>
  <Override PartName="/xl/charts/chart84.xml" ContentType="application/vnd.openxmlformats-officedocument.drawingml.chart+xml"/>
  <Override PartName="/xl/drawings/drawing15.xml" ContentType="application/vnd.openxmlformats-officedocument.drawingml.chartshapes+xml"/>
  <Override PartName="/xl/charts/chart85.xml" ContentType="application/vnd.openxmlformats-officedocument.drawingml.chart+xml"/>
  <Override PartName="/xl/drawings/drawing16.xml" ContentType="application/vnd.openxmlformats-officedocument.drawingml.chartshapes+xml"/>
  <Override PartName="/xl/charts/chart86.xml" ContentType="application/vnd.openxmlformats-officedocument.drawingml.chart+xml"/>
  <Override PartName="/xl/drawings/drawing17.xml" ContentType="application/vnd.openxmlformats-officedocument.drawingml.chartshapes+xml"/>
  <Override PartName="/xl/charts/chart87.xml" ContentType="application/vnd.openxmlformats-officedocument.drawingml.chart+xml"/>
  <Override PartName="/xl/drawings/drawing18.xml" ContentType="application/vnd.openxmlformats-officedocument.drawingml.chartshapes+xml"/>
  <Override PartName="/xl/charts/chart88.xml" ContentType="application/vnd.openxmlformats-officedocument.drawingml.chart+xml"/>
  <Override PartName="/xl/drawings/drawing19.xml" ContentType="application/vnd.openxmlformats-officedocument.drawingml.chartshapes+xml"/>
  <Override PartName="/xl/charts/chart89.xml" ContentType="application/vnd.openxmlformats-officedocument.drawingml.chart+xml"/>
  <Override PartName="/xl/drawings/drawing20.xml" ContentType="application/vnd.openxmlformats-officedocument.drawingml.chartshapes+xml"/>
  <Override PartName="/xl/charts/chart90.xml" ContentType="application/vnd.openxmlformats-officedocument.drawingml.chart+xml"/>
  <Override PartName="/xl/drawings/drawing21.xml" ContentType="application/vnd.openxmlformats-officedocument.drawingml.chartshapes+xml"/>
  <Override PartName="/xl/charts/chart91.xml" ContentType="application/vnd.openxmlformats-officedocument.drawingml.chart+xml"/>
  <Override PartName="/xl/drawings/drawing22.xml" ContentType="application/vnd.openxmlformats-officedocument.drawingml.chartshapes+xml"/>
  <Override PartName="/xl/charts/chart92.xml" ContentType="application/vnd.openxmlformats-officedocument.drawingml.chart+xml"/>
  <Override PartName="/xl/drawings/drawing23.xml" ContentType="application/vnd.openxmlformats-officedocument.drawingml.chartshapes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drawings/drawing24.xml" ContentType="application/vnd.openxmlformats-officedocument.drawingml.chartshapes+xml"/>
  <Override PartName="/xl/charts/chart97.xml" ContentType="application/vnd.openxmlformats-officedocument.drawingml.chart+xml"/>
  <Override PartName="/xl/drawings/drawing25.xml" ContentType="application/vnd.openxmlformats-officedocument.drawingml.chartshapes+xml"/>
  <Override PartName="/xl/charts/chart98.xml" ContentType="application/vnd.openxmlformats-officedocument.drawingml.chart+xml"/>
  <Override PartName="/xl/drawings/drawing26.xml" ContentType="application/vnd.openxmlformats-officedocument.drawingml.chartshapes+xml"/>
  <Override PartName="/xl/charts/chart99.xml" ContentType="application/vnd.openxmlformats-officedocument.drawingml.chart+xml"/>
  <Override PartName="/xl/drawings/drawing27.xml" ContentType="application/vnd.openxmlformats-officedocument.drawingml.chartshapes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drawings/drawing28.xml" ContentType="application/vnd.openxmlformats-officedocument.drawingml.chartshapes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drawings/drawing29.xml" ContentType="application/vnd.openxmlformats-officedocument.drawingml.chartshapes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drawings/drawing30.xml" ContentType="application/vnd.openxmlformats-officedocument.drawingml.chartshapes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drawings/drawing31.xml" ContentType="application/vnd.openxmlformats-officedocument.drawingml.chartshapes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drawings/drawing32.xml" ContentType="application/vnd.openxmlformats-officedocument.drawingml.chartshapes+xml"/>
  <Override PartName="/xl/charts/chart112.xml" ContentType="application/vnd.openxmlformats-officedocument.drawingml.chart+xml"/>
  <Override PartName="/xl/drawings/drawing33.xml" ContentType="application/vnd.openxmlformats-officedocument.drawingml.chartshapes+xml"/>
  <Override PartName="/xl/charts/chart113.xml" ContentType="application/vnd.openxmlformats-officedocument.drawingml.chart+xml"/>
  <Override PartName="/xl/drawings/drawing34.xml" ContentType="application/vnd.openxmlformats-officedocument.drawingml.chartshapes+xml"/>
  <Override PartName="/xl/charts/chart114.xml" ContentType="application/vnd.openxmlformats-officedocument.drawingml.chart+xml"/>
  <Override PartName="/xl/drawings/drawing35.xml" ContentType="application/vnd.openxmlformats-officedocument.drawingml.chartshapes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drawings/drawing36.xml" ContentType="application/vnd.openxmlformats-officedocument.drawingml.chartshapes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drawings/drawing37.xml" ContentType="application/vnd.openxmlformats-officedocument.drawingml.chartshapes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drawings/drawing38.xml" ContentType="application/vnd.openxmlformats-officedocument.drawingml.chartshapes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drawings/drawing39.xml" ContentType="application/vnd.openxmlformats-officedocument.drawingml.chartshapes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drawings/drawing40.xml" ContentType="application/vnd.openxmlformats-officedocument.drawingml.chartshapes+xml"/>
  <Override PartName="/xl/charts/chart125.xml" ContentType="application/vnd.openxmlformats-officedocument.drawingml.chart+xml"/>
  <Override PartName="/xl/theme/themeOverride1.xml" ContentType="application/vnd.openxmlformats-officedocument.themeOverride+xml"/>
  <Override PartName="/xl/drawings/drawing41.xml" ContentType="application/vnd.openxmlformats-officedocument.drawingml.chartshapes+xml"/>
  <Override PartName="/xl/charts/chart12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8.xml" ContentType="application/vnd.openxmlformats-officedocument.drawingml.chart+xml"/>
  <Override PartName="/xl/drawings/drawing42.xml" ContentType="application/vnd.openxmlformats-officedocument.drawing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drawings/drawing43.xml" ContentType="application/vnd.openxmlformats-officedocument.drawing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4.xml" ContentType="application/vnd.openxmlformats-officedocument.drawing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5.xml" ContentType="application/vnd.openxmlformats-officedocument.drawing+xml"/>
  <Override PartName="/xl/charts/chart146.xml" ContentType="application/vnd.openxmlformats-officedocument.drawingml.chart+xml"/>
  <Override PartName="/xl/comments10.xml" ContentType="application/vnd.openxmlformats-officedocument.spreadsheetml.comments+xml"/>
  <Override PartName="/xl/drawings/drawing46.xml" ContentType="application/vnd.openxmlformats-officedocument.drawing+xml"/>
  <Override PartName="/xl/comments11.xml" ContentType="application/vnd.openxmlformats-officedocument.spreadsheetml.comments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47.xml" ContentType="application/vnd.openxmlformats-officedocument.drawing+xml"/>
  <Override PartName="/xl/comments12.xml" ContentType="application/vnd.openxmlformats-officedocument.spreadsheetml.comments+xml"/>
  <Override PartName="/xl/threadedComments/threadedComment1.xml" ContentType="application/vnd.ms-excel.threadedcomments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63.xml" ContentType="application/vnd.openxmlformats-officedocument.drawingml.chart+xml"/>
  <Override PartName="/xl/drawings/drawing48.xml" ContentType="application/vnd.openxmlformats-officedocument.drawing+xml"/>
  <Override PartName="/xl/comments13.xml" ContentType="application/vnd.openxmlformats-officedocument.spreadsheetml.comments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66.xml" ContentType="application/vnd.openxmlformats-officedocument.drawingml.chart+xml"/>
  <Override PartName="/xl/drawings/drawing49.xml" ContentType="application/vnd.openxmlformats-officedocument.drawing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drawings/drawing50.xml" ContentType="application/vnd.openxmlformats-officedocument.drawing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drawings/drawing51.xml" ContentType="application/vnd.openxmlformats-officedocument.drawing+xml"/>
  <Override PartName="/xl/charts/chart172.xml" ContentType="application/vnd.openxmlformats-officedocument.drawingml.chart+xml"/>
  <Override PartName="/xl/drawings/drawing52.xml" ContentType="application/vnd.openxmlformats-officedocument.drawingml.chartshapes+xml"/>
  <Override PartName="/xl/charts/chart173.xml" ContentType="application/vnd.openxmlformats-officedocument.drawingml.chart+xml"/>
  <Override PartName="/xl/drawings/drawing53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git\cecaf\2026_hom.pelnord\bootstrap\initial\data\init\2026\"/>
    </mc:Choice>
  </mc:AlternateContent>
  <xr:revisionPtr revIDLastSave="0" documentId="13_ncr:1_{927F5AFB-2D9B-4119-8C82-7EFF8C3FC4A5}" xr6:coauthVersionLast="47" xr6:coauthVersionMax="47" xr10:uidLastSave="{00000000-0000-0000-0000-000000000000}"/>
  <bookViews>
    <workbookView xWindow="-108" yWindow="-108" windowWidth="23256" windowHeight="13896" tabRatio="833" firstSheet="2" activeTab="7" xr2:uid="{00000000-000D-0000-FFFF-FFFF00000000}"/>
  </bookViews>
  <sheets>
    <sheet name="Tab&amp;Fig4.2.1" sheetId="1" r:id="rId1"/>
    <sheet name="Tab&amp;Fig4.2.2-4.3.1a" sheetId="2" r:id="rId2"/>
    <sheet name="Tab&amp;Fig4.3.1b" sheetId="3" r:id="rId3"/>
    <sheet name="Tab&amp;Fig4.3.2b-OUT" sheetId="6" r:id="rId4"/>
    <sheet name="Tab&amp;Fig4.3.2cOUT" sheetId="7" r:id="rId5"/>
    <sheet name="Tab&amp;Fig4.3.2dOUT" sheetId="8" r:id="rId6"/>
    <sheet name="Tab&amp;Fig4.3.2aB" sheetId="5" r:id="rId7"/>
    <sheet name="Tab&amp;Fig4.3.2eOUT" sheetId="57" r:id="rId8"/>
    <sheet name="Tab4.4.1+4.4.2+4.4.3SAMPLING" sheetId="79" r:id="rId9"/>
    <sheet name="Tab&amp;Fig4.5.1a, b, c" sheetId="91" r:id="rId10"/>
    <sheet name="Tab&amp;Fig4.5.1b  et c" sheetId="54" r:id="rId11"/>
    <sheet name="Feuil18" sheetId="113" state="hidden" r:id="rId12"/>
    <sheet name="Feuil1" sheetId="96" state="hidden" r:id="rId13"/>
    <sheet name="Feuil2" sheetId="97" state="hidden" r:id="rId14"/>
    <sheet name="Feuil3" sheetId="98" state="hidden" r:id="rId15"/>
    <sheet name="Tab&amp;Fig4.5.1b  et c_Picturatus" sheetId="95" r:id="rId16"/>
    <sheet name="Feuil4" sheetId="99" state="hidden" r:id="rId17"/>
    <sheet name="Tab&amp;Fig4.5.1,dout" sheetId="56" state="hidden" r:id="rId18"/>
    <sheet name="Feuil5" sheetId="100" state="hidden" r:id="rId19"/>
    <sheet name="Tab&amp;Fig4.5.1eout" sheetId="39" state="hidden" r:id="rId20"/>
    <sheet name="Feuil6" sheetId="101" state="hidden" r:id="rId21"/>
    <sheet name="Tab&amp;Fig4.5.1f" sheetId="38" r:id="rId22"/>
    <sheet name="Feuil23" sheetId="118" state="hidden" r:id="rId23"/>
    <sheet name="Feuil24" sheetId="119" state="hidden" r:id="rId24"/>
    <sheet name="Feuil25" sheetId="120" state="hidden" r:id="rId25"/>
    <sheet name="Feuil26" sheetId="121" state="hidden" r:id="rId26"/>
    <sheet name="Feuil19" sheetId="114" state="hidden" r:id="rId27"/>
    <sheet name="Feuil20" sheetId="115" state="hidden" r:id="rId28"/>
    <sheet name="Feuil21" sheetId="116" state="hidden" r:id="rId29"/>
    <sheet name="Feuil22" sheetId="117" state="hidden" r:id="rId30"/>
    <sheet name="Feuil7" sheetId="102" state="hidden" r:id="rId31"/>
    <sheet name="Tab&amp;Fig4.5.1gout" sheetId="52" state="hidden" r:id="rId32"/>
    <sheet name="Feuil8" sheetId="103" state="hidden" r:id="rId33"/>
    <sheet name="Tab&amp;fig4.6.1 a" sheetId="80" r:id="rId34"/>
    <sheet name="Tab&amp;Fig4.6.1b" sheetId="10" r:id="rId35"/>
    <sheet name="Feuil9" sheetId="104" state="hidden" r:id="rId36"/>
    <sheet name="Tab&amp;Fig4.6.2a" sheetId="81" r:id="rId37"/>
    <sheet name="Feuil10" sheetId="105" state="hidden" r:id="rId38"/>
    <sheet name="Feuil11" sheetId="106" state="hidden" r:id="rId39"/>
    <sheet name="Tab&amp;Fig4.6.2b" sheetId="11" r:id="rId40"/>
    <sheet name="Feuil12" sheetId="107" state="hidden" r:id="rId41"/>
    <sheet name="Tab&amp;Fig4.6.3" sheetId="71" r:id="rId42"/>
    <sheet name="Tab&amp;Fig4.6.4" sheetId="70" r:id="rId43"/>
    <sheet name="Feuil13" sheetId="108" state="hidden" r:id="rId44"/>
    <sheet name="Tab&amp;FigTT4.7.1a" sheetId="76" r:id="rId45"/>
    <sheet name="Feuil14" sheetId="109" state="hidden" r:id="rId46"/>
    <sheet name="Tab&amp;FigTtre4.7.2" sheetId="78" r:id="rId47"/>
    <sheet name="Feuil16" sheetId="111" state="hidden" r:id="rId48"/>
    <sheet name="Feuil15" sheetId="110" state="hidden" r:id="rId49"/>
    <sheet name="Feuil17" sheetId="112" state="hidden" r:id="rId50"/>
  </sheets>
  <externalReferences>
    <externalReference r:id="rId51"/>
  </externalReferences>
  <definedNames>
    <definedName name="_">'Tab&amp;FigTT4.7.1a'!$B$10</definedName>
    <definedName name="_Res2" localSheetId="15">#REF!</definedName>
    <definedName name="_Res2">#REF!</definedName>
    <definedName name="aaaa">'Tab&amp;FigTtre4.7.2'!$B$14</definedName>
    <definedName name="AbIndexFirst">#REF!</definedName>
    <definedName name="AverageAbIndex">#REF!</definedName>
    <definedName name="AverageBiomass">#REF!</definedName>
    <definedName name="AverageCPUE">#REF!</definedName>
    <definedName name="B_BMSY" localSheetId="15">#REF!</definedName>
    <definedName name="B_BMSY">#REF!</definedName>
    <definedName name="BI" localSheetId="15">#REF!</definedName>
    <definedName name="BI">#REF!</definedName>
    <definedName name="Bi_BMSY" localSheetId="15">#REF!</definedName>
    <definedName name="Bi_BMSY">#REF!</definedName>
    <definedName name="BI_K" localSheetId="15">#REF!</definedName>
    <definedName name="BI_K">#REF!</definedName>
    <definedName name="BI_K_Initial">#REF!</definedName>
    <definedName name="Biomass">'Tab&amp;FigTT4.7.1a'!$E$22:$E$125</definedName>
    <definedName name="BiomassChange" localSheetId="15">#REF!</definedName>
    <definedName name="BiomassChange">#REF!</definedName>
    <definedName name="BiomassFirst">#REF!</definedName>
    <definedName name="BMSY" localSheetId="15">#REF!</definedName>
    <definedName name="BMSY">#REF!</definedName>
    <definedName name="Catch" localSheetId="44">'Tab&amp;FigTT4.7.1a'!$F$22:$F$122</definedName>
    <definedName name="Catch" localSheetId="46">'Tab&amp;FigTtre4.7.2'!$F$16:$F$121</definedName>
    <definedName name="CatchabilityGuess">#REF!</definedName>
    <definedName name="CiCalc" localSheetId="15">OFFSET(Ci,0,0,NClasses,1)</definedName>
    <definedName name="CiCalc">OFFSET(Ci,0,0,NClasses,1)</definedName>
    <definedName name="CPUEFirst">#REF!</definedName>
    <definedName name="Current_Stock" localSheetId="15">#REF!</definedName>
    <definedName name="Current_Stock">#REF!</definedName>
    <definedName name="Current_SustProd" localSheetId="15">#REF!</definedName>
    <definedName name="Current_SustProd">#REF!</definedName>
    <definedName name="CurrentPercProd" localSheetId="15">#REF!</definedName>
    <definedName name="CurrentPercProd">#REF!</definedName>
    <definedName name="CurY" localSheetId="15">#REF!</definedName>
    <definedName name="CurY">#REF!</definedName>
    <definedName name="d">#REF!</definedName>
    <definedName name="_xlnm.Database">#REF!</definedName>
    <definedName name="DataSet" localSheetId="15">#REF!</definedName>
    <definedName name="DataSet">#REF!</definedName>
    <definedName name="DBCur" localSheetId="15">#REF!</definedName>
    <definedName name="DBCur">#REF!</definedName>
    <definedName name="DevMean" localSheetId="15">#REF!</definedName>
    <definedName name="DevMean">#REF!</definedName>
    <definedName name="dff">#REF!</definedName>
    <definedName name="Diagnostics">#REF!</definedName>
    <definedName name="DiNatCalc" localSheetId="15">OFFSET(DiNatural,0,0,NClasses,1)</definedName>
    <definedName name="DiNatCalc">OFFSET(DiNatural,0,0,NClasses,1)</definedName>
    <definedName name="Disagreement" localSheetId="15">#REF!</definedName>
    <definedName name="Disagreement">#REF!</definedName>
    <definedName name="DT">#REF!</definedName>
    <definedName name="EnvEffectType" localSheetId="15">#REF!</definedName>
    <definedName name="EnvEffectType">#REF!</definedName>
    <definedName name="EnvironmentEffect" localSheetId="15">#REF!</definedName>
    <definedName name="EnvironmentEffect">#REF!</definedName>
    <definedName name="EnvironmentLevel" localSheetId="15">#REF!</definedName>
    <definedName name="EnvironmentLevel">#REF!</definedName>
    <definedName name="EnvMultiplier" localSheetId="15">#REF!</definedName>
    <definedName name="EnvMultiplier">#REF!</definedName>
    <definedName name="f">'Tab&amp;FigTtre4.7.2'!$G$22:$G$120</definedName>
    <definedName name="Fcur" localSheetId="15">#REF!</definedName>
    <definedName name="Fcur">#REF!</definedName>
    <definedName name="Fcur_FSYCurB" localSheetId="15">#REF!</definedName>
    <definedName name="Fcur_FSYCurB">#REF!</definedName>
    <definedName name="fdg">#REF!</definedName>
    <definedName name="ff">'Tab&amp;FigTtre4.7.2'!$D$22:$D$120</definedName>
    <definedName name="ffff">'Tab&amp;FigTT4.7.1a'!$G$21:$G$121</definedName>
    <definedName name="fg">#REF!</definedName>
    <definedName name="Fi" localSheetId="15">#REF!</definedName>
    <definedName name="Fi">#REF!</definedName>
    <definedName name="Fi_FSYi" localSheetId="15">#REF!</definedName>
    <definedName name="Fi_FSYi">#REF!</definedName>
    <definedName name="FiCalc" localSheetId="15">OFFSET('Tab&amp;Fig4.5.1b  et c_Picturatus'!Fi,0,0,NClasses,1)</definedName>
    <definedName name="FiCalc">OFFSET(Fi,0,0,NClasses,1)</definedName>
    <definedName name="FirstYear">'Tab&amp;FigTT4.7.1a'!$B$9</definedName>
    <definedName name="FMSY" localSheetId="15">#REF!</definedName>
    <definedName name="FMSY">#REF!</definedName>
    <definedName name="FMSY_Fcur" localSheetId="15">#REF!</definedName>
    <definedName name="FMSY_Fcur">#REF!</definedName>
    <definedName name="FMSY_Fi" localSheetId="15">#REF!</definedName>
    <definedName name="FMSY_Fi">#REF!</definedName>
    <definedName name="FormulaRebuildObservations">#REF!</definedName>
    <definedName name="FractionOfYear">#REF!</definedName>
    <definedName name="FSYCurB" localSheetId="15">#REF!</definedName>
    <definedName name="FSYCurB">#REF!</definedName>
    <definedName name="FSYi" localSheetId="15">#REF!</definedName>
    <definedName name="FSYi">#REF!</definedName>
    <definedName name="FValues" localSheetId="15">#REF!</definedName>
    <definedName name="FValues">#REF!</definedName>
    <definedName name="GrowthFactor" localSheetId="15">#REF!</definedName>
    <definedName name="GrowthFactor">#REF!</definedName>
    <definedName name="hg">#REF!</definedName>
    <definedName name="Index" localSheetId="15">#REF!</definedName>
    <definedName name="Index">#REF!</definedName>
    <definedName name="Initial_Value">#REF!</definedName>
    <definedName name="K" localSheetId="15">#REF!</definedName>
    <definedName name="K">#REF!</definedName>
    <definedName name="K_Average" localSheetId="15">#REF!</definedName>
    <definedName name="K_Average">#REF!</definedName>
    <definedName name="K_Constraints">#REF!</definedName>
    <definedName name="K_Guess">#REF!</definedName>
    <definedName name="K_Precautionary">#REF!</definedName>
    <definedName name="K_Use">#REF!</definedName>
    <definedName name="K_Year" localSheetId="15">#REF!</definedName>
    <definedName name="K_Year">#REF!</definedName>
    <definedName name="LargeValue" localSheetId="15">#REF!</definedName>
    <definedName name="LargeValue">#REF!</definedName>
    <definedName name="LiCalc" localSheetId="15">OFFSET(Li,0,0,NClasses,1)</definedName>
    <definedName name="LiCalc">OFFSET(Li,0,0,NClasses,1)</definedName>
    <definedName name="Ln_qi">#REF!</definedName>
    <definedName name="LnRelVal" localSheetId="15">#REF!</definedName>
    <definedName name="LnRelVal">#REF!</definedName>
    <definedName name="Max_Value">#REF!</definedName>
    <definedName name="MeanAbIndex">#REF!</definedName>
    <definedName name="MeanCPUE" localSheetId="15">#REF!</definedName>
    <definedName name="MeanCPUE">#REF!</definedName>
    <definedName name="Min_Value">#REF!</definedName>
    <definedName name="mmmmmmmm">'Tab&amp;FigTT4.7.1a'!$B$9</definedName>
    <definedName name="MSY" localSheetId="15">#REF!</definedName>
    <definedName name="MSY">#REF!</definedName>
    <definedName name="n" localSheetId="41">'Tab&amp;Fig4.6.3'!#REF!</definedName>
    <definedName name="n" localSheetId="42">'Tab&amp;Fig4.6.4'!$A$46:$A$95</definedName>
    <definedName name="n" localSheetId="44">'Tab&amp;FigTT4.7.1a'!$A$22:$A$123</definedName>
    <definedName name="n" localSheetId="46">'Tab&amp;FigTtre4.7.2'!$A$26:$A$126</definedName>
    <definedName name="NaturalProduction" localSheetId="15">#REF!</definedName>
    <definedName name="NaturalProduction">#REF!</definedName>
    <definedName name="NBoot">#REF!</definedName>
    <definedName name="NiCalc" localSheetId="15">OFFSET(Ni,0,0,NClasses,1)</definedName>
    <definedName name="NiCalc">OFFSET(Ni,0,0,NClasses,1)</definedName>
    <definedName name="NotApplicable" localSheetId="15">#REF!</definedName>
    <definedName name="NotApplicable">#REF!</definedName>
    <definedName name="NumObservations">#REF!</definedName>
    <definedName name="NumYears" localSheetId="15">#REF!</definedName>
    <definedName name="NumYears">#REF!</definedName>
    <definedName name="NumYearsData">'Tab&amp;FigTT4.7.1a'!$B$5</definedName>
    <definedName name="Nvalid">#REF!</definedName>
    <definedName name="Nyears" localSheetId="44">'Tab&amp;FigTT4.7.1a'!#REF!</definedName>
    <definedName name="Nyears" localSheetId="46">'Tab&amp;FigTtre4.7.2'!$B$5</definedName>
    <definedName name="Objective" localSheetId="15">#REF!</definedName>
    <definedName name="Objective">#REF!</definedName>
    <definedName name="ObsAbIndex">#REF!</definedName>
    <definedName name="ObsCatch" localSheetId="15">#REF!</definedName>
    <definedName name="ObsCatch">#REF!</definedName>
    <definedName name="ObsCPUE" localSheetId="15">#REF!</definedName>
    <definedName name="ObsCPUE">#REF!</definedName>
    <definedName name="ok">'Tab&amp;FigTT4.7.1a'!$B$6</definedName>
    <definedName name="Parameters" localSheetId="15">#REF!</definedName>
    <definedName name="Parameters">#REF!</definedName>
    <definedName name="ParametersDerived">#REF!</definedName>
    <definedName name="ParameterSet">#REF!</definedName>
    <definedName name="ParameterSets">#REF!</definedName>
    <definedName name="PredAbIndex">#REF!</definedName>
    <definedName name="PredAbIndxRelative" localSheetId="44">'Tab&amp;FigTT4.7.1a'!#REF!</definedName>
    <definedName name="PredAbIndxRelative" localSheetId="46">'Tab&amp;FigTtre4.7.2'!$J$16:$J$121</definedName>
    <definedName name="PredCPUE" localSheetId="15">#REF!</definedName>
    <definedName name="PredCPUE">#REF!</definedName>
    <definedName name="PredFromMean" localSheetId="15">#REF!</definedName>
    <definedName name="PredFromMean">#REF!</definedName>
    <definedName name="Predicted" localSheetId="15">#REF!</definedName>
    <definedName name="Predicted">#REF!</definedName>
    <definedName name="PredictedBiomass" localSheetId="15">#REF!</definedName>
    <definedName name="PredictedBiomass">#REF!</definedName>
    <definedName name="PredictedBiomassAvg" localSheetId="41">'Tab&amp;Fig4.6.3'!$Z$40:$Z$89</definedName>
    <definedName name="PredictedBiomassEnd">#REF!</definedName>
    <definedName name="PredictedBiomassFractionYear">#REF!</definedName>
    <definedName name="PredictedBiomassMidYear" localSheetId="41">'Tab&amp;Fig4.6.3'!$R$43:$R$89</definedName>
    <definedName name="PredictedBiomassStart">#REF!</definedName>
    <definedName name="PredictedBoot" localSheetId="15">#REF!</definedName>
    <definedName name="PredictedBoot">#REF!</definedName>
    <definedName name="q" localSheetId="15">#REF!</definedName>
    <definedName name="q">#REF!</definedName>
    <definedName name="q_estimated">#REF!</definedName>
    <definedName name="q_Estimation">#REF!</definedName>
    <definedName name="q_fixed">#REF!</definedName>
    <definedName name="QualityLastYears">#REF!</definedName>
    <definedName name="r_" localSheetId="15">#REF!</definedName>
    <definedName name="r_">#REF!</definedName>
    <definedName name="r_Average" localSheetId="15">#REF!</definedName>
    <definedName name="r_Average">#REF!</definedName>
    <definedName name="r_Constraints">#REF!</definedName>
    <definedName name="r_Precautionary">#REF!</definedName>
    <definedName name="r_Use">#REF!</definedName>
    <definedName name="r_Year" localSheetId="15">#REF!</definedName>
    <definedName name="r_Year">#REF!</definedName>
    <definedName name="Ratio">#REF!</definedName>
    <definedName name="RelativeValues" localSheetId="15">#REF!</definedName>
    <definedName name="RelativeValues">#REF!</definedName>
    <definedName name="ResampledBoot" localSheetId="15">#REF!</definedName>
    <definedName name="ResampledBoot">#REF!</definedName>
    <definedName name="ResidualResampled" localSheetId="15">#REF!</definedName>
    <definedName name="ResidualResampled">#REF!</definedName>
    <definedName name="Residuals" localSheetId="15">#REF!</definedName>
    <definedName name="Residuals">#REF!</definedName>
    <definedName name="RPearsonAbIndices">#REF!</definedName>
    <definedName name="RPearsonCPUEs" localSheetId="15">#REF!</definedName>
    <definedName name="RPearsonCPUEs">#REF!</definedName>
    <definedName name="s">'Tab&amp;FigTT4.7.1a'!$C$22:$C$125</definedName>
    <definedName name="Scaling" localSheetId="15">#REF!</definedName>
    <definedName name="Scaling">#REF!</definedName>
    <definedName name="SetObs" localSheetId="15">#REF!</definedName>
    <definedName name="SetObs">#REF!</definedName>
    <definedName name="SetProj">'Tab&amp;FigTT4.7.1a'!$B$4</definedName>
    <definedName name="SmallValue" localSheetId="15">#REF!</definedName>
    <definedName name="SmallValue">#REF!</definedName>
    <definedName name="SolverRange">#REF!</definedName>
    <definedName name="SolverSettings">#REF!</definedName>
    <definedName name="ssss">'Tab&amp;FigTtre4.7.2'!$B$9</definedName>
    <definedName name="ssssssssssssssssss" localSheetId="15">#REF!</definedName>
    <definedName name="ssssssssssssssssss">#REF!</definedName>
    <definedName name="SumDevMean" localSheetId="15">#REF!</definedName>
    <definedName name="SumDevMean">#REF!</definedName>
    <definedName name="SumLnQ">#REF!</definedName>
    <definedName name="SumPredFromMean" localSheetId="15">#REF!</definedName>
    <definedName name="SumPredFromMean">#REF!</definedName>
    <definedName name="SustainableCatch" localSheetId="44">'Tab&amp;FigTT4.7.1a'!$G$22:$G$122</definedName>
    <definedName name="SustainableCatch" localSheetId="46">'Tab&amp;FigTtre4.7.2'!$G$16:$G$121</definedName>
    <definedName name="szs" localSheetId="15">#REF!</definedName>
    <definedName name="szs">#REF!</definedName>
    <definedName name="TabCatchAge" localSheetId="15">#REF!</definedName>
    <definedName name="TabCatchAge">#REF!</definedName>
    <definedName name="Time" localSheetId="15">#REF!</definedName>
    <definedName name="Time">#REF!</definedName>
    <definedName name="TimeGlobal" localSheetId="44">'Tab&amp;FigTT4.7.1a'!$D$21:$D$121</definedName>
    <definedName name="TimeGlobal" localSheetId="46">'Tab&amp;FigTtre4.7.2'!$D$22:$D$121</definedName>
    <definedName name="Tolerance_Ratio">#REF!</definedName>
    <definedName name="U0.1" localSheetId="15">#REF!</definedName>
    <definedName name="U0.1">#REF!</definedName>
    <definedName name="UMSY">'Tab&amp;FigTtre4.7.2'!$B$13</definedName>
    <definedName name="Valid" localSheetId="15">#REF!</definedName>
    <definedName name="Valid">#REF!</definedName>
    <definedName name="Weights" localSheetId="15">#REF!</definedName>
    <definedName name="Weights">#REF!</definedName>
    <definedName name="Y_RValues" localSheetId="15">#REF!</definedName>
    <definedName name="Y_RValues">#REF!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5" l="1"/>
  <c r="G22" i="5"/>
  <c r="G31" i="5"/>
  <c r="MV54" i="80"/>
  <c r="NN32" i="80"/>
  <c r="MW54" i="80"/>
  <c r="MX54" i="80"/>
  <c r="MY54" i="80"/>
  <c r="MZ54" i="80"/>
  <c r="NA54" i="80"/>
  <c r="NB54" i="80"/>
  <c r="NC54" i="80"/>
  <c r="ND54" i="80"/>
  <c r="NE54" i="80"/>
  <c r="NF54" i="80"/>
  <c r="NG54" i="80"/>
  <c r="NH54" i="80"/>
  <c r="NI54" i="80"/>
  <c r="NU54" i="80"/>
  <c r="NP37" i="80"/>
  <c r="AN4" i="10"/>
  <c r="AK13" i="10"/>
  <c r="II51" i="91" l="1"/>
  <c r="II53" i="91" s="1"/>
  <c r="W26" i="2" l="1"/>
  <c r="I27" i="71"/>
  <c r="I26" i="71"/>
  <c r="I25" i="71"/>
  <c r="I24" i="71"/>
  <c r="I23" i="71"/>
  <c r="I22" i="71"/>
  <c r="I21" i="71"/>
  <c r="I20" i="71"/>
  <c r="I19" i="71"/>
  <c r="I18" i="71"/>
  <c r="I17" i="71"/>
  <c r="I16" i="71"/>
  <c r="I15" i="71"/>
  <c r="I14" i="71"/>
  <c r="I13" i="71"/>
  <c r="I12" i="71"/>
  <c r="I11" i="71"/>
  <c r="I10" i="71"/>
  <c r="I9" i="71"/>
  <c r="AK78" i="1" l="1"/>
  <c r="AL78" i="1" l="1"/>
  <c r="AL52" i="1"/>
  <c r="AO13" i="1" l="1"/>
  <c r="AO37" i="1" l="1"/>
  <c r="DS65" i="79" l="1"/>
  <c r="DR48" i="79"/>
  <c r="HN57" i="54" l="1"/>
  <c r="AL13" i="11"/>
  <c r="AK13" i="11"/>
  <c r="IY30" i="81"/>
  <c r="IU19" i="81"/>
  <c r="IS5" i="81"/>
  <c r="IT5" i="81"/>
  <c r="IU5" i="81"/>
  <c r="IV5" i="81"/>
  <c r="IW5" i="81"/>
  <c r="IX5" i="81"/>
  <c r="IY5" i="81"/>
  <c r="IZ5" i="81"/>
  <c r="JA5" i="81"/>
  <c r="JB5" i="81"/>
  <c r="JC5" i="81"/>
  <c r="JD5" i="81"/>
  <c r="IS6" i="81"/>
  <c r="IT6" i="81"/>
  <c r="IU6" i="81"/>
  <c r="IV6" i="81"/>
  <c r="IW6" i="81"/>
  <c r="IX6" i="81"/>
  <c r="IY6" i="81"/>
  <c r="IZ6" i="81"/>
  <c r="JA6" i="81"/>
  <c r="JB6" i="81"/>
  <c r="JC6" i="81"/>
  <c r="JD6" i="81"/>
  <c r="IS7" i="81"/>
  <c r="IT7" i="81"/>
  <c r="IU7" i="81"/>
  <c r="IV7" i="81"/>
  <c r="IW7" i="81"/>
  <c r="IX7" i="81"/>
  <c r="IY7" i="81"/>
  <c r="IZ7" i="81"/>
  <c r="JA7" i="81"/>
  <c r="JB7" i="81"/>
  <c r="JC7" i="81"/>
  <c r="JD7" i="81"/>
  <c r="IS8" i="81"/>
  <c r="IT8" i="81"/>
  <c r="IU8" i="81"/>
  <c r="IV8" i="81"/>
  <c r="IW8" i="81"/>
  <c r="IX8" i="81"/>
  <c r="IY8" i="81"/>
  <c r="IZ8" i="81"/>
  <c r="JA8" i="81"/>
  <c r="JB8" i="81"/>
  <c r="JC8" i="81"/>
  <c r="JD8" i="81"/>
  <c r="IS9" i="81"/>
  <c r="IT9" i="81"/>
  <c r="IU9" i="81"/>
  <c r="IV9" i="81"/>
  <c r="IW9" i="81"/>
  <c r="IX9" i="81"/>
  <c r="IY9" i="81"/>
  <c r="IZ9" i="81"/>
  <c r="JA9" i="81"/>
  <c r="JB9" i="81"/>
  <c r="JC9" i="81"/>
  <c r="JD9" i="81"/>
  <c r="IS10" i="81"/>
  <c r="IT10" i="81"/>
  <c r="IU10" i="81"/>
  <c r="IV10" i="81"/>
  <c r="IW10" i="81"/>
  <c r="IX10" i="81"/>
  <c r="IY10" i="81"/>
  <c r="IZ10" i="81"/>
  <c r="JA10" i="81"/>
  <c r="JB10" i="81"/>
  <c r="JC10" i="81"/>
  <c r="JD10" i="81"/>
  <c r="IS11" i="81"/>
  <c r="IT11" i="81"/>
  <c r="IU11" i="81"/>
  <c r="IV11" i="81"/>
  <c r="IW11" i="81"/>
  <c r="IX11" i="81"/>
  <c r="IY11" i="81"/>
  <c r="IZ11" i="81"/>
  <c r="JA11" i="81"/>
  <c r="JB11" i="81"/>
  <c r="JC11" i="81"/>
  <c r="JD11" i="81"/>
  <c r="IS12" i="81"/>
  <c r="IT12" i="81"/>
  <c r="IU12" i="81"/>
  <c r="IV12" i="81"/>
  <c r="IW12" i="81"/>
  <c r="IX12" i="81"/>
  <c r="IY12" i="81"/>
  <c r="IZ12" i="81"/>
  <c r="JA12" i="81"/>
  <c r="JB12" i="81"/>
  <c r="JC12" i="81"/>
  <c r="JD12" i="81"/>
  <c r="IS13" i="81"/>
  <c r="IT13" i="81"/>
  <c r="IU13" i="81"/>
  <c r="IV13" i="81"/>
  <c r="IW13" i="81"/>
  <c r="IX13" i="81"/>
  <c r="IY13" i="81"/>
  <c r="IZ13" i="81"/>
  <c r="JA13" i="81"/>
  <c r="JB13" i="81"/>
  <c r="JC13" i="81"/>
  <c r="JD13" i="81"/>
  <c r="IS14" i="81"/>
  <c r="IT14" i="81"/>
  <c r="IU14" i="81"/>
  <c r="IV14" i="81"/>
  <c r="IW14" i="81"/>
  <c r="IX14" i="81"/>
  <c r="IY14" i="81"/>
  <c r="IZ14" i="81"/>
  <c r="JA14" i="81"/>
  <c r="JB14" i="81"/>
  <c r="JC14" i="81"/>
  <c r="JD14" i="81"/>
  <c r="IS15" i="81"/>
  <c r="IT15" i="81"/>
  <c r="IU15" i="81"/>
  <c r="IV15" i="81"/>
  <c r="IW15" i="81"/>
  <c r="IX15" i="81"/>
  <c r="IY15" i="81"/>
  <c r="IZ15" i="81"/>
  <c r="JA15" i="81"/>
  <c r="JB15" i="81"/>
  <c r="JC15" i="81"/>
  <c r="JD15" i="81"/>
  <c r="IS16" i="81"/>
  <c r="IT16" i="81"/>
  <c r="IU16" i="81"/>
  <c r="IV16" i="81"/>
  <c r="IW16" i="81"/>
  <c r="IX16" i="81"/>
  <c r="IY16" i="81"/>
  <c r="IZ16" i="81"/>
  <c r="JA16" i="81"/>
  <c r="JB16" i="81"/>
  <c r="JC16" i="81"/>
  <c r="JD16" i="81"/>
  <c r="IS17" i="81"/>
  <c r="IT17" i="81"/>
  <c r="IU17" i="81"/>
  <c r="IV17" i="81"/>
  <c r="IW17" i="81"/>
  <c r="IX17" i="81"/>
  <c r="IY17" i="81"/>
  <c r="IZ17" i="81"/>
  <c r="JA17" i="81"/>
  <c r="JB17" i="81"/>
  <c r="JC17" i="81"/>
  <c r="JD17" i="81"/>
  <c r="IS18" i="81"/>
  <c r="IT18" i="81"/>
  <c r="IU18" i="81"/>
  <c r="IV18" i="81"/>
  <c r="IW18" i="81"/>
  <c r="IX18" i="81"/>
  <c r="IY18" i="81"/>
  <c r="IZ18" i="81"/>
  <c r="JA18" i="81"/>
  <c r="JB18" i="81"/>
  <c r="JC18" i="81"/>
  <c r="JD18" i="81"/>
  <c r="IS19" i="81"/>
  <c r="IT19" i="81"/>
  <c r="IV19" i="81"/>
  <c r="IW19" i="81"/>
  <c r="IX19" i="81"/>
  <c r="IY19" i="81"/>
  <c r="IZ19" i="81"/>
  <c r="JA19" i="81"/>
  <c r="JB19" i="81"/>
  <c r="JC19" i="81"/>
  <c r="JD19" i="81"/>
  <c r="IS20" i="81"/>
  <c r="IT20" i="81"/>
  <c r="IU20" i="81"/>
  <c r="IV20" i="81"/>
  <c r="IW20" i="81"/>
  <c r="IX20" i="81"/>
  <c r="IY20" i="81"/>
  <c r="IZ20" i="81"/>
  <c r="JA20" i="81"/>
  <c r="JB20" i="81"/>
  <c r="JC20" i="81"/>
  <c r="JD20" i="81"/>
  <c r="IS21" i="81"/>
  <c r="IT21" i="81"/>
  <c r="IU21" i="81"/>
  <c r="IV21" i="81"/>
  <c r="IW21" i="81"/>
  <c r="IX21" i="81"/>
  <c r="IY21" i="81"/>
  <c r="IZ21" i="81"/>
  <c r="JA21" i="81"/>
  <c r="JB21" i="81"/>
  <c r="JC21" i="81"/>
  <c r="JD21" i="81"/>
  <c r="IS22" i="81"/>
  <c r="IT22" i="81"/>
  <c r="IU22" i="81"/>
  <c r="IV22" i="81"/>
  <c r="IW22" i="81"/>
  <c r="IX22" i="81"/>
  <c r="IY22" i="81"/>
  <c r="IZ22" i="81"/>
  <c r="JA22" i="81"/>
  <c r="JB22" i="81"/>
  <c r="JC22" i="81"/>
  <c r="JD22" i="81"/>
  <c r="IS23" i="81"/>
  <c r="IT23" i="81"/>
  <c r="IU23" i="81"/>
  <c r="IV23" i="81"/>
  <c r="IW23" i="81"/>
  <c r="IX23" i="81"/>
  <c r="IY23" i="81"/>
  <c r="IZ23" i="81"/>
  <c r="JA23" i="81"/>
  <c r="JB23" i="81"/>
  <c r="JC23" i="81"/>
  <c r="JD23" i="81"/>
  <c r="IS24" i="81"/>
  <c r="IT24" i="81"/>
  <c r="IU24" i="81"/>
  <c r="IV24" i="81"/>
  <c r="IW24" i="81"/>
  <c r="IX24" i="81"/>
  <c r="IY24" i="81"/>
  <c r="IZ24" i="81"/>
  <c r="JA24" i="81"/>
  <c r="JB24" i="81"/>
  <c r="JC24" i="81"/>
  <c r="JD24" i="81"/>
  <c r="IS25" i="81"/>
  <c r="IT25" i="81"/>
  <c r="IU25" i="81"/>
  <c r="IV25" i="81"/>
  <c r="IW25" i="81"/>
  <c r="IX25" i="81"/>
  <c r="IY25" i="81"/>
  <c r="IZ25" i="81"/>
  <c r="JA25" i="81"/>
  <c r="JB25" i="81"/>
  <c r="JC25" i="81"/>
  <c r="JD25" i="81"/>
  <c r="IS26" i="81"/>
  <c r="IT26" i="81"/>
  <c r="IU26" i="81"/>
  <c r="IV26" i="81"/>
  <c r="IW26" i="81"/>
  <c r="IX26" i="81"/>
  <c r="IY26" i="81"/>
  <c r="IZ26" i="81"/>
  <c r="JA26" i="81"/>
  <c r="JB26" i="81"/>
  <c r="JC26" i="81"/>
  <c r="JD26" i="81"/>
  <c r="IS27" i="81"/>
  <c r="IT27" i="81"/>
  <c r="IU27" i="81"/>
  <c r="IV27" i="81"/>
  <c r="IW27" i="81"/>
  <c r="IX27" i="81"/>
  <c r="IY27" i="81"/>
  <c r="IZ27" i="81"/>
  <c r="JA27" i="81"/>
  <c r="JB27" i="81"/>
  <c r="JC27" i="81"/>
  <c r="JD27" i="81"/>
  <c r="IS28" i="81"/>
  <c r="IT28" i="81"/>
  <c r="IU28" i="81"/>
  <c r="IV28" i="81"/>
  <c r="IW28" i="81"/>
  <c r="IX28" i="81"/>
  <c r="IY28" i="81"/>
  <c r="IZ28" i="81"/>
  <c r="JA28" i="81"/>
  <c r="JB28" i="81"/>
  <c r="JC28" i="81"/>
  <c r="JD28" i="81"/>
  <c r="IS29" i="81"/>
  <c r="IT29" i="81"/>
  <c r="IU29" i="81"/>
  <c r="IV29" i="81"/>
  <c r="IW29" i="81"/>
  <c r="IX29" i="81"/>
  <c r="IY29" i="81"/>
  <c r="IZ29" i="81"/>
  <c r="JA29" i="81"/>
  <c r="JB29" i="81"/>
  <c r="JC29" i="81"/>
  <c r="JD29" i="81"/>
  <c r="IS30" i="81"/>
  <c r="IT30" i="81"/>
  <c r="IU30" i="81"/>
  <c r="IV30" i="81"/>
  <c r="IW30" i="81"/>
  <c r="IX30" i="81"/>
  <c r="IZ30" i="81"/>
  <c r="JA30" i="81"/>
  <c r="JB30" i="81"/>
  <c r="JC30" i="81"/>
  <c r="JD30" i="81"/>
  <c r="IS31" i="81"/>
  <c r="IT31" i="81"/>
  <c r="IU31" i="81"/>
  <c r="IV31" i="81"/>
  <c r="IW31" i="81"/>
  <c r="IX31" i="81"/>
  <c r="IY31" i="81"/>
  <c r="IZ31" i="81"/>
  <c r="JA31" i="81"/>
  <c r="JB31" i="81"/>
  <c r="JC31" i="81"/>
  <c r="JD31" i="81"/>
  <c r="IS32" i="81"/>
  <c r="IT32" i="81"/>
  <c r="IU32" i="81"/>
  <c r="IV32" i="81"/>
  <c r="IW32" i="81"/>
  <c r="IX32" i="81"/>
  <c r="IY32" i="81"/>
  <c r="IZ32" i="81"/>
  <c r="JA32" i="81"/>
  <c r="JB32" i="81"/>
  <c r="JC32" i="81"/>
  <c r="JD32" i="81"/>
  <c r="IS33" i="81"/>
  <c r="IT33" i="81"/>
  <c r="IU33" i="81"/>
  <c r="IV33" i="81"/>
  <c r="IW33" i="81"/>
  <c r="IX33" i="81"/>
  <c r="IY33" i="81"/>
  <c r="IZ33" i="81"/>
  <c r="JA33" i="81"/>
  <c r="JB33" i="81"/>
  <c r="JC33" i="81"/>
  <c r="JD33" i="81"/>
  <c r="IS34" i="81"/>
  <c r="IT34" i="81"/>
  <c r="IU34" i="81"/>
  <c r="IV34" i="81"/>
  <c r="IW34" i="81"/>
  <c r="IX34" i="81"/>
  <c r="IY34" i="81"/>
  <c r="IZ34" i="81"/>
  <c r="JA34" i="81"/>
  <c r="JB34" i="81"/>
  <c r="JC34" i="81"/>
  <c r="JD34" i="81"/>
  <c r="IS35" i="81"/>
  <c r="IT35" i="81"/>
  <c r="IU35" i="81"/>
  <c r="IV35" i="81"/>
  <c r="IW35" i="81"/>
  <c r="IX35" i="81"/>
  <c r="IY35" i="81"/>
  <c r="IZ35" i="81"/>
  <c r="JA35" i="81"/>
  <c r="JB35" i="81"/>
  <c r="JC35" i="81"/>
  <c r="JD35" i="81"/>
  <c r="IS36" i="81"/>
  <c r="IT36" i="81"/>
  <c r="IU36" i="81"/>
  <c r="IV36" i="81"/>
  <c r="IW36" i="81"/>
  <c r="IX36" i="81"/>
  <c r="IY36" i="81"/>
  <c r="IZ36" i="81"/>
  <c r="JA36" i="81"/>
  <c r="JB36" i="81"/>
  <c r="JC36" i="81"/>
  <c r="JD36" i="81"/>
  <c r="IS37" i="81"/>
  <c r="IT37" i="81"/>
  <c r="IU37" i="81"/>
  <c r="IV37" i="81"/>
  <c r="IW37" i="81"/>
  <c r="IX37" i="81"/>
  <c r="IY37" i="81"/>
  <c r="IZ37" i="81"/>
  <c r="JA37" i="81"/>
  <c r="JB37" i="81"/>
  <c r="JC37" i="81"/>
  <c r="JD37" i="81"/>
  <c r="IS38" i="81"/>
  <c r="IT38" i="81"/>
  <c r="IU38" i="81"/>
  <c r="IV38" i="81"/>
  <c r="IW38" i="81"/>
  <c r="IX38" i="81"/>
  <c r="IY38" i="81"/>
  <c r="IZ38" i="81"/>
  <c r="JA38" i="81"/>
  <c r="JB38" i="81"/>
  <c r="JC38" i="81"/>
  <c r="JD38" i="81"/>
  <c r="IS39" i="81"/>
  <c r="IT39" i="81"/>
  <c r="IU39" i="81"/>
  <c r="IV39" i="81"/>
  <c r="IW39" i="81"/>
  <c r="IX39" i="81"/>
  <c r="IY39" i="81"/>
  <c r="IZ39" i="81"/>
  <c r="JA39" i="81"/>
  <c r="JB39" i="81"/>
  <c r="JC39" i="81"/>
  <c r="JD39" i="81"/>
  <c r="IS40" i="81"/>
  <c r="IT40" i="81"/>
  <c r="IU40" i="81"/>
  <c r="IV40" i="81"/>
  <c r="IW40" i="81"/>
  <c r="IX40" i="81"/>
  <c r="IY40" i="81"/>
  <c r="IZ40" i="81"/>
  <c r="JA40" i="81"/>
  <c r="JB40" i="81"/>
  <c r="JC40" i="81"/>
  <c r="JD40" i="81"/>
  <c r="IT4" i="81"/>
  <c r="IS52" i="81" s="1"/>
  <c r="IU4" i="81"/>
  <c r="IS53" i="81" s="1"/>
  <c r="IV4" i="81"/>
  <c r="IS54" i="81" s="1"/>
  <c r="IW4" i="81"/>
  <c r="IS55" i="81" s="1"/>
  <c r="IX4" i="81"/>
  <c r="IS56" i="81" s="1"/>
  <c r="IY4" i="81"/>
  <c r="IS57" i="81" s="1"/>
  <c r="IZ4" i="81"/>
  <c r="IS58" i="81" s="1"/>
  <c r="JA4" i="81"/>
  <c r="JA51" i="81" s="1"/>
  <c r="JB4" i="81"/>
  <c r="JB51" i="81" s="1"/>
  <c r="JC4" i="81"/>
  <c r="JC51" i="81" s="1"/>
  <c r="JD4" i="81"/>
  <c r="JD51" i="81" s="1"/>
  <c r="IS4" i="81"/>
  <c r="IS51" i="81" s="1"/>
  <c r="IS59" i="81" l="1"/>
  <c r="NV54" i="80"/>
  <c r="NW54" i="80"/>
  <c r="NJ11" i="80"/>
  <c r="NK11" i="80"/>
  <c r="NL11" i="80"/>
  <c r="NM11" i="80"/>
  <c r="NN11" i="80"/>
  <c r="NO11" i="80"/>
  <c r="NP11" i="80"/>
  <c r="NQ11" i="80"/>
  <c r="NR11" i="80"/>
  <c r="NS11" i="80"/>
  <c r="NT11" i="80"/>
  <c r="NJ12" i="80"/>
  <c r="NK12" i="80"/>
  <c r="NL12" i="80"/>
  <c r="NM12" i="80"/>
  <c r="NN12" i="80"/>
  <c r="NO12" i="80"/>
  <c r="NP12" i="80"/>
  <c r="NQ12" i="80"/>
  <c r="NR12" i="80"/>
  <c r="NS12" i="80"/>
  <c r="NT12" i="80"/>
  <c r="NJ13" i="80"/>
  <c r="NK13" i="80"/>
  <c r="NL13" i="80"/>
  <c r="NM13" i="80"/>
  <c r="NN13" i="80"/>
  <c r="NO13" i="80"/>
  <c r="NP13" i="80"/>
  <c r="NQ13" i="80"/>
  <c r="NR13" i="80"/>
  <c r="NS13" i="80"/>
  <c r="NT13" i="80"/>
  <c r="NJ14" i="80"/>
  <c r="NK14" i="80"/>
  <c r="NL14" i="80"/>
  <c r="NM14" i="80"/>
  <c r="NN14" i="80"/>
  <c r="NO14" i="80"/>
  <c r="NP14" i="80"/>
  <c r="NQ14" i="80"/>
  <c r="NR14" i="80"/>
  <c r="NS14" i="80"/>
  <c r="NT14" i="80"/>
  <c r="NJ15" i="80"/>
  <c r="NK15" i="80"/>
  <c r="NL15" i="80"/>
  <c r="NM15" i="80"/>
  <c r="NN15" i="80"/>
  <c r="NO15" i="80"/>
  <c r="NP15" i="80"/>
  <c r="NQ15" i="80"/>
  <c r="NR15" i="80"/>
  <c r="NS15" i="80"/>
  <c r="NT15" i="80"/>
  <c r="NJ16" i="80"/>
  <c r="NK16" i="80"/>
  <c r="NL16" i="80"/>
  <c r="NM16" i="80"/>
  <c r="NN16" i="80"/>
  <c r="NO16" i="80"/>
  <c r="NP16" i="80"/>
  <c r="NQ16" i="80"/>
  <c r="NR16" i="80"/>
  <c r="NS16" i="80"/>
  <c r="NT16" i="80"/>
  <c r="NJ17" i="80"/>
  <c r="NK17" i="80"/>
  <c r="NL17" i="80"/>
  <c r="NM17" i="80"/>
  <c r="NN17" i="80"/>
  <c r="NO17" i="80"/>
  <c r="NP17" i="80"/>
  <c r="NQ17" i="80"/>
  <c r="NR17" i="80"/>
  <c r="NS17" i="80"/>
  <c r="NT17" i="80"/>
  <c r="NJ18" i="80"/>
  <c r="NK18" i="80"/>
  <c r="NL18" i="80"/>
  <c r="NM18" i="80"/>
  <c r="NN18" i="80"/>
  <c r="NO18" i="80"/>
  <c r="NP18" i="80"/>
  <c r="NQ18" i="80"/>
  <c r="NR18" i="80"/>
  <c r="NS18" i="80"/>
  <c r="NT18" i="80"/>
  <c r="NJ19" i="80"/>
  <c r="NK19" i="80"/>
  <c r="NL19" i="80"/>
  <c r="NM19" i="80"/>
  <c r="NN19" i="80"/>
  <c r="NO19" i="80"/>
  <c r="NP19" i="80"/>
  <c r="NQ19" i="80"/>
  <c r="NR19" i="80"/>
  <c r="NS19" i="80"/>
  <c r="NT19" i="80"/>
  <c r="NJ20" i="80"/>
  <c r="NK20" i="80"/>
  <c r="NL20" i="80"/>
  <c r="NM20" i="80"/>
  <c r="NN20" i="80"/>
  <c r="NO20" i="80"/>
  <c r="NP20" i="80"/>
  <c r="NQ20" i="80"/>
  <c r="NR20" i="80"/>
  <c r="NS20" i="80"/>
  <c r="NT20" i="80"/>
  <c r="NJ21" i="80"/>
  <c r="NK21" i="80"/>
  <c r="NL21" i="80"/>
  <c r="NM21" i="80"/>
  <c r="NN21" i="80"/>
  <c r="NO21" i="80"/>
  <c r="NP21" i="80"/>
  <c r="NQ21" i="80"/>
  <c r="NR21" i="80"/>
  <c r="NS21" i="80"/>
  <c r="NT21" i="80"/>
  <c r="NJ22" i="80"/>
  <c r="NK22" i="80"/>
  <c r="NL22" i="80"/>
  <c r="NM22" i="80"/>
  <c r="NN22" i="80"/>
  <c r="NO22" i="80"/>
  <c r="NP22" i="80"/>
  <c r="NQ22" i="80"/>
  <c r="NR22" i="80"/>
  <c r="NS22" i="80"/>
  <c r="NT22" i="80"/>
  <c r="NJ23" i="80"/>
  <c r="NK23" i="80"/>
  <c r="NL23" i="80"/>
  <c r="NM23" i="80"/>
  <c r="NN23" i="80"/>
  <c r="NO23" i="80"/>
  <c r="NP23" i="80"/>
  <c r="NQ23" i="80"/>
  <c r="NR23" i="80"/>
  <c r="NS23" i="80"/>
  <c r="NT23" i="80"/>
  <c r="NJ24" i="80"/>
  <c r="NK24" i="80"/>
  <c r="NL24" i="80"/>
  <c r="NM24" i="80"/>
  <c r="NN24" i="80"/>
  <c r="NO24" i="80"/>
  <c r="NP24" i="80"/>
  <c r="NQ24" i="80"/>
  <c r="NR24" i="80"/>
  <c r="NS24" i="80"/>
  <c r="NT24" i="80"/>
  <c r="NJ25" i="80"/>
  <c r="NK25" i="80"/>
  <c r="NL25" i="80"/>
  <c r="NM25" i="80"/>
  <c r="NN25" i="80"/>
  <c r="NO25" i="80"/>
  <c r="NP25" i="80"/>
  <c r="NQ25" i="80"/>
  <c r="NR25" i="80"/>
  <c r="NS25" i="80"/>
  <c r="NT25" i="80"/>
  <c r="NJ26" i="80"/>
  <c r="NK26" i="80"/>
  <c r="NL26" i="80"/>
  <c r="NM26" i="80"/>
  <c r="NN26" i="80"/>
  <c r="NO26" i="80"/>
  <c r="NP26" i="80"/>
  <c r="NQ26" i="80"/>
  <c r="NR26" i="80"/>
  <c r="NS26" i="80"/>
  <c r="NT26" i="80"/>
  <c r="NJ27" i="80"/>
  <c r="NK27" i="80"/>
  <c r="NL27" i="80"/>
  <c r="NM27" i="80"/>
  <c r="NN27" i="80"/>
  <c r="NO27" i="80"/>
  <c r="NP27" i="80"/>
  <c r="NQ27" i="80"/>
  <c r="NR27" i="80"/>
  <c r="NS27" i="80"/>
  <c r="NT27" i="80"/>
  <c r="NJ28" i="80"/>
  <c r="NK28" i="80"/>
  <c r="NL28" i="80"/>
  <c r="NM28" i="80"/>
  <c r="NN28" i="80"/>
  <c r="NO28" i="80"/>
  <c r="NP28" i="80"/>
  <c r="NQ28" i="80"/>
  <c r="NR28" i="80"/>
  <c r="NS28" i="80"/>
  <c r="NT28" i="80"/>
  <c r="NJ29" i="80"/>
  <c r="NK29" i="80"/>
  <c r="NL29" i="80"/>
  <c r="NM29" i="80"/>
  <c r="NN29" i="80"/>
  <c r="NO29" i="80"/>
  <c r="NP29" i="80"/>
  <c r="NQ29" i="80"/>
  <c r="NR29" i="80"/>
  <c r="NS29" i="80"/>
  <c r="NT29" i="80"/>
  <c r="NJ30" i="80"/>
  <c r="NK30" i="80"/>
  <c r="NL30" i="80"/>
  <c r="NM30" i="80"/>
  <c r="NN30" i="80"/>
  <c r="NO30" i="80"/>
  <c r="NP30" i="80"/>
  <c r="NQ30" i="80"/>
  <c r="NR30" i="80"/>
  <c r="NS30" i="80"/>
  <c r="NT30" i="80"/>
  <c r="NJ31" i="80"/>
  <c r="NK31" i="80"/>
  <c r="NL31" i="80"/>
  <c r="NM31" i="80"/>
  <c r="NN31" i="80"/>
  <c r="NO31" i="80"/>
  <c r="NP31" i="80"/>
  <c r="NQ31" i="80"/>
  <c r="NR31" i="80"/>
  <c r="NS31" i="80"/>
  <c r="NT31" i="80"/>
  <c r="NJ32" i="80"/>
  <c r="NK32" i="80"/>
  <c r="NL32" i="80"/>
  <c r="NM32" i="80"/>
  <c r="NO32" i="80"/>
  <c r="NP32" i="80"/>
  <c r="NQ32" i="80"/>
  <c r="NR32" i="80"/>
  <c r="NS32" i="80"/>
  <c r="NT32" i="80"/>
  <c r="NJ33" i="80"/>
  <c r="NK33" i="80"/>
  <c r="NL33" i="80"/>
  <c r="NM33" i="80"/>
  <c r="NN33" i="80"/>
  <c r="NO33" i="80"/>
  <c r="NP33" i="80"/>
  <c r="NQ33" i="80"/>
  <c r="NR33" i="80"/>
  <c r="NS33" i="80"/>
  <c r="NT33" i="80"/>
  <c r="NJ34" i="80"/>
  <c r="NK34" i="80"/>
  <c r="NL34" i="80"/>
  <c r="NM34" i="80"/>
  <c r="NN34" i="80"/>
  <c r="NO34" i="80"/>
  <c r="NP34" i="80"/>
  <c r="NQ34" i="80"/>
  <c r="NR34" i="80"/>
  <c r="NS34" i="80"/>
  <c r="NT34" i="80"/>
  <c r="NJ35" i="80"/>
  <c r="NK35" i="80"/>
  <c r="NL35" i="80"/>
  <c r="NM35" i="80"/>
  <c r="NN35" i="80"/>
  <c r="NO35" i="80"/>
  <c r="NP35" i="80"/>
  <c r="NQ35" i="80"/>
  <c r="NR35" i="80"/>
  <c r="NS35" i="80"/>
  <c r="NT35" i="80"/>
  <c r="NJ36" i="80"/>
  <c r="NK36" i="80"/>
  <c r="NL36" i="80"/>
  <c r="NM36" i="80"/>
  <c r="NN36" i="80"/>
  <c r="NO36" i="80"/>
  <c r="NP36" i="80"/>
  <c r="NQ36" i="80"/>
  <c r="NR36" i="80"/>
  <c r="NS36" i="80"/>
  <c r="NT36" i="80"/>
  <c r="NJ37" i="80"/>
  <c r="NK37" i="80"/>
  <c r="NL37" i="80"/>
  <c r="NM37" i="80"/>
  <c r="NN37" i="80"/>
  <c r="NO37" i="80"/>
  <c r="NQ37" i="80"/>
  <c r="NR37" i="80"/>
  <c r="NS37" i="80"/>
  <c r="NT37" i="80"/>
  <c r="NJ38" i="80"/>
  <c r="NK38" i="80"/>
  <c r="NL38" i="80"/>
  <c r="NM38" i="80"/>
  <c r="NN38" i="80"/>
  <c r="NO38" i="80"/>
  <c r="NP38" i="80"/>
  <c r="NQ38" i="80"/>
  <c r="NR38" i="80"/>
  <c r="NS38" i="80"/>
  <c r="NT38" i="80"/>
  <c r="NJ39" i="80"/>
  <c r="NK39" i="80"/>
  <c r="NL39" i="80"/>
  <c r="NM39" i="80"/>
  <c r="NN39" i="80"/>
  <c r="NO39" i="80"/>
  <c r="NP39" i="80"/>
  <c r="NQ39" i="80"/>
  <c r="NR39" i="80"/>
  <c r="NS39" i="80"/>
  <c r="NT39" i="80"/>
  <c r="NJ40" i="80"/>
  <c r="NK40" i="80"/>
  <c r="NL40" i="80"/>
  <c r="NM40" i="80"/>
  <c r="NN40" i="80"/>
  <c r="NO40" i="80"/>
  <c r="NP40" i="80"/>
  <c r="NQ40" i="80"/>
  <c r="NR40" i="80"/>
  <c r="NS40" i="80"/>
  <c r="NT40" i="80"/>
  <c r="NJ41" i="80"/>
  <c r="NK41" i="80"/>
  <c r="NL41" i="80"/>
  <c r="NM41" i="80"/>
  <c r="NN41" i="80"/>
  <c r="NO41" i="80"/>
  <c r="NP41" i="80"/>
  <c r="NQ41" i="80"/>
  <c r="NR41" i="80"/>
  <c r="NS41" i="80"/>
  <c r="NT41" i="80"/>
  <c r="NJ42" i="80"/>
  <c r="NK42" i="80"/>
  <c r="NL42" i="80"/>
  <c r="NM42" i="80"/>
  <c r="NN42" i="80"/>
  <c r="NO42" i="80"/>
  <c r="NP42" i="80"/>
  <c r="NQ42" i="80"/>
  <c r="NR42" i="80"/>
  <c r="NS42" i="80"/>
  <c r="NT42" i="80"/>
  <c r="NJ43" i="80"/>
  <c r="NK43" i="80"/>
  <c r="NL43" i="80"/>
  <c r="NM43" i="80"/>
  <c r="NN43" i="80"/>
  <c r="NO43" i="80"/>
  <c r="NP43" i="80"/>
  <c r="NQ43" i="80"/>
  <c r="NR43" i="80"/>
  <c r="NS43" i="80"/>
  <c r="NT43" i="80"/>
  <c r="NJ44" i="80"/>
  <c r="NK44" i="80"/>
  <c r="NL44" i="80"/>
  <c r="NM44" i="80"/>
  <c r="NN44" i="80"/>
  <c r="NO44" i="80"/>
  <c r="NP44" i="80"/>
  <c r="NQ44" i="80"/>
  <c r="NR44" i="80"/>
  <c r="NS44" i="80"/>
  <c r="NT44" i="80"/>
  <c r="NJ45" i="80"/>
  <c r="NK45" i="80"/>
  <c r="NL45" i="80"/>
  <c r="NM45" i="80"/>
  <c r="NN45" i="80"/>
  <c r="NO45" i="80"/>
  <c r="NP45" i="80"/>
  <c r="NQ45" i="80"/>
  <c r="NR45" i="80"/>
  <c r="NS45" i="80"/>
  <c r="NT45" i="80"/>
  <c r="NK10" i="80"/>
  <c r="NL10" i="80"/>
  <c r="NM10" i="80"/>
  <c r="NN10" i="80"/>
  <c r="NO10" i="80"/>
  <c r="NP10" i="80"/>
  <c r="NQ10" i="80"/>
  <c r="NR10" i="80"/>
  <c r="NS10" i="80"/>
  <c r="NT10" i="80"/>
  <c r="NJ10" i="80"/>
  <c r="MI17" i="80"/>
  <c r="NR54" i="80" l="1"/>
  <c r="NJ54" i="80"/>
  <c r="NT54" i="80"/>
  <c r="NS54" i="80"/>
  <c r="NJ61" i="80"/>
  <c r="NJ57" i="80"/>
  <c r="NJ60" i="80"/>
  <c r="NJ56" i="80"/>
  <c r="NJ58" i="80"/>
  <c r="NJ59" i="80"/>
  <c r="NJ55" i="80"/>
  <c r="NJ62" i="80"/>
  <c r="A5" i="95"/>
  <c r="B5" i="95"/>
  <c r="C5" i="95"/>
  <c r="D5" i="95"/>
  <c r="AP5" i="95"/>
  <c r="AU5" i="95"/>
  <c r="AV5" i="95"/>
  <c r="AW5" i="95"/>
  <c r="AX5" i="95"/>
  <c r="AY5" i="95"/>
  <c r="AZ5" i="95"/>
  <c r="A6" i="95"/>
  <c r="B6" i="95"/>
  <c r="C6" i="95"/>
  <c r="D6" i="95"/>
  <c r="AP6" i="95"/>
  <c r="AU6" i="95"/>
  <c r="AV6" i="95"/>
  <c r="AW6" i="95"/>
  <c r="AX6" i="95"/>
  <c r="AY6" i="95"/>
  <c r="AZ6" i="95"/>
  <c r="A7" i="95"/>
  <c r="B7" i="95"/>
  <c r="C7" i="95"/>
  <c r="D7" i="95"/>
  <c r="AP7" i="95"/>
  <c r="AU7" i="95"/>
  <c r="AV7" i="95"/>
  <c r="AW7" i="95"/>
  <c r="AX7" i="95"/>
  <c r="AY7" i="95"/>
  <c r="AZ7" i="95"/>
  <c r="A8" i="95"/>
  <c r="B8" i="95"/>
  <c r="C8" i="95"/>
  <c r="D8" i="95"/>
  <c r="AP8" i="95"/>
  <c r="AU8" i="95"/>
  <c r="AV8" i="95"/>
  <c r="AW8" i="95"/>
  <c r="AX8" i="95"/>
  <c r="AY8" i="95"/>
  <c r="AZ8" i="95"/>
  <c r="A9" i="95"/>
  <c r="B9" i="95"/>
  <c r="C9" i="95"/>
  <c r="D9" i="95"/>
  <c r="AP9" i="95"/>
  <c r="AU9" i="95"/>
  <c r="AV9" i="95"/>
  <c r="AW9" i="95"/>
  <c r="AX9" i="95"/>
  <c r="AY9" i="95"/>
  <c r="AZ9" i="95"/>
  <c r="A10" i="95"/>
  <c r="B10" i="95"/>
  <c r="C10" i="95"/>
  <c r="D10" i="95"/>
  <c r="AP10" i="95"/>
  <c r="AU10" i="95"/>
  <c r="AV10" i="95"/>
  <c r="AW10" i="95"/>
  <c r="AX10" i="95"/>
  <c r="AY10" i="95"/>
  <c r="AZ10" i="95"/>
  <c r="A11" i="95"/>
  <c r="B11" i="95"/>
  <c r="C11" i="95"/>
  <c r="D11" i="95"/>
  <c r="AP11" i="95"/>
  <c r="AU11" i="95"/>
  <c r="AV11" i="95"/>
  <c r="AW11" i="95"/>
  <c r="AX11" i="95"/>
  <c r="AY11" i="95"/>
  <c r="AZ11" i="95"/>
  <c r="A12" i="95"/>
  <c r="B12" i="95"/>
  <c r="C12" i="95"/>
  <c r="D12" i="95"/>
  <c r="AM12" i="95"/>
  <c r="AP12" i="95"/>
  <c r="AU12" i="95"/>
  <c r="AV12" i="95"/>
  <c r="AW12" i="95"/>
  <c r="AX12" i="95"/>
  <c r="AY12" i="95"/>
  <c r="AZ12" i="95"/>
  <c r="A13" i="95"/>
  <c r="B13" i="95"/>
  <c r="C13" i="95"/>
  <c r="D13" i="95"/>
  <c r="AM13" i="95"/>
  <c r="AP13" i="95"/>
  <c r="AU13" i="95"/>
  <c r="AV13" i="95"/>
  <c r="AW13" i="95"/>
  <c r="AX13" i="95"/>
  <c r="AY13" i="95"/>
  <c r="AZ13" i="95"/>
  <c r="A14" i="95"/>
  <c r="B14" i="95"/>
  <c r="C14" i="95"/>
  <c r="D14" i="95"/>
  <c r="AM14" i="95"/>
  <c r="AP14" i="95"/>
  <c r="AU14" i="95"/>
  <c r="AV14" i="95"/>
  <c r="AW14" i="95"/>
  <c r="AX14" i="95"/>
  <c r="AY14" i="95"/>
  <c r="AZ14" i="95"/>
  <c r="A15" i="95"/>
  <c r="B15" i="95"/>
  <c r="C15" i="95"/>
  <c r="D15" i="95"/>
  <c r="AM15" i="95"/>
  <c r="AP15" i="95"/>
  <c r="AU15" i="95"/>
  <c r="AV15" i="95"/>
  <c r="AW15" i="95"/>
  <c r="AX15" i="95"/>
  <c r="AY15" i="95"/>
  <c r="AZ15" i="95"/>
  <c r="A16" i="95"/>
  <c r="B16" i="95"/>
  <c r="C16" i="95"/>
  <c r="D16" i="95"/>
  <c r="AM16" i="95"/>
  <c r="AP16" i="95"/>
  <c r="AU16" i="95"/>
  <c r="AV16" i="95"/>
  <c r="AW16" i="95"/>
  <c r="AX16" i="95"/>
  <c r="AY16" i="95"/>
  <c r="AZ16" i="95"/>
  <c r="A17" i="95"/>
  <c r="B17" i="95"/>
  <c r="C17" i="95"/>
  <c r="D17" i="95"/>
  <c r="AM17" i="95"/>
  <c r="AP17" i="95"/>
  <c r="AU17" i="95"/>
  <c r="AV17" i="95"/>
  <c r="AW17" i="95"/>
  <c r="AX17" i="95"/>
  <c r="AY17" i="95"/>
  <c r="AZ17" i="95"/>
  <c r="A18" i="95"/>
  <c r="B18" i="95"/>
  <c r="C18" i="95"/>
  <c r="D18" i="95"/>
  <c r="AM18" i="95"/>
  <c r="AP18" i="95"/>
  <c r="AU18" i="95"/>
  <c r="AV18" i="95"/>
  <c r="AW18" i="95"/>
  <c r="AX18" i="95"/>
  <c r="AY18" i="95"/>
  <c r="AZ18" i="95"/>
  <c r="A19" i="95"/>
  <c r="B19" i="95"/>
  <c r="C19" i="95"/>
  <c r="D19" i="95"/>
  <c r="AM19" i="95"/>
  <c r="AP19" i="95"/>
  <c r="AU19" i="95"/>
  <c r="AV19" i="95"/>
  <c r="AW19" i="95"/>
  <c r="AX19" i="95"/>
  <c r="AY19" i="95"/>
  <c r="AZ19" i="95"/>
  <c r="A20" i="95"/>
  <c r="B20" i="95"/>
  <c r="C20" i="95"/>
  <c r="D20" i="95"/>
  <c r="AM20" i="95"/>
  <c r="AP20" i="95"/>
  <c r="AU20" i="95"/>
  <c r="AV20" i="95"/>
  <c r="AW20" i="95"/>
  <c r="AX20" i="95"/>
  <c r="AY20" i="95"/>
  <c r="AZ20" i="95"/>
  <c r="A21" i="95"/>
  <c r="B21" i="95"/>
  <c r="C21" i="95"/>
  <c r="D21" i="95"/>
  <c r="AM21" i="95"/>
  <c r="AP21" i="95"/>
  <c r="AU21" i="95"/>
  <c r="AV21" i="95"/>
  <c r="AW21" i="95"/>
  <c r="AX21" i="95"/>
  <c r="AY21" i="95"/>
  <c r="AZ21" i="95"/>
  <c r="A22" i="95"/>
  <c r="B22" i="95"/>
  <c r="C22" i="95"/>
  <c r="D22" i="95"/>
  <c r="AM22" i="95"/>
  <c r="AP22" i="95"/>
  <c r="AU22" i="95"/>
  <c r="AV22" i="95"/>
  <c r="AW22" i="95"/>
  <c r="AX22" i="95"/>
  <c r="AY22" i="95"/>
  <c r="AZ22" i="95"/>
  <c r="A23" i="95"/>
  <c r="B23" i="95"/>
  <c r="C23" i="95"/>
  <c r="D23" i="95"/>
  <c r="AM23" i="95"/>
  <c r="AP23" i="95"/>
  <c r="AU23" i="95"/>
  <c r="AV23" i="95"/>
  <c r="AW23" i="95"/>
  <c r="AX23" i="95"/>
  <c r="AY23" i="95"/>
  <c r="AZ23" i="95"/>
  <c r="A24" i="95"/>
  <c r="B24" i="95"/>
  <c r="C24" i="95"/>
  <c r="D24" i="95"/>
  <c r="AM24" i="95"/>
  <c r="AP24" i="95"/>
  <c r="AU24" i="95"/>
  <c r="AV24" i="95"/>
  <c r="AW24" i="95"/>
  <c r="AX24" i="95"/>
  <c r="AY24" i="95"/>
  <c r="AZ24" i="95"/>
  <c r="A25" i="95"/>
  <c r="B25" i="95"/>
  <c r="C25" i="95"/>
  <c r="D25" i="95"/>
  <c r="AM25" i="95"/>
  <c r="AP25" i="95"/>
  <c r="AU25" i="95"/>
  <c r="AV25" i="95"/>
  <c r="AW25" i="95"/>
  <c r="AX25" i="95"/>
  <c r="AY25" i="95"/>
  <c r="AZ25" i="95"/>
  <c r="A26" i="95"/>
  <c r="B26" i="95"/>
  <c r="C26" i="95"/>
  <c r="D26" i="95"/>
  <c r="AM26" i="95"/>
  <c r="AP26" i="95"/>
  <c r="AU26" i="95"/>
  <c r="AV26" i="95"/>
  <c r="AW26" i="95"/>
  <c r="AX26" i="95"/>
  <c r="AY26" i="95"/>
  <c r="AZ26" i="95"/>
  <c r="A27" i="95"/>
  <c r="B27" i="95"/>
  <c r="C27" i="95"/>
  <c r="D27" i="95"/>
  <c r="AM27" i="95"/>
  <c r="AP27" i="95"/>
  <c r="AU27" i="95"/>
  <c r="AV27" i="95"/>
  <c r="AW27" i="95"/>
  <c r="AX27" i="95"/>
  <c r="AY27" i="95"/>
  <c r="AZ27" i="95"/>
  <c r="A28" i="95"/>
  <c r="B28" i="95"/>
  <c r="C28" i="95"/>
  <c r="D28" i="95"/>
  <c r="AM28" i="95"/>
  <c r="AP28" i="95"/>
  <c r="AU28" i="95"/>
  <c r="AV28" i="95"/>
  <c r="AW28" i="95"/>
  <c r="AX28" i="95"/>
  <c r="AY28" i="95"/>
  <c r="AZ28" i="95"/>
  <c r="A29" i="95"/>
  <c r="B29" i="95"/>
  <c r="C29" i="95"/>
  <c r="D29" i="95"/>
  <c r="AM29" i="95"/>
  <c r="AP29" i="95"/>
  <c r="AU29" i="95"/>
  <c r="AV29" i="95"/>
  <c r="AW29" i="95"/>
  <c r="AX29" i="95"/>
  <c r="AY29" i="95"/>
  <c r="AZ29" i="95"/>
  <c r="A30" i="95"/>
  <c r="B30" i="95"/>
  <c r="C30" i="95"/>
  <c r="D30" i="95"/>
  <c r="AM30" i="95"/>
  <c r="AP30" i="95"/>
  <c r="AU30" i="95"/>
  <c r="AV30" i="95"/>
  <c r="AW30" i="95"/>
  <c r="AX30" i="95"/>
  <c r="AY30" i="95"/>
  <c r="AZ30" i="95"/>
  <c r="A31" i="95"/>
  <c r="B31" i="95"/>
  <c r="C31" i="95"/>
  <c r="D31" i="95"/>
  <c r="AP31" i="95"/>
  <c r="AU31" i="95"/>
  <c r="AV31" i="95"/>
  <c r="AW31" i="95"/>
  <c r="AX31" i="95"/>
  <c r="AY31" i="95"/>
  <c r="AZ31" i="95"/>
  <c r="A32" i="95"/>
  <c r="B32" i="95"/>
  <c r="C32" i="95"/>
  <c r="D32" i="95"/>
  <c r="AU32" i="95"/>
  <c r="AV32" i="95"/>
  <c r="AW32" i="95"/>
  <c r="AX32" i="95"/>
  <c r="AY32" i="95"/>
  <c r="AZ32" i="95"/>
  <c r="A33" i="95"/>
  <c r="AP33" i="95" s="1"/>
  <c r="B33" i="95"/>
  <c r="C33" i="95"/>
  <c r="D33" i="95"/>
  <c r="AU33" i="95"/>
  <c r="AV33" i="95"/>
  <c r="AW33" i="95"/>
  <c r="AX33" i="95"/>
  <c r="AY33" i="95"/>
  <c r="AZ33" i="95"/>
  <c r="AP34" i="95"/>
  <c r="AU34" i="95"/>
  <c r="AV34" i="95"/>
  <c r="AW34" i="95"/>
  <c r="AX34" i="95"/>
  <c r="AY34" i="95"/>
  <c r="AZ34" i="95"/>
  <c r="V35" i="95"/>
  <c r="AP35" i="95"/>
  <c r="AU35" i="95"/>
  <c r="AV35" i="95"/>
  <c r="AW35" i="95"/>
  <c r="AY35" i="95"/>
  <c r="AZ35" i="95"/>
  <c r="Z36" i="95"/>
  <c r="AA36" i="95"/>
  <c r="AB36" i="95"/>
  <c r="AC36" i="95"/>
  <c r="AD36" i="95"/>
  <c r="AE36" i="95"/>
  <c r="AF36" i="95"/>
  <c r="AG36" i="95"/>
  <c r="AH36" i="95"/>
  <c r="AI36" i="95"/>
  <c r="AJ36" i="95"/>
  <c r="AK36" i="95"/>
  <c r="AP36" i="95"/>
  <c r="AU36" i="95"/>
  <c r="AV36" i="95"/>
  <c r="AW36" i="95"/>
  <c r="AP37" i="95"/>
  <c r="AU37" i="95"/>
  <c r="AV37" i="95"/>
  <c r="AW37" i="95"/>
  <c r="AP38" i="95"/>
  <c r="AU38" i="95"/>
  <c r="AV38" i="95"/>
  <c r="AW38" i="95"/>
  <c r="C39" i="95"/>
  <c r="E39" i="95"/>
  <c r="F39" i="95"/>
  <c r="Q32" i="95" s="1"/>
  <c r="G39" i="95"/>
  <c r="H39" i="95"/>
  <c r="I39" i="95"/>
  <c r="J39" i="95"/>
  <c r="K39" i="95"/>
  <c r="A40" i="95"/>
  <c r="B40" i="95"/>
  <c r="D40" i="95"/>
  <c r="E40" i="95"/>
  <c r="F40" i="95"/>
  <c r="G40" i="95"/>
  <c r="F41" i="95"/>
  <c r="H41" i="95"/>
  <c r="J41" i="95"/>
  <c r="AX41" i="95"/>
  <c r="AX43" i="95" s="1"/>
  <c r="AY41" i="95"/>
  <c r="AZ41" i="95"/>
  <c r="BE41" i="95"/>
  <c r="C42" i="95"/>
  <c r="E42" i="95"/>
  <c r="F42" i="95"/>
  <c r="G42" i="95"/>
  <c r="H42" i="95"/>
  <c r="I42" i="95"/>
  <c r="J42" i="95"/>
  <c r="K42" i="95"/>
  <c r="BD43" i="95"/>
  <c r="AX44" i="95"/>
  <c r="BG26" i="95" l="1"/>
  <c r="BG27" i="95"/>
  <c r="BG28" i="95"/>
  <c r="BG29" i="95"/>
  <c r="BG30" i="95"/>
  <c r="BG37" i="95"/>
  <c r="AT5" i="95"/>
  <c r="AT31" i="95"/>
  <c r="AT35" i="95"/>
  <c r="AT37" i="95"/>
  <c r="AS35" i="95"/>
  <c r="AS11" i="95"/>
  <c r="AS12" i="95"/>
  <c r="AS13" i="95"/>
  <c r="AS14" i="95"/>
  <c r="AS15" i="95"/>
  <c r="AS16" i="95"/>
  <c r="AS17" i="95"/>
  <c r="AS18" i="95"/>
  <c r="AS19" i="95"/>
  <c r="AS20" i="95"/>
  <c r="AS21" i="95"/>
  <c r="AS22" i="95"/>
  <c r="AS23" i="95"/>
  <c r="AS24" i="95"/>
  <c r="AS25" i="95"/>
  <c r="AS26" i="95"/>
  <c r="AS34" i="95"/>
  <c r="AS38" i="95"/>
  <c r="AR35" i="95"/>
  <c r="AR8" i="95"/>
  <c r="AR33" i="95"/>
  <c r="AR37" i="95"/>
  <c r="AR38" i="95"/>
  <c r="AQ32" i="95"/>
  <c r="AQ36" i="95"/>
  <c r="U32" i="95"/>
  <c r="W33" i="95"/>
  <c r="T7" i="95"/>
  <c r="T9" i="95"/>
  <c r="T26" i="95"/>
  <c r="T27" i="95"/>
  <c r="T28" i="95"/>
  <c r="T29" i="95"/>
  <c r="T30" i="95"/>
  <c r="T31" i="95"/>
  <c r="S32" i="95"/>
  <c r="S34" i="95"/>
  <c r="O27" i="95"/>
  <c r="O11" i="95"/>
  <c r="O34" i="95"/>
  <c r="P9" i="95"/>
  <c r="P12" i="95"/>
  <c r="P13" i="95"/>
  <c r="P14" i="95"/>
  <c r="P15" i="95"/>
  <c r="P16" i="95"/>
  <c r="P17" i="95"/>
  <c r="P18" i="95"/>
  <c r="P19" i="95"/>
  <c r="P20" i="95"/>
  <c r="P21" i="95"/>
  <c r="P22" i="95"/>
  <c r="P23" i="95"/>
  <c r="P24" i="95"/>
  <c r="P25" i="95"/>
  <c r="P26" i="95"/>
  <c r="P27" i="95"/>
  <c r="P28" i="95"/>
  <c r="P29" i="95"/>
  <c r="P30" i="95"/>
  <c r="P31" i="95"/>
  <c r="P35" i="95"/>
  <c r="AV41" i="95"/>
  <c r="AS33" i="95"/>
  <c r="AU41" i="95"/>
  <c r="AS32" i="95"/>
  <c r="AR32" i="95"/>
  <c r="AR31" i="95"/>
  <c r="Q30" i="95"/>
  <c r="Q29" i="95"/>
  <c r="Q28" i="95"/>
  <c r="Q27" i="95"/>
  <c r="Q26" i="95"/>
  <c r="AW41" i="95"/>
  <c r="AW43" i="95" s="1"/>
  <c r="Q5" i="95"/>
  <c r="AS5" i="95"/>
  <c r="D39" i="95"/>
  <c r="AW44" i="95"/>
  <c r="BG10" i="95"/>
  <c r="BG33" i="95"/>
  <c r="BG38" i="95"/>
  <c r="BG39" i="95"/>
  <c r="BG32" i="95"/>
  <c r="BG35" i="95"/>
  <c r="BG11" i="95"/>
  <c r="BG12" i="95"/>
  <c r="BG13" i="95"/>
  <c r="BG14" i="95"/>
  <c r="BG15" i="95"/>
  <c r="BG16" i="95"/>
  <c r="BG17" i="95"/>
  <c r="BG18" i="95"/>
  <c r="BG19" i="95"/>
  <c r="BG20" i="95"/>
  <c r="BG21" i="95"/>
  <c r="BG22" i="95"/>
  <c r="BG23" i="95"/>
  <c r="BG24" i="95"/>
  <c r="BG25" i="95"/>
  <c r="BG31" i="95"/>
  <c r="BG36" i="95"/>
  <c r="M5" i="95"/>
  <c r="M7" i="95"/>
  <c r="M9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11" i="95"/>
  <c r="M6" i="95"/>
  <c r="M8" i="95"/>
  <c r="M10" i="95"/>
  <c r="M27" i="95"/>
  <c r="M28" i="95"/>
  <c r="M29" i="95"/>
  <c r="M30" i="95"/>
  <c r="M31" i="95"/>
  <c r="M34" i="95"/>
  <c r="M33" i="95"/>
  <c r="O35" i="95"/>
  <c r="C41" i="95"/>
  <c r="M32" i="95"/>
  <c r="A39" i="95"/>
  <c r="A41" i="95" s="1"/>
  <c r="AP32" i="95"/>
  <c r="Q31" i="95"/>
  <c r="AS31" i="95"/>
  <c r="X6" i="95"/>
  <c r="X8" i="95"/>
  <c r="X10" i="95"/>
  <c r="X5" i="95"/>
  <c r="X7" i="95"/>
  <c r="X9" i="95"/>
  <c r="X12" i="95"/>
  <c r="X13" i="95"/>
  <c r="X14" i="95"/>
  <c r="X15" i="95"/>
  <c r="X16" i="95"/>
  <c r="X17" i="95"/>
  <c r="X18" i="95"/>
  <c r="X19" i="95"/>
  <c r="X20" i="95"/>
  <c r="X21" i="95"/>
  <c r="X22" i="95"/>
  <c r="X23" i="95"/>
  <c r="X24" i="95"/>
  <c r="X25" i="95"/>
  <c r="X33" i="95"/>
  <c r="X11" i="95"/>
  <c r="X32" i="95"/>
  <c r="X26" i="95"/>
  <c r="X27" i="95"/>
  <c r="X28" i="95"/>
  <c r="X29" i="95"/>
  <c r="X30" i="95"/>
  <c r="X31" i="95"/>
  <c r="K41" i="95"/>
  <c r="R5" i="95"/>
  <c r="R7" i="95"/>
  <c r="R9" i="95"/>
  <c r="R12" i="95"/>
  <c r="R13" i="95"/>
  <c r="R14" i="95"/>
  <c r="R15" i="95"/>
  <c r="R16" i="95"/>
  <c r="R17" i="95"/>
  <c r="R18" i="95"/>
  <c r="R19" i="95"/>
  <c r="R20" i="95"/>
  <c r="R21" i="95"/>
  <c r="R22" i="95"/>
  <c r="R23" i="95"/>
  <c r="R24" i="95"/>
  <c r="R25" i="95"/>
  <c r="R11" i="95"/>
  <c r="R8" i="95"/>
  <c r="R32" i="95"/>
  <c r="R10" i="95"/>
  <c r="R26" i="95"/>
  <c r="R27" i="95"/>
  <c r="R28" i="95"/>
  <c r="R29" i="95"/>
  <c r="R30" i="95"/>
  <c r="R31" i="95"/>
  <c r="R34" i="95"/>
  <c r="G41" i="95"/>
  <c r="BG34" i="95"/>
  <c r="R33" i="95"/>
  <c r="AQ33" i="95"/>
  <c r="AQ31" i="95"/>
  <c r="AQ6" i="95"/>
  <c r="N6" i="95"/>
  <c r="B39" i="95"/>
  <c r="B42" i="95" s="1"/>
  <c r="BF40" i="95"/>
  <c r="AQ5" i="95"/>
  <c r="AQ7" i="95"/>
  <c r="AQ9" i="95"/>
  <c r="AQ11" i="95"/>
  <c r="AQ12" i="95"/>
  <c r="AQ13" i="95"/>
  <c r="AQ14" i="95"/>
  <c r="AQ15" i="95"/>
  <c r="AQ16" i="95"/>
  <c r="AQ17" i="95"/>
  <c r="AQ18" i="95"/>
  <c r="AQ19" i="95"/>
  <c r="AQ20" i="95"/>
  <c r="AQ21" i="95"/>
  <c r="AQ22" i="95"/>
  <c r="AQ23" i="95"/>
  <c r="AQ24" i="95"/>
  <c r="AQ25" i="95"/>
  <c r="AQ35" i="95"/>
  <c r="AQ37" i="95"/>
  <c r="AQ26" i="95"/>
  <c r="AQ27" i="95"/>
  <c r="AQ28" i="95"/>
  <c r="AQ29" i="95"/>
  <c r="AQ30" i="95"/>
  <c r="AQ34" i="95"/>
  <c r="AQ38" i="95"/>
  <c r="X34" i="95"/>
  <c r="AS30" i="95"/>
  <c r="AS29" i="95"/>
  <c r="AS28" i="95"/>
  <c r="AS27" i="95"/>
  <c r="R6" i="95"/>
  <c r="AT11" i="95"/>
  <c r="AT12" i="95"/>
  <c r="AT13" i="95"/>
  <c r="AT14" i="95"/>
  <c r="AT15" i="95"/>
  <c r="AT16" i="95"/>
  <c r="AT17" i="95"/>
  <c r="AT18" i="95"/>
  <c r="AT19" i="95"/>
  <c r="AT20" i="95"/>
  <c r="AT21" i="95"/>
  <c r="AT22" i="95"/>
  <c r="AT23" i="95"/>
  <c r="AT24" i="95"/>
  <c r="AT25" i="95"/>
  <c r="AT6" i="95"/>
  <c r="AT8" i="95"/>
  <c r="AT10" i="95"/>
  <c r="U5" i="95"/>
  <c r="U7" i="95"/>
  <c r="U9" i="95"/>
  <c r="U12" i="95"/>
  <c r="U13" i="95"/>
  <c r="U14" i="95"/>
  <c r="U15" i="95"/>
  <c r="U16" i="95"/>
  <c r="U17" i="95"/>
  <c r="U18" i="95"/>
  <c r="U19" i="95"/>
  <c r="U20" i="95"/>
  <c r="U21" i="95"/>
  <c r="U22" i="95"/>
  <c r="U23" i="95"/>
  <c r="U24" i="95"/>
  <c r="U25" i="95"/>
  <c r="W5" i="95"/>
  <c r="W7" i="95"/>
  <c r="W9" i="95"/>
  <c r="U11" i="95"/>
  <c r="W12" i="95"/>
  <c r="W13" i="95"/>
  <c r="W14" i="95"/>
  <c r="W15" i="95"/>
  <c r="W16" i="95"/>
  <c r="W17" i="95"/>
  <c r="W18" i="95"/>
  <c r="W19" i="95"/>
  <c r="W20" i="95"/>
  <c r="W21" i="95"/>
  <c r="W22" i="95"/>
  <c r="W23" i="95"/>
  <c r="W24" i="95"/>
  <c r="W25" i="95"/>
  <c r="U6" i="95"/>
  <c r="U8" i="95"/>
  <c r="U10" i="95"/>
  <c r="W11" i="95"/>
  <c r="Q11" i="95"/>
  <c r="Q6" i="95"/>
  <c r="Q10" i="95"/>
  <c r="AS37" i="95"/>
  <c r="AT36" i="95"/>
  <c r="AR34" i="95"/>
  <c r="W34" i="95"/>
  <c r="U33" i="95"/>
  <c r="Q33" i="95"/>
  <c r="AT32" i="95"/>
  <c r="T32" i="95"/>
  <c r="P32" i="95"/>
  <c r="S31" i="95"/>
  <c r="O31" i="95"/>
  <c r="AR30" i="95"/>
  <c r="S30" i="95"/>
  <c r="O30" i="95"/>
  <c r="AR29" i="95"/>
  <c r="S29" i="95"/>
  <c r="O29" i="95"/>
  <c r="AR28" i="95"/>
  <c r="S28" i="95"/>
  <c r="O28" i="95"/>
  <c r="AR27" i="95"/>
  <c r="S27" i="95"/>
  <c r="AR26" i="95"/>
  <c r="S26" i="95"/>
  <c r="Q25" i="95"/>
  <c r="Q24" i="95"/>
  <c r="Q23" i="95"/>
  <c r="Q22" i="95"/>
  <c r="Q21" i="95"/>
  <c r="Q20" i="95"/>
  <c r="Q19" i="95"/>
  <c r="Q18" i="95"/>
  <c r="Q17" i="95"/>
  <c r="Q16" i="95"/>
  <c r="Q15" i="95"/>
  <c r="Q14" i="95"/>
  <c r="Q13" i="95"/>
  <c r="Q12" i="95"/>
  <c r="W10" i="95"/>
  <c r="Q8" i="95"/>
  <c r="AR6" i="95"/>
  <c r="AS6" i="95"/>
  <c r="AS8" i="95"/>
  <c r="AS10" i="95"/>
  <c r="T11" i="95"/>
  <c r="T6" i="95"/>
  <c r="T8" i="95"/>
  <c r="T10" i="95"/>
  <c r="O6" i="95"/>
  <c r="O8" i="95"/>
  <c r="O10" i="95"/>
  <c r="O5" i="95"/>
  <c r="O7" i="95"/>
  <c r="O9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O24" i="95"/>
  <c r="O25" i="95"/>
  <c r="O26" i="95"/>
  <c r="AS36" i="95"/>
  <c r="P11" i="95"/>
  <c r="P6" i="95"/>
  <c r="P8" i="95"/>
  <c r="P10" i="95"/>
  <c r="U34" i="95"/>
  <c r="Q34" i="95"/>
  <c r="AT33" i="95"/>
  <c r="T33" i="95"/>
  <c r="P33" i="95"/>
  <c r="O32" i="95"/>
  <c r="W31" i="95"/>
  <c r="W30" i="95"/>
  <c r="W29" i="95"/>
  <c r="W28" i="95"/>
  <c r="W27" i="95"/>
  <c r="W26" i="95"/>
  <c r="AR11" i="95"/>
  <c r="AQ10" i="95"/>
  <c r="AT9" i="95"/>
  <c r="Q9" i="95"/>
  <c r="AS9" i="95"/>
  <c r="W8" i="95"/>
  <c r="P7" i="95"/>
  <c r="T5" i="95"/>
  <c r="I41" i="95"/>
  <c r="E41" i="95"/>
  <c r="AR5" i="95"/>
  <c r="AR7" i="95"/>
  <c r="AR9" i="95"/>
  <c r="AR12" i="95"/>
  <c r="AR13" i="95"/>
  <c r="AR14" i="95"/>
  <c r="AR15" i="95"/>
  <c r="AR16" i="95"/>
  <c r="AR17" i="95"/>
  <c r="AR18" i="95"/>
  <c r="AR19" i="95"/>
  <c r="AR20" i="95"/>
  <c r="AR21" i="95"/>
  <c r="AR22" i="95"/>
  <c r="AR23" i="95"/>
  <c r="AR24" i="95"/>
  <c r="AR25" i="95"/>
  <c r="S6" i="95"/>
  <c r="S8" i="95"/>
  <c r="S10" i="95"/>
  <c r="S5" i="95"/>
  <c r="S7" i="95"/>
  <c r="S9" i="95"/>
  <c r="S12" i="95"/>
  <c r="S13" i="95"/>
  <c r="S14" i="95"/>
  <c r="S15" i="95"/>
  <c r="S16" i="95"/>
  <c r="S17" i="95"/>
  <c r="S18" i="95"/>
  <c r="S19" i="95"/>
  <c r="S20" i="95"/>
  <c r="S21" i="95"/>
  <c r="S22" i="95"/>
  <c r="S23" i="95"/>
  <c r="S24" i="95"/>
  <c r="S25" i="95"/>
  <c r="AT38" i="95"/>
  <c r="AR36" i="95"/>
  <c r="AT34" i="95"/>
  <c r="T34" i="95"/>
  <c r="P34" i="95"/>
  <c r="S33" i="95"/>
  <c r="O33" i="95"/>
  <c r="W32" i="95"/>
  <c r="U31" i="95"/>
  <c r="AT30" i="95"/>
  <c r="U30" i="95"/>
  <c r="AT29" i="95"/>
  <c r="U29" i="95"/>
  <c r="AT28" i="95"/>
  <c r="U28" i="95"/>
  <c r="AT27" i="95"/>
  <c r="U27" i="95"/>
  <c r="AT26" i="95"/>
  <c r="U26" i="95"/>
  <c r="T25" i="95"/>
  <c r="T24" i="95"/>
  <c r="T23" i="95"/>
  <c r="T22" i="95"/>
  <c r="T21" i="95"/>
  <c r="T20" i="95"/>
  <c r="T19" i="95"/>
  <c r="T18" i="95"/>
  <c r="T17" i="95"/>
  <c r="T16" i="95"/>
  <c r="T15" i="95"/>
  <c r="T14" i="95"/>
  <c r="T13" i="95"/>
  <c r="T12" i="95"/>
  <c r="S11" i="95"/>
  <c r="AR10" i="95"/>
  <c r="AQ8" i="95"/>
  <c r="AT7" i="95"/>
  <c r="Q7" i="95"/>
  <c r="AS7" i="95"/>
  <c r="W6" i="95"/>
  <c r="P5" i="95"/>
  <c r="HH59" i="54"/>
  <c r="HI17" i="54" s="1"/>
  <c r="HD59" i="54"/>
  <c r="HE12" i="54" s="1"/>
  <c r="HD56" i="54"/>
  <c r="HD58" i="54" s="1"/>
  <c r="AU43" i="95" l="1"/>
  <c r="AU44" i="95"/>
  <c r="AV43" i="95"/>
  <c r="AV44" i="95"/>
  <c r="S35" i="95"/>
  <c r="N5" i="95"/>
  <c r="N7" i="95"/>
  <c r="N9" i="95"/>
  <c r="N12" i="95"/>
  <c r="N13" i="95"/>
  <c r="N14" i="95"/>
  <c r="N15" i="95"/>
  <c r="N16" i="95"/>
  <c r="N17" i="95"/>
  <c r="N18" i="95"/>
  <c r="N19" i="95"/>
  <c r="N20" i="95"/>
  <c r="N21" i="95"/>
  <c r="N22" i="95"/>
  <c r="N23" i="95"/>
  <c r="N24" i="95"/>
  <c r="N25" i="95"/>
  <c r="N26" i="95"/>
  <c r="N11" i="95"/>
  <c r="N10" i="95"/>
  <c r="N32" i="95"/>
  <c r="Q35" i="95"/>
  <c r="N27" i="95"/>
  <c r="N28" i="95"/>
  <c r="N29" i="95"/>
  <c r="N30" i="95"/>
  <c r="N31" i="95"/>
  <c r="N34" i="95"/>
  <c r="N33" i="95"/>
  <c r="D41" i="95"/>
  <c r="N8" i="95"/>
  <c r="AT41" i="95"/>
  <c r="AT43" i="95" s="1"/>
  <c r="AT44" i="95"/>
  <c r="AQ41" i="95"/>
  <c r="AQ43" i="95" s="1"/>
  <c r="AQ44" i="95"/>
  <c r="X35" i="95"/>
  <c r="D42" i="95"/>
  <c r="M35" i="95"/>
  <c r="A42" i="95"/>
  <c r="AS41" i="95"/>
  <c r="AS43" i="95" s="1"/>
  <c r="AS44" i="95"/>
  <c r="AR41" i="95"/>
  <c r="AR43" i="95" s="1"/>
  <c r="AR44" i="95"/>
  <c r="U35" i="95"/>
  <c r="R35" i="95"/>
  <c r="AP41" i="95"/>
  <c r="AP43" i="95" s="1"/>
  <c r="AP44" i="95"/>
  <c r="T35" i="95"/>
  <c r="N35" i="95"/>
  <c r="B41" i="95"/>
  <c r="HE31" i="54"/>
  <c r="HE27" i="54"/>
  <c r="HE23" i="54"/>
  <c r="HE35" i="54"/>
  <c r="HE19" i="54"/>
  <c r="HE11" i="54"/>
  <c r="HE34" i="54"/>
  <c r="HE30" i="54"/>
  <c r="HE26" i="54"/>
  <c r="HE22" i="54"/>
  <c r="HE18" i="54"/>
  <c r="HE14" i="54"/>
  <c r="HE37" i="54"/>
  <c r="HE29" i="54"/>
  <c r="HE25" i="54"/>
  <c r="HE21" i="54"/>
  <c r="HE17" i="54"/>
  <c r="HE13" i="54"/>
  <c r="HE15" i="54"/>
  <c r="HE33" i="54"/>
  <c r="HE36" i="54"/>
  <c r="HE32" i="54"/>
  <c r="HE28" i="54"/>
  <c r="HE24" i="54"/>
  <c r="HE20" i="54"/>
  <c r="HE16" i="54"/>
  <c r="HI36" i="54"/>
  <c r="HI28" i="54"/>
  <c r="HI24" i="54"/>
  <c r="HI16" i="54"/>
  <c r="HI10" i="54"/>
  <c r="HI31" i="54"/>
  <c r="HI23" i="54"/>
  <c r="HI15" i="54"/>
  <c r="HI11" i="54"/>
  <c r="HI34" i="54"/>
  <c r="HI30" i="54"/>
  <c r="HI26" i="54"/>
  <c r="HI22" i="54"/>
  <c r="HI18" i="54"/>
  <c r="HI13" i="54"/>
  <c r="HI32" i="54"/>
  <c r="HI20" i="54"/>
  <c r="HI12" i="54"/>
  <c r="HI35" i="54"/>
  <c r="HI27" i="54"/>
  <c r="HI19" i="54"/>
  <c r="HI14" i="54"/>
  <c r="HI37" i="54"/>
  <c r="HI33" i="54"/>
  <c r="HI29" i="54"/>
  <c r="HI25" i="54"/>
  <c r="HI21" i="54"/>
  <c r="HE56" i="54" l="1"/>
  <c r="IM54" i="91" l="1"/>
  <c r="IM51" i="91"/>
  <c r="IM53" i="91" s="1"/>
  <c r="IN12" i="91" l="1"/>
  <c r="IN15" i="91"/>
  <c r="IN18" i="91"/>
  <c r="IN19" i="91"/>
  <c r="IN22" i="91"/>
  <c r="IN23" i="91"/>
  <c r="IN26" i="91"/>
  <c r="IN27" i="91"/>
  <c r="IN30" i="91"/>
  <c r="IN31" i="91"/>
  <c r="IN34" i="91"/>
  <c r="IN35" i="91"/>
  <c r="IN38" i="91"/>
  <c r="IN39" i="91"/>
  <c r="IN42" i="91"/>
  <c r="IN43" i="91"/>
  <c r="IN46" i="91"/>
  <c r="IN11" i="91"/>
  <c r="IN14" i="91"/>
  <c r="IN45" i="91"/>
  <c r="IN41" i="91"/>
  <c r="IN37" i="91"/>
  <c r="IN33" i="91"/>
  <c r="IN29" i="91"/>
  <c r="IN25" i="91"/>
  <c r="IN21" i="91"/>
  <c r="IN17" i="91"/>
  <c r="IN13" i="91"/>
  <c r="IN44" i="91"/>
  <c r="IN40" i="91"/>
  <c r="IN36" i="91"/>
  <c r="IN32" i="91"/>
  <c r="IN28" i="91"/>
  <c r="IN24" i="91"/>
  <c r="IN20" i="91"/>
  <c r="IN16" i="91"/>
  <c r="IN51" i="91" l="1"/>
  <c r="IL52" i="91"/>
  <c r="IJ54" i="91"/>
  <c r="IK19" i="91" s="1"/>
  <c r="HR54" i="91"/>
  <c r="IJ51" i="91"/>
  <c r="IJ53" i="91" s="1"/>
  <c r="IL19" i="91" l="1"/>
  <c r="IK43" i="91"/>
  <c r="IK27" i="91"/>
  <c r="IK39" i="91"/>
  <c r="IK23" i="91"/>
  <c r="IK35" i="91"/>
  <c r="IK12" i="91"/>
  <c r="IL12" i="91" s="1"/>
  <c r="IK14" i="91"/>
  <c r="IK31" i="91"/>
  <c r="IK15" i="91"/>
  <c r="IK42" i="91"/>
  <c r="IK38" i="91"/>
  <c r="IK34" i="91"/>
  <c r="IK30" i="91"/>
  <c r="IK26" i="91"/>
  <c r="IK22" i="91"/>
  <c r="IK18" i="91"/>
  <c r="IK11" i="91"/>
  <c r="IL11" i="91" s="1"/>
  <c r="IK41" i="91"/>
  <c r="IK37" i="91"/>
  <c r="IK33" i="91"/>
  <c r="IK29" i="91"/>
  <c r="IK25" i="91"/>
  <c r="IK21" i="91"/>
  <c r="IK17" i="91"/>
  <c r="IK13" i="91"/>
  <c r="IL13" i="91" s="1"/>
  <c r="IK44" i="91"/>
  <c r="IK40" i="91"/>
  <c r="IK36" i="91"/>
  <c r="IK32" i="91"/>
  <c r="IK28" i="91"/>
  <c r="IK24" i="91"/>
  <c r="IK20" i="91"/>
  <c r="IK16" i="91"/>
  <c r="IL16" i="91" l="1"/>
  <c r="IL20" i="91"/>
  <c r="IL24" i="91"/>
  <c r="IL28" i="91"/>
  <c r="IL32" i="91"/>
  <c r="IL36" i="91"/>
  <c r="IL40" i="91"/>
  <c r="IL44" i="91"/>
  <c r="IL17" i="91"/>
  <c r="IL21" i="91"/>
  <c r="IL25" i="91"/>
  <c r="IL29" i="91"/>
  <c r="IL33" i="91"/>
  <c r="IL37" i="91"/>
  <c r="IL41" i="91"/>
  <c r="IL18" i="91"/>
  <c r="IL22" i="91"/>
  <c r="IL26" i="91"/>
  <c r="IL30" i="91"/>
  <c r="IL34" i="91"/>
  <c r="IL38" i="91"/>
  <c r="IL42" i="91"/>
  <c r="IL15" i="91"/>
  <c r="IL31" i="91"/>
  <c r="IL14" i="91"/>
  <c r="IL35" i="91"/>
  <c r="IL23" i="91"/>
  <c r="IL39" i="91"/>
  <c r="IL27" i="91"/>
  <c r="IL43" i="91"/>
  <c r="DR39" i="79"/>
  <c r="DQ33" i="79"/>
  <c r="DQ32" i="79"/>
  <c r="DQ31" i="79"/>
  <c r="DQ30" i="79"/>
  <c r="DQ25" i="79"/>
  <c r="DQ24" i="79"/>
  <c r="DQ23" i="79"/>
  <c r="DQ22" i="79"/>
  <c r="DR23" i="79" l="1"/>
  <c r="DR31" i="79"/>
  <c r="DQ18" i="79"/>
  <c r="DR19" i="79" s="1"/>
  <c r="DQ17" i="79"/>
  <c r="DQ16" i="79"/>
  <c r="DQ15" i="79"/>
  <c r="DQ14" i="79"/>
  <c r="DQ12" i="79"/>
  <c r="DQ11" i="79"/>
  <c r="DQ10" i="79"/>
  <c r="DQ8" i="79"/>
  <c r="DQ7" i="79"/>
  <c r="DQ6" i="79"/>
  <c r="DR7" i="79" l="1"/>
  <c r="DR11" i="79"/>
  <c r="DR15" i="79"/>
  <c r="IH51" i="91"/>
  <c r="IG51" i="91"/>
  <c r="IG53" i="91" s="1"/>
  <c r="IH53" i="91" l="1"/>
  <c r="IR11" i="91"/>
  <c r="IR28" i="91"/>
  <c r="IR29" i="91"/>
  <c r="IR30" i="91"/>
  <c r="IR31" i="91"/>
  <c r="IR32" i="91"/>
  <c r="IR33" i="91"/>
  <c r="IR34" i="91"/>
  <c r="IR35" i="91"/>
  <c r="IR36" i="91"/>
  <c r="IR37" i="91"/>
  <c r="IR38" i="91"/>
  <c r="IR39" i="91"/>
  <c r="IR40" i="91"/>
  <c r="IR41" i="91"/>
  <c r="IR42" i="91"/>
  <c r="IR43" i="91"/>
  <c r="IR44" i="91"/>
  <c r="IR45" i="91"/>
  <c r="IR46" i="91"/>
  <c r="IR19" i="91"/>
  <c r="IR20" i="91"/>
  <c r="IR21" i="91"/>
  <c r="IR22" i="91"/>
  <c r="IR23" i="91"/>
  <c r="IR24" i="91"/>
  <c r="IR25" i="91"/>
  <c r="IR26" i="91"/>
  <c r="IR27" i="91"/>
  <c r="IR12" i="91"/>
  <c r="IR13" i="91"/>
  <c r="IR14" i="91"/>
  <c r="IR15" i="91"/>
  <c r="IR16" i="91"/>
  <c r="IR17" i="91"/>
  <c r="IR18" i="91"/>
  <c r="DP80" i="79"/>
  <c r="DP82" i="79"/>
  <c r="DP81" i="79"/>
  <c r="DR81" i="79" s="1"/>
  <c r="IR51" i="91" l="1"/>
  <c r="AL7" i="3"/>
  <c r="AW48" i="1"/>
  <c r="BB48" i="1" l="1"/>
  <c r="AW49" i="1"/>
  <c r="BA53" i="1"/>
  <c r="BA54" i="1"/>
  <c r="BB42" i="1" l="1"/>
  <c r="AY43" i="1" s="1"/>
  <c r="BA63" i="1"/>
  <c r="BA62" i="1"/>
  <c r="BA61" i="1"/>
  <c r="BA60" i="1"/>
  <c r="BA56" i="1"/>
  <c r="BA55" i="1"/>
  <c r="AV12" i="1"/>
  <c r="AU12" i="1"/>
  <c r="AT12" i="1"/>
  <c r="AV7" i="1"/>
  <c r="AZ6" i="1"/>
  <c r="AX7" i="1" s="1"/>
  <c r="AX11" i="1" l="1"/>
  <c r="AX9" i="1"/>
  <c r="AY45" i="1"/>
  <c r="AY46" i="1"/>
  <c r="AY47" i="1"/>
  <c r="BA43" i="1"/>
  <c r="BA46" i="1" s="1"/>
  <c r="AZ43" i="1"/>
  <c r="BB43" i="1"/>
  <c r="AY7" i="1"/>
  <c r="AZ7" i="1" s="1"/>
  <c r="AX10" i="1"/>
  <c r="AX12" i="1"/>
  <c r="AY49" i="1" l="1"/>
  <c r="AX13" i="1"/>
  <c r="AY12" i="1"/>
  <c r="AZ12" i="1" s="1"/>
  <c r="AY10" i="1"/>
  <c r="AZ10" i="1" s="1"/>
  <c r="AZ47" i="1"/>
  <c r="AZ46" i="1"/>
  <c r="AZ49" i="1" s="1"/>
  <c r="BA45" i="1"/>
  <c r="BA47" i="1"/>
  <c r="AY9" i="1"/>
  <c r="AZ9" i="1" s="1"/>
  <c r="AY11" i="1"/>
  <c r="AZ11" i="1" s="1"/>
  <c r="BA49" i="1" l="1"/>
  <c r="BB45" i="1"/>
  <c r="BB47" i="1"/>
  <c r="BB46" i="1"/>
  <c r="BB49" i="1" l="1"/>
  <c r="AN5" i="11"/>
  <c r="AO5" i="11"/>
  <c r="AN6" i="11"/>
  <c r="AO6" i="11"/>
  <c r="AN7" i="11"/>
  <c r="AO7" i="11"/>
  <c r="AN8" i="11"/>
  <c r="AO8" i="11"/>
  <c r="AN9" i="11"/>
  <c r="AO9" i="11"/>
  <c r="AN10" i="11"/>
  <c r="AO10" i="11"/>
  <c r="AN11" i="11"/>
  <c r="AO11" i="11"/>
  <c r="AN12" i="11"/>
  <c r="AO12" i="11"/>
  <c r="AO4" i="11"/>
  <c r="AN4" i="11"/>
  <c r="AL16" i="11"/>
  <c r="AL17" i="11"/>
  <c r="AM5" i="10"/>
  <c r="AN5" i="10"/>
  <c r="AM6" i="10"/>
  <c r="AN6" i="10"/>
  <c r="AM7" i="10"/>
  <c r="AN7" i="10"/>
  <c r="AM8" i="10"/>
  <c r="AN8" i="10"/>
  <c r="AM9" i="10"/>
  <c r="AN9" i="10"/>
  <c r="AM10" i="10"/>
  <c r="AN10" i="10"/>
  <c r="AM11" i="10"/>
  <c r="AN11" i="10"/>
  <c r="AM12" i="10"/>
  <c r="AN12" i="10"/>
  <c r="AM4" i="10"/>
  <c r="AK16" i="10"/>
  <c r="HM56" i="54"/>
  <c r="HH56" i="54"/>
  <c r="HH58" i="54" s="1"/>
  <c r="HJ47" i="54"/>
  <c r="HJ46" i="54"/>
  <c r="HN7" i="54"/>
  <c r="F29" i="6"/>
  <c r="F30" i="6"/>
  <c r="F31" i="6"/>
  <c r="F32" i="6"/>
  <c r="F33" i="6"/>
  <c r="F34" i="6"/>
  <c r="AL17" i="3"/>
  <c r="AM26" i="3"/>
  <c r="AM25" i="3"/>
  <c r="AM19" i="3"/>
  <c r="AM18" i="3"/>
  <c r="AM15" i="3"/>
  <c r="AM11" i="3"/>
  <c r="AM9" i="3"/>
  <c r="AM7" i="3"/>
  <c r="AM5" i="3"/>
  <c r="X25" i="2"/>
  <c r="X24" i="2"/>
  <c r="AP15" i="2"/>
  <c r="AP11" i="2"/>
  <c r="AP9" i="2"/>
  <c r="AP8" i="2"/>
  <c r="AP5" i="2"/>
  <c r="AO12" i="2"/>
  <c r="AO11" i="2"/>
  <c r="AO9" i="2"/>
  <c r="AO6" i="2"/>
  <c r="AO8" i="2"/>
  <c r="AM14" i="2"/>
  <c r="AO95" i="1"/>
  <c r="AN95" i="1"/>
  <c r="AP95" i="1" s="1"/>
  <c r="AN71" i="1"/>
  <c r="AP71" i="1" s="1"/>
  <c r="AO71" i="1"/>
  <c r="AN72" i="1"/>
  <c r="AP72" i="1" s="1"/>
  <c r="AO72" i="1"/>
  <c r="AN73" i="1"/>
  <c r="AP73" i="1" s="1"/>
  <c r="AO73" i="1"/>
  <c r="AO74" i="1"/>
  <c r="AN75" i="1"/>
  <c r="AP75" i="1" s="1"/>
  <c r="AO75" i="1"/>
  <c r="AN77" i="1"/>
  <c r="AP77" i="1" s="1"/>
  <c r="AO77" i="1"/>
  <c r="AO78" i="1"/>
  <c r="AN85" i="1"/>
  <c r="AP85" i="1" s="1"/>
  <c r="AO85" i="1"/>
  <c r="AN86" i="1"/>
  <c r="AP86" i="1" s="1"/>
  <c r="AO86" i="1"/>
  <c r="AO70" i="1"/>
  <c r="AN70" i="1"/>
  <c r="AP70" i="1" s="1"/>
  <c r="AN38" i="1"/>
  <c r="AP38" i="1" s="1"/>
  <c r="AO38" i="1"/>
  <c r="AN39" i="1"/>
  <c r="AP39" i="1" s="1"/>
  <c r="AO39" i="1"/>
  <c r="AN42" i="1"/>
  <c r="AO42" i="1"/>
  <c r="AP42" i="1"/>
  <c r="AN43" i="1"/>
  <c r="AP43" i="1" s="1"/>
  <c r="AO43" i="1"/>
  <c r="AN44" i="1"/>
  <c r="AP44" i="1" s="1"/>
  <c r="AO44" i="1"/>
  <c r="AN45" i="1"/>
  <c r="AP45" i="1" s="1"/>
  <c r="AO45" i="1"/>
  <c r="AN46" i="1"/>
  <c r="AO46" i="1"/>
  <c r="AP46" i="1"/>
  <c r="AN51" i="1"/>
  <c r="AP51" i="1" s="1"/>
  <c r="AO51" i="1"/>
  <c r="AN54" i="1"/>
  <c r="AO54" i="1"/>
  <c r="AP54" i="1"/>
  <c r="AN55" i="1"/>
  <c r="AP55" i="1" s="1"/>
  <c r="AO55" i="1"/>
  <c r="AN37" i="1"/>
  <c r="AP37" i="1" s="1"/>
  <c r="AN6" i="1"/>
  <c r="AP6" i="1" s="1"/>
  <c r="AO6" i="1"/>
  <c r="AN7" i="1"/>
  <c r="AP7" i="1" s="1"/>
  <c r="AO7" i="1"/>
  <c r="AN8" i="1"/>
  <c r="AO8" i="1"/>
  <c r="AP8" i="1"/>
  <c r="AN9" i="1"/>
  <c r="AP9" i="1" s="1"/>
  <c r="AO9" i="1"/>
  <c r="AN11" i="1"/>
  <c r="AP11" i="1" s="1"/>
  <c r="AO11" i="1"/>
  <c r="AN13" i="1"/>
  <c r="AP13" i="1"/>
  <c r="AN14" i="1"/>
  <c r="AO14" i="1"/>
  <c r="AP14" i="1"/>
  <c r="AN15" i="1"/>
  <c r="AP15" i="1" s="1"/>
  <c r="AO15" i="1"/>
  <c r="AN16" i="1"/>
  <c r="AP16" i="1" s="1"/>
  <c r="AO16" i="1"/>
  <c r="AN17" i="1"/>
  <c r="AP17" i="1" s="1"/>
  <c r="AO17" i="1"/>
  <c r="AO4" i="1"/>
  <c r="AN4" i="1"/>
  <c r="AP4" i="1" s="1"/>
  <c r="AL12" i="1"/>
  <c r="AL18" i="1"/>
  <c r="AL41" i="1"/>
  <c r="AL48" i="1"/>
  <c r="AL82" i="1"/>
  <c r="AL94" i="1" s="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J16" i="11"/>
  <c r="AK16" i="11"/>
  <c r="C16" i="11"/>
  <c r="DG31" i="79"/>
  <c r="DG30" i="79"/>
  <c r="DG32" i="79"/>
  <c r="DG33" i="79"/>
  <c r="E40" i="3"/>
  <c r="AL27" i="1" l="1"/>
  <c r="AL92" i="1" s="1"/>
  <c r="HE58" i="54"/>
  <c r="AL56" i="1"/>
  <c r="F64" i="5"/>
  <c r="E64" i="5"/>
  <c r="D64" i="5"/>
  <c r="C64" i="5"/>
  <c r="G63" i="5"/>
  <c r="G62" i="5"/>
  <c r="G64" i="5" l="1"/>
  <c r="AL93" i="1"/>
  <c r="AL58" i="1"/>
  <c r="AL96" i="1"/>
  <c r="AL98" i="1"/>
  <c r="AI5" i="2"/>
  <c r="AO5" i="2" s="1"/>
  <c r="AO15" i="2"/>
  <c r="AL99" i="1" l="1"/>
  <c r="DG64" i="79"/>
  <c r="DG65" i="79"/>
  <c r="DG63" i="79"/>
  <c r="DH64" i="79" l="1"/>
  <c r="AK52" i="1"/>
  <c r="AO52" i="1" s="1"/>
  <c r="FM57" i="54" l="1"/>
  <c r="FQ57" i="54" s="1"/>
  <c r="W37" i="11" l="1"/>
  <c r="V38" i="11"/>
  <c r="U39" i="11"/>
  <c r="T40" i="11"/>
  <c r="S41" i="11"/>
  <c r="R42" i="11"/>
  <c r="Q43" i="11"/>
  <c r="T48" i="11"/>
  <c r="HK5" i="81"/>
  <c r="HL5" i="81"/>
  <c r="HM5" i="81"/>
  <c r="HN5" i="81"/>
  <c r="HO5" i="81"/>
  <c r="HP5" i="81"/>
  <c r="HQ5" i="81"/>
  <c r="HR5" i="81"/>
  <c r="HS5" i="81"/>
  <c r="HT5" i="81"/>
  <c r="HU5" i="81"/>
  <c r="HV5" i="81"/>
  <c r="HW5" i="81"/>
  <c r="HX5" i="81"/>
  <c r="HY5" i="81"/>
  <c r="HK6" i="81"/>
  <c r="HL6" i="81"/>
  <c r="HM6" i="81"/>
  <c r="HN6" i="81"/>
  <c r="HO6" i="81"/>
  <c r="HP6" i="81"/>
  <c r="HQ6" i="81"/>
  <c r="HR6" i="81"/>
  <c r="HS6" i="81"/>
  <c r="HT6" i="81"/>
  <c r="HU6" i="81"/>
  <c r="HV6" i="81"/>
  <c r="HW6" i="81"/>
  <c r="HX6" i="81"/>
  <c r="HY6" i="81"/>
  <c r="HK7" i="81"/>
  <c r="HL7" i="81"/>
  <c r="HM7" i="81"/>
  <c r="HN7" i="81"/>
  <c r="HO7" i="81"/>
  <c r="HP7" i="81"/>
  <c r="HQ7" i="81"/>
  <c r="HR7" i="81"/>
  <c r="HS7" i="81"/>
  <c r="HT7" i="81"/>
  <c r="HU7" i="81"/>
  <c r="HV7" i="81"/>
  <c r="HW7" i="81"/>
  <c r="HX7" i="81"/>
  <c r="HY7" i="81"/>
  <c r="HK8" i="81"/>
  <c r="HL8" i="81"/>
  <c r="HM8" i="81"/>
  <c r="HN8" i="81"/>
  <c r="HO8" i="81"/>
  <c r="HP8" i="81"/>
  <c r="HQ8" i="81"/>
  <c r="HR8" i="81"/>
  <c r="HS8" i="81"/>
  <c r="HT8" i="81"/>
  <c r="HU8" i="81"/>
  <c r="HV8" i="81"/>
  <c r="HW8" i="81"/>
  <c r="HX8" i="81"/>
  <c r="HY8" i="81"/>
  <c r="HK9" i="81"/>
  <c r="HL9" i="81"/>
  <c r="HM9" i="81"/>
  <c r="HN9" i="81"/>
  <c r="HO9" i="81"/>
  <c r="HP9" i="81"/>
  <c r="HQ9" i="81"/>
  <c r="HR9" i="81"/>
  <c r="HS9" i="81"/>
  <c r="HT9" i="81"/>
  <c r="HU9" i="81"/>
  <c r="HV9" i="81"/>
  <c r="HW9" i="81"/>
  <c r="HX9" i="81"/>
  <c r="HY9" i="81"/>
  <c r="HK10" i="81"/>
  <c r="HL10" i="81"/>
  <c r="HM10" i="81"/>
  <c r="HN10" i="81"/>
  <c r="HO10" i="81"/>
  <c r="HP10" i="81"/>
  <c r="HQ10" i="81"/>
  <c r="HR10" i="81"/>
  <c r="HS10" i="81"/>
  <c r="HT10" i="81"/>
  <c r="HU10" i="81"/>
  <c r="HV10" i="81"/>
  <c r="HW10" i="81"/>
  <c r="HX10" i="81"/>
  <c r="HY10" i="81"/>
  <c r="HK11" i="81"/>
  <c r="HL11" i="81"/>
  <c r="HM11" i="81"/>
  <c r="HN11" i="81"/>
  <c r="HO11" i="81"/>
  <c r="HP11" i="81"/>
  <c r="HQ11" i="81"/>
  <c r="HR11" i="81"/>
  <c r="HS11" i="81"/>
  <c r="HT11" i="81"/>
  <c r="HU11" i="81"/>
  <c r="HV11" i="81"/>
  <c r="HW11" i="81"/>
  <c r="HX11" i="81"/>
  <c r="HY11" i="81"/>
  <c r="HK12" i="81"/>
  <c r="HL12" i="81"/>
  <c r="HM12" i="81"/>
  <c r="HN12" i="81"/>
  <c r="HO12" i="81"/>
  <c r="HP12" i="81"/>
  <c r="HQ12" i="81"/>
  <c r="HR12" i="81"/>
  <c r="HS12" i="81"/>
  <c r="HT12" i="81"/>
  <c r="HU12" i="81"/>
  <c r="HV12" i="81"/>
  <c r="HW12" i="81"/>
  <c r="HX12" i="81"/>
  <c r="HY12" i="81"/>
  <c r="HK13" i="81"/>
  <c r="HL13" i="81"/>
  <c r="HM13" i="81"/>
  <c r="HN13" i="81"/>
  <c r="HO13" i="81"/>
  <c r="HP13" i="81"/>
  <c r="HQ13" i="81"/>
  <c r="HR13" i="81"/>
  <c r="HS13" i="81"/>
  <c r="HT13" i="81"/>
  <c r="HU13" i="81"/>
  <c r="HV13" i="81"/>
  <c r="HW13" i="81"/>
  <c r="HX13" i="81"/>
  <c r="HY13" i="81"/>
  <c r="HK14" i="81"/>
  <c r="HL14" i="81"/>
  <c r="HM14" i="81"/>
  <c r="HN14" i="81"/>
  <c r="HO14" i="81"/>
  <c r="HP14" i="81"/>
  <c r="HQ14" i="81"/>
  <c r="HR14" i="81"/>
  <c r="HS14" i="81"/>
  <c r="HT14" i="81"/>
  <c r="HU14" i="81"/>
  <c r="HV14" i="81"/>
  <c r="HW14" i="81"/>
  <c r="HX14" i="81"/>
  <c r="HY14" i="81"/>
  <c r="HK15" i="81"/>
  <c r="HL15" i="81"/>
  <c r="HM15" i="81"/>
  <c r="HN15" i="81"/>
  <c r="HO15" i="81"/>
  <c r="HP15" i="81"/>
  <c r="HQ15" i="81"/>
  <c r="HR15" i="81"/>
  <c r="HS15" i="81"/>
  <c r="HT15" i="81"/>
  <c r="HU15" i="81"/>
  <c r="HV15" i="81"/>
  <c r="HW15" i="81"/>
  <c r="HX15" i="81"/>
  <c r="HY15" i="81"/>
  <c r="HK16" i="81"/>
  <c r="HL16" i="81"/>
  <c r="HM16" i="81"/>
  <c r="HN16" i="81"/>
  <c r="HO16" i="81"/>
  <c r="HP16" i="81"/>
  <c r="HQ16" i="81"/>
  <c r="HR16" i="81"/>
  <c r="HS16" i="81"/>
  <c r="HT16" i="81"/>
  <c r="HU16" i="81"/>
  <c r="HV16" i="81"/>
  <c r="HW16" i="81"/>
  <c r="HX16" i="81"/>
  <c r="HY16" i="81"/>
  <c r="HK17" i="81"/>
  <c r="HL17" i="81"/>
  <c r="HM17" i="81"/>
  <c r="HN17" i="81"/>
  <c r="HO17" i="81"/>
  <c r="HP17" i="81"/>
  <c r="HQ17" i="81"/>
  <c r="HR17" i="81"/>
  <c r="HS17" i="81"/>
  <c r="HT17" i="81"/>
  <c r="HU17" i="81"/>
  <c r="HV17" i="81"/>
  <c r="HW17" i="81"/>
  <c r="HX17" i="81"/>
  <c r="HY17" i="81"/>
  <c r="HK18" i="81"/>
  <c r="HL18" i="81"/>
  <c r="HM18" i="81"/>
  <c r="HN18" i="81"/>
  <c r="HO18" i="81"/>
  <c r="HP18" i="81"/>
  <c r="HQ18" i="81"/>
  <c r="HR18" i="81"/>
  <c r="HS18" i="81"/>
  <c r="HT18" i="81"/>
  <c r="HU18" i="81"/>
  <c r="HV18" i="81"/>
  <c r="HW18" i="81"/>
  <c r="HX18" i="81"/>
  <c r="HY18" i="81"/>
  <c r="HK19" i="81"/>
  <c r="HL19" i="81"/>
  <c r="HM19" i="81"/>
  <c r="HN19" i="81"/>
  <c r="HO19" i="81"/>
  <c r="HP19" i="81"/>
  <c r="HQ19" i="81"/>
  <c r="HR19" i="81"/>
  <c r="HS19" i="81"/>
  <c r="HT19" i="81"/>
  <c r="HU19" i="81"/>
  <c r="HV19" i="81"/>
  <c r="HW19" i="81"/>
  <c r="HX19" i="81"/>
  <c r="HY19" i="81"/>
  <c r="HK20" i="81"/>
  <c r="HL20" i="81"/>
  <c r="HM20" i="81"/>
  <c r="HN20" i="81"/>
  <c r="HO20" i="81"/>
  <c r="HP20" i="81"/>
  <c r="HQ20" i="81"/>
  <c r="HR20" i="81"/>
  <c r="HS20" i="81"/>
  <c r="HT20" i="81"/>
  <c r="HU20" i="81"/>
  <c r="HV20" i="81"/>
  <c r="HW20" i="81"/>
  <c r="HX20" i="81"/>
  <c r="HY20" i="81"/>
  <c r="HK21" i="81"/>
  <c r="HL21" i="81"/>
  <c r="HM21" i="81"/>
  <c r="HN21" i="81"/>
  <c r="HO21" i="81"/>
  <c r="HP21" i="81"/>
  <c r="HQ21" i="81"/>
  <c r="HR21" i="81"/>
  <c r="HS21" i="81"/>
  <c r="HT21" i="81"/>
  <c r="HU21" i="81"/>
  <c r="HV21" i="81"/>
  <c r="HW21" i="81"/>
  <c r="HX21" i="81"/>
  <c r="HY21" i="81"/>
  <c r="HK22" i="81"/>
  <c r="HL22" i="81"/>
  <c r="HM22" i="81"/>
  <c r="HN22" i="81"/>
  <c r="HO22" i="81"/>
  <c r="HP22" i="81"/>
  <c r="HQ22" i="81"/>
  <c r="HR22" i="81"/>
  <c r="HS22" i="81"/>
  <c r="HT22" i="81"/>
  <c r="HU22" i="81"/>
  <c r="HV22" i="81"/>
  <c r="HW22" i="81"/>
  <c r="HX22" i="81"/>
  <c r="HY22" i="81"/>
  <c r="HK23" i="81"/>
  <c r="HL23" i="81"/>
  <c r="HM23" i="81"/>
  <c r="HN23" i="81"/>
  <c r="HO23" i="81"/>
  <c r="HP23" i="81"/>
  <c r="HQ23" i="81"/>
  <c r="HR23" i="81"/>
  <c r="HS23" i="81"/>
  <c r="HT23" i="81"/>
  <c r="HU23" i="81"/>
  <c r="HV23" i="81"/>
  <c r="HW23" i="81"/>
  <c r="HX23" i="81"/>
  <c r="HY23" i="81"/>
  <c r="HK24" i="81"/>
  <c r="HL24" i="81"/>
  <c r="HM24" i="81"/>
  <c r="HN24" i="81"/>
  <c r="HO24" i="81"/>
  <c r="HP24" i="81"/>
  <c r="HQ24" i="81"/>
  <c r="HR24" i="81"/>
  <c r="HS24" i="81"/>
  <c r="HT24" i="81"/>
  <c r="HU24" i="81"/>
  <c r="HV24" i="81"/>
  <c r="HW24" i="81"/>
  <c r="HX24" i="81"/>
  <c r="HY24" i="81"/>
  <c r="HK25" i="81"/>
  <c r="HL25" i="81"/>
  <c r="HM25" i="81"/>
  <c r="HN25" i="81"/>
  <c r="HO25" i="81"/>
  <c r="HP25" i="81"/>
  <c r="HQ25" i="81"/>
  <c r="HR25" i="81"/>
  <c r="HS25" i="81"/>
  <c r="HT25" i="81"/>
  <c r="HU25" i="81"/>
  <c r="HV25" i="81"/>
  <c r="HW25" i="81"/>
  <c r="HX25" i="81"/>
  <c r="HY25" i="81"/>
  <c r="HK26" i="81"/>
  <c r="HL26" i="81"/>
  <c r="HM26" i="81"/>
  <c r="HN26" i="81"/>
  <c r="HO26" i="81"/>
  <c r="HP26" i="81"/>
  <c r="HQ26" i="81"/>
  <c r="HR26" i="81"/>
  <c r="HS26" i="81"/>
  <c r="HT26" i="81"/>
  <c r="HU26" i="81"/>
  <c r="HV26" i="81"/>
  <c r="HW26" i="81"/>
  <c r="HX26" i="81"/>
  <c r="HY26" i="81"/>
  <c r="HK27" i="81"/>
  <c r="HL27" i="81"/>
  <c r="HM27" i="81"/>
  <c r="HN27" i="81"/>
  <c r="HO27" i="81"/>
  <c r="HP27" i="81"/>
  <c r="HQ27" i="81"/>
  <c r="HR27" i="81"/>
  <c r="HS27" i="81"/>
  <c r="HT27" i="81"/>
  <c r="HU27" i="81"/>
  <c r="HV27" i="81"/>
  <c r="HW27" i="81"/>
  <c r="HX27" i="81"/>
  <c r="HY27" i="81"/>
  <c r="HK28" i="81"/>
  <c r="HL28" i="81"/>
  <c r="HM28" i="81"/>
  <c r="HN28" i="81"/>
  <c r="HO28" i="81"/>
  <c r="HP28" i="81"/>
  <c r="HQ28" i="81"/>
  <c r="HR28" i="81"/>
  <c r="HS28" i="81"/>
  <c r="HT28" i="81"/>
  <c r="HU28" i="81"/>
  <c r="HV28" i="81"/>
  <c r="HW28" i="81"/>
  <c r="HX28" i="81"/>
  <c r="HY28" i="81"/>
  <c r="HK29" i="81"/>
  <c r="HL29" i="81"/>
  <c r="HM29" i="81"/>
  <c r="HN29" i="81"/>
  <c r="HO29" i="81"/>
  <c r="HP29" i="81"/>
  <c r="HQ29" i="81"/>
  <c r="HR29" i="81"/>
  <c r="HS29" i="81"/>
  <c r="HT29" i="81"/>
  <c r="HU29" i="81"/>
  <c r="HV29" i="81"/>
  <c r="HW29" i="81"/>
  <c r="HX29" i="81"/>
  <c r="HY29" i="81"/>
  <c r="HK30" i="81"/>
  <c r="HL30" i="81"/>
  <c r="HM30" i="81"/>
  <c r="HN30" i="81"/>
  <c r="HO30" i="81"/>
  <c r="HP30" i="81"/>
  <c r="HQ30" i="81"/>
  <c r="HR30" i="81"/>
  <c r="HS30" i="81"/>
  <c r="HT30" i="81"/>
  <c r="HU30" i="81"/>
  <c r="HV30" i="81"/>
  <c r="HW30" i="81"/>
  <c r="HX30" i="81"/>
  <c r="HY30" i="81"/>
  <c r="HK31" i="81"/>
  <c r="HL31" i="81"/>
  <c r="HM31" i="81"/>
  <c r="HN31" i="81"/>
  <c r="HO31" i="81"/>
  <c r="HP31" i="81"/>
  <c r="HQ31" i="81"/>
  <c r="HR31" i="81"/>
  <c r="HS31" i="81"/>
  <c r="HT31" i="81"/>
  <c r="HU31" i="81"/>
  <c r="HV31" i="81"/>
  <c r="HW31" i="81"/>
  <c r="HX31" i="81"/>
  <c r="HY31" i="81"/>
  <c r="HK32" i="81"/>
  <c r="HL32" i="81"/>
  <c r="HM32" i="81"/>
  <c r="HN32" i="81"/>
  <c r="HO32" i="81"/>
  <c r="HP32" i="81"/>
  <c r="HQ32" i="81"/>
  <c r="HR32" i="81"/>
  <c r="HS32" i="81"/>
  <c r="HT32" i="81"/>
  <c r="HU32" i="81"/>
  <c r="HV32" i="81"/>
  <c r="HW32" i="81"/>
  <c r="HX32" i="81"/>
  <c r="HY32" i="81"/>
  <c r="HK33" i="81"/>
  <c r="HL33" i="81"/>
  <c r="HM33" i="81"/>
  <c r="HN33" i="81"/>
  <c r="HO33" i="81"/>
  <c r="HP33" i="81"/>
  <c r="HQ33" i="81"/>
  <c r="HR33" i="81"/>
  <c r="HS33" i="81"/>
  <c r="HT33" i="81"/>
  <c r="HU33" i="81"/>
  <c r="HV33" i="81"/>
  <c r="HW33" i="81"/>
  <c r="HX33" i="81"/>
  <c r="HY33" i="81"/>
  <c r="HK34" i="81"/>
  <c r="HL34" i="81"/>
  <c r="HM34" i="81"/>
  <c r="HN34" i="81"/>
  <c r="HO34" i="81"/>
  <c r="HP34" i="81"/>
  <c r="HQ34" i="81"/>
  <c r="HR34" i="81"/>
  <c r="HS34" i="81"/>
  <c r="HT34" i="81"/>
  <c r="HU34" i="81"/>
  <c r="HV34" i="81"/>
  <c r="HW34" i="81"/>
  <c r="HX34" i="81"/>
  <c r="HY34" i="81"/>
  <c r="HK35" i="81"/>
  <c r="HL35" i="81"/>
  <c r="HM35" i="81"/>
  <c r="HN35" i="81"/>
  <c r="HO35" i="81"/>
  <c r="HP35" i="81"/>
  <c r="HQ35" i="81"/>
  <c r="HR35" i="81"/>
  <c r="HS35" i="81"/>
  <c r="HT35" i="81"/>
  <c r="HU35" i="81"/>
  <c r="HV35" i="81"/>
  <c r="HW35" i="81"/>
  <c r="HX35" i="81"/>
  <c r="HY35" i="81"/>
  <c r="HK36" i="81"/>
  <c r="HL36" i="81"/>
  <c r="HM36" i="81"/>
  <c r="HN36" i="81"/>
  <c r="HO36" i="81"/>
  <c r="HP36" i="81"/>
  <c r="HQ36" i="81"/>
  <c r="HR36" i="81"/>
  <c r="HS36" i="81"/>
  <c r="HT36" i="81"/>
  <c r="HU36" i="81"/>
  <c r="HV36" i="81"/>
  <c r="HW36" i="81"/>
  <c r="HX36" i="81"/>
  <c r="HY36" i="81"/>
  <c r="HK37" i="81"/>
  <c r="HL37" i="81"/>
  <c r="HM37" i="81"/>
  <c r="HN37" i="81"/>
  <c r="HO37" i="81"/>
  <c r="HP37" i="81"/>
  <c r="HQ37" i="81"/>
  <c r="HR37" i="81"/>
  <c r="HS37" i="81"/>
  <c r="HT37" i="81"/>
  <c r="HU37" i="81"/>
  <c r="HV37" i="81"/>
  <c r="HW37" i="81"/>
  <c r="HX37" i="81"/>
  <c r="HY37" i="81"/>
  <c r="HL4" i="81"/>
  <c r="HL51" i="81" s="1"/>
  <c r="HM4" i="81"/>
  <c r="HN4" i="81"/>
  <c r="HO4" i="81"/>
  <c r="HP4" i="81"/>
  <c r="HP51" i="81" s="1"/>
  <c r="HQ4" i="81"/>
  <c r="HR4" i="81"/>
  <c r="HS4" i="81"/>
  <c r="HT4" i="81"/>
  <c r="HT51" i="81" s="1"/>
  <c r="HU4" i="81"/>
  <c r="HV4" i="81"/>
  <c r="HW4" i="81"/>
  <c r="HX4" i="81"/>
  <c r="HX51" i="81" s="1"/>
  <c r="HY4" i="81"/>
  <c r="HK4" i="81"/>
  <c r="HG43" i="81"/>
  <c r="HG42" i="81"/>
  <c r="HG41" i="81"/>
  <c r="HG40" i="81"/>
  <c r="HG39" i="81"/>
  <c r="HG38" i="81"/>
  <c r="HG37" i="81"/>
  <c r="HG36" i="81"/>
  <c r="HG35" i="81"/>
  <c r="HG34" i="81"/>
  <c r="HG33" i="81"/>
  <c r="HG32" i="81"/>
  <c r="HG31" i="81"/>
  <c r="HG30" i="81"/>
  <c r="HG29" i="81"/>
  <c r="HG28" i="81"/>
  <c r="HG27" i="81"/>
  <c r="HG26" i="81"/>
  <c r="HG25" i="81"/>
  <c r="HG24" i="81"/>
  <c r="HG23" i="81"/>
  <c r="HG22" i="81"/>
  <c r="HG21" i="81"/>
  <c r="HG20" i="81"/>
  <c r="HG19" i="81"/>
  <c r="HG18" i="81"/>
  <c r="HG17" i="81"/>
  <c r="HG16" i="81"/>
  <c r="HG15" i="81"/>
  <c r="HG14" i="81"/>
  <c r="HG13" i="81"/>
  <c r="HG12" i="81"/>
  <c r="HG11" i="81"/>
  <c r="HG10" i="81"/>
  <c r="HG9" i="81"/>
  <c r="HG8" i="81"/>
  <c r="HG7" i="81"/>
  <c r="HW51" i="81" l="1"/>
  <c r="HS51" i="81"/>
  <c r="HO51" i="81"/>
  <c r="HV51" i="81"/>
  <c r="HR51" i="81"/>
  <c r="HN51" i="81"/>
  <c r="HK51" i="81"/>
  <c r="HY51" i="81"/>
  <c r="HU51" i="81"/>
  <c r="HQ51" i="81"/>
  <c r="HM51" i="81"/>
  <c r="HZ51" i="81"/>
  <c r="Q51" i="11"/>
  <c r="R50" i="11"/>
  <c r="C16" i="10"/>
  <c r="AJ13" i="10"/>
  <c r="AJ16" i="10" s="1"/>
  <c r="MJ68" i="80"/>
  <c r="MI66" i="80"/>
  <c r="MH48" i="80"/>
  <c r="MH49" i="80"/>
  <c r="MH42" i="80"/>
  <c r="MH43" i="80"/>
  <c r="MH44" i="80"/>
  <c r="MH45" i="80"/>
  <c r="MH46" i="80"/>
  <c r="MH47" i="80"/>
  <c r="MH33" i="80"/>
  <c r="MH34" i="80"/>
  <c r="MH35" i="80"/>
  <c r="MH36" i="80"/>
  <c r="MH37" i="80"/>
  <c r="MH38" i="80"/>
  <c r="MH39" i="80"/>
  <c r="MH40" i="80"/>
  <c r="MH41" i="80"/>
  <c r="MH26" i="80"/>
  <c r="MH27" i="80"/>
  <c r="MH28" i="80"/>
  <c r="MH29" i="80"/>
  <c r="MH30" i="80"/>
  <c r="MH31" i="80"/>
  <c r="MH32" i="80"/>
  <c r="MH17" i="80"/>
  <c r="MH18" i="80"/>
  <c r="MH19" i="80"/>
  <c r="MH20" i="80"/>
  <c r="MH21" i="80"/>
  <c r="MH22" i="80"/>
  <c r="MH23" i="80"/>
  <c r="MH24" i="80"/>
  <c r="MH25" i="80"/>
  <c r="MH16" i="80"/>
  <c r="MJ17" i="80"/>
  <c r="MK17" i="80"/>
  <c r="ML17" i="80"/>
  <c r="MM17" i="80"/>
  <c r="MN17" i="80"/>
  <c r="MO17" i="80"/>
  <c r="MP17" i="80"/>
  <c r="MQ17" i="80"/>
  <c r="MR17" i="80"/>
  <c r="MS17" i="80"/>
  <c r="MI18" i="80"/>
  <c r="MJ18" i="80"/>
  <c r="MK18" i="80"/>
  <c r="ML18" i="80"/>
  <c r="MM18" i="80"/>
  <c r="MN18" i="80"/>
  <c r="MO18" i="80"/>
  <c r="MP18" i="80"/>
  <c r="MQ18" i="80"/>
  <c r="MR18" i="80"/>
  <c r="MS18" i="80"/>
  <c r="MI19" i="80"/>
  <c r="MJ19" i="80"/>
  <c r="MK19" i="80"/>
  <c r="ML19" i="80"/>
  <c r="MM19" i="80"/>
  <c r="MN19" i="80"/>
  <c r="MO19" i="80"/>
  <c r="MP19" i="80"/>
  <c r="MQ19" i="80"/>
  <c r="MR19" i="80"/>
  <c r="MS19" i="80"/>
  <c r="MI20" i="80"/>
  <c r="MJ20" i="80"/>
  <c r="MK20" i="80"/>
  <c r="ML20" i="80"/>
  <c r="MM20" i="80"/>
  <c r="MN20" i="80"/>
  <c r="MO20" i="80"/>
  <c r="MP20" i="80"/>
  <c r="MQ20" i="80"/>
  <c r="MR20" i="80"/>
  <c r="MS20" i="80"/>
  <c r="MI21" i="80"/>
  <c r="MJ21" i="80"/>
  <c r="MK21" i="80"/>
  <c r="ML21" i="80"/>
  <c r="MM21" i="80"/>
  <c r="MN21" i="80"/>
  <c r="MO21" i="80"/>
  <c r="MP21" i="80"/>
  <c r="MQ21" i="80"/>
  <c r="MR21" i="80"/>
  <c r="MS21" i="80"/>
  <c r="MI22" i="80"/>
  <c r="MJ22" i="80"/>
  <c r="MK22" i="80"/>
  <c r="ML22" i="80"/>
  <c r="MM22" i="80"/>
  <c r="MN22" i="80"/>
  <c r="MO22" i="80"/>
  <c r="MP22" i="80"/>
  <c r="MQ22" i="80"/>
  <c r="MR22" i="80"/>
  <c r="MS22" i="80"/>
  <c r="MI23" i="80"/>
  <c r="MJ23" i="80"/>
  <c r="MK23" i="80"/>
  <c r="ML23" i="80"/>
  <c r="MM23" i="80"/>
  <c r="MN23" i="80"/>
  <c r="MO23" i="80"/>
  <c r="MP23" i="80"/>
  <c r="MQ23" i="80"/>
  <c r="MR23" i="80"/>
  <c r="MS23" i="80"/>
  <c r="MI24" i="80"/>
  <c r="MJ24" i="80"/>
  <c r="MK24" i="80"/>
  <c r="ML24" i="80"/>
  <c r="MM24" i="80"/>
  <c r="MN24" i="80"/>
  <c r="MO24" i="80"/>
  <c r="MP24" i="80"/>
  <c r="MQ24" i="80"/>
  <c r="MR24" i="80"/>
  <c r="MS24" i="80"/>
  <c r="MI25" i="80"/>
  <c r="MJ25" i="80"/>
  <c r="MK25" i="80"/>
  <c r="ML25" i="80"/>
  <c r="MM25" i="80"/>
  <c r="MN25" i="80"/>
  <c r="MO25" i="80"/>
  <c r="MP25" i="80"/>
  <c r="MQ25" i="80"/>
  <c r="MR25" i="80"/>
  <c r="MS25" i="80"/>
  <c r="MI26" i="80"/>
  <c r="MJ26" i="80"/>
  <c r="MK26" i="80"/>
  <c r="ML26" i="80"/>
  <c r="MM26" i="80"/>
  <c r="MN26" i="80"/>
  <c r="MO26" i="80"/>
  <c r="MP26" i="80"/>
  <c r="MQ26" i="80"/>
  <c r="MR26" i="80"/>
  <c r="MS26" i="80"/>
  <c r="MI27" i="80"/>
  <c r="MJ27" i="80"/>
  <c r="MK27" i="80"/>
  <c r="ML27" i="80"/>
  <c r="MM27" i="80"/>
  <c r="MN27" i="80"/>
  <c r="MO27" i="80"/>
  <c r="MP27" i="80"/>
  <c r="MQ27" i="80"/>
  <c r="MR27" i="80"/>
  <c r="MS27" i="80"/>
  <c r="MI28" i="80"/>
  <c r="MJ28" i="80"/>
  <c r="MK28" i="80"/>
  <c r="ML28" i="80"/>
  <c r="MM28" i="80"/>
  <c r="MN28" i="80"/>
  <c r="MO28" i="80"/>
  <c r="MP28" i="80"/>
  <c r="MQ28" i="80"/>
  <c r="MR28" i="80"/>
  <c r="MS28" i="80"/>
  <c r="MI29" i="80"/>
  <c r="MJ29" i="80"/>
  <c r="MK29" i="80"/>
  <c r="ML29" i="80"/>
  <c r="MM29" i="80"/>
  <c r="MN29" i="80"/>
  <c r="MO29" i="80"/>
  <c r="MP29" i="80"/>
  <c r="MQ29" i="80"/>
  <c r="MR29" i="80"/>
  <c r="MS29" i="80"/>
  <c r="MI30" i="80"/>
  <c r="MJ30" i="80"/>
  <c r="MK30" i="80"/>
  <c r="ML30" i="80"/>
  <c r="MM30" i="80"/>
  <c r="MN30" i="80"/>
  <c r="MO30" i="80"/>
  <c r="MP30" i="80"/>
  <c r="MQ30" i="80"/>
  <c r="MR30" i="80"/>
  <c r="MS30" i="80"/>
  <c r="MI31" i="80"/>
  <c r="MJ31" i="80"/>
  <c r="MK31" i="80"/>
  <c r="ML31" i="80"/>
  <c r="MM31" i="80"/>
  <c r="MN31" i="80"/>
  <c r="MO31" i="80"/>
  <c r="MP31" i="80"/>
  <c r="MQ31" i="80"/>
  <c r="MR31" i="80"/>
  <c r="MS31" i="80"/>
  <c r="MI32" i="80"/>
  <c r="MJ32" i="80"/>
  <c r="MK32" i="80"/>
  <c r="ML32" i="80"/>
  <c r="MM32" i="80"/>
  <c r="MN32" i="80"/>
  <c r="MO32" i="80"/>
  <c r="MP32" i="80"/>
  <c r="MQ32" i="80"/>
  <c r="MR32" i="80"/>
  <c r="MS32" i="80"/>
  <c r="MI33" i="80"/>
  <c r="MJ33" i="80"/>
  <c r="MK33" i="80"/>
  <c r="ML33" i="80"/>
  <c r="MM33" i="80"/>
  <c r="MN33" i="80"/>
  <c r="MO33" i="80"/>
  <c r="MP33" i="80"/>
  <c r="MQ33" i="80"/>
  <c r="MR33" i="80"/>
  <c r="MS33" i="80"/>
  <c r="MI34" i="80"/>
  <c r="MJ34" i="80"/>
  <c r="MK34" i="80"/>
  <c r="ML34" i="80"/>
  <c r="MM34" i="80"/>
  <c r="MN34" i="80"/>
  <c r="MO34" i="80"/>
  <c r="MP34" i="80"/>
  <c r="MQ34" i="80"/>
  <c r="MR34" i="80"/>
  <c r="MS34" i="80"/>
  <c r="MI35" i="80"/>
  <c r="MJ35" i="80"/>
  <c r="MK35" i="80"/>
  <c r="ML35" i="80"/>
  <c r="MM35" i="80"/>
  <c r="MN35" i="80"/>
  <c r="MO35" i="80"/>
  <c r="MP35" i="80"/>
  <c r="MQ35" i="80"/>
  <c r="MR35" i="80"/>
  <c r="MS35" i="80"/>
  <c r="MI36" i="80"/>
  <c r="MJ36" i="80"/>
  <c r="MK36" i="80"/>
  <c r="ML36" i="80"/>
  <c r="MM36" i="80"/>
  <c r="MN36" i="80"/>
  <c r="MO36" i="80"/>
  <c r="MP36" i="80"/>
  <c r="MQ36" i="80"/>
  <c r="MR36" i="80"/>
  <c r="MS36" i="80"/>
  <c r="MI37" i="80"/>
  <c r="MJ37" i="80"/>
  <c r="MK37" i="80"/>
  <c r="ML37" i="80"/>
  <c r="MM37" i="80"/>
  <c r="MN37" i="80"/>
  <c r="MO37" i="80"/>
  <c r="MP37" i="80"/>
  <c r="MQ37" i="80"/>
  <c r="MR37" i="80"/>
  <c r="MS37" i="80"/>
  <c r="MI38" i="80"/>
  <c r="MJ38" i="80"/>
  <c r="MK38" i="80"/>
  <c r="ML38" i="80"/>
  <c r="MM38" i="80"/>
  <c r="MN38" i="80"/>
  <c r="MO38" i="80"/>
  <c r="MP38" i="80"/>
  <c r="MQ38" i="80"/>
  <c r="MR38" i="80"/>
  <c r="MS38" i="80"/>
  <c r="MI39" i="80"/>
  <c r="MJ39" i="80"/>
  <c r="MK39" i="80"/>
  <c r="ML39" i="80"/>
  <c r="MM39" i="80"/>
  <c r="MN39" i="80"/>
  <c r="MO39" i="80"/>
  <c r="MP39" i="80"/>
  <c r="MQ39" i="80"/>
  <c r="MR39" i="80"/>
  <c r="MS39" i="80"/>
  <c r="MI40" i="80"/>
  <c r="MJ40" i="80"/>
  <c r="MK40" i="80"/>
  <c r="ML40" i="80"/>
  <c r="MM40" i="80"/>
  <c r="MN40" i="80"/>
  <c r="MO40" i="80"/>
  <c r="MP40" i="80"/>
  <c r="MQ40" i="80"/>
  <c r="MR40" i="80"/>
  <c r="MS40" i="80"/>
  <c r="MI41" i="80"/>
  <c r="MJ41" i="80"/>
  <c r="MK41" i="80"/>
  <c r="ML41" i="80"/>
  <c r="MM41" i="80"/>
  <c r="MN41" i="80"/>
  <c r="MO41" i="80"/>
  <c r="MP41" i="80"/>
  <c r="MQ41" i="80"/>
  <c r="MR41" i="80"/>
  <c r="MS41" i="80"/>
  <c r="MI42" i="80"/>
  <c r="MJ42" i="80"/>
  <c r="MK42" i="80"/>
  <c r="ML42" i="80"/>
  <c r="MM42" i="80"/>
  <c r="MN42" i="80"/>
  <c r="MO42" i="80"/>
  <c r="MP42" i="80"/>
  <c r="MQ42" i="80"/>
  <c r="MR42" i="80"/>
  <c r="MS42" i="80"/>
  <c r="MI43" i="80"/>
  <c r="MJ43" i="80"/>
  <c r="MK43" i="80"/>
  <c r="ML43" i="80"/>
  <c r="MM43" i="80"/>
  <c r="MN43" i="80"/>
  <c r="MO43" i="80"/>
  <c r="MP43" i="80"/>
  <c r="MQ43" i="80"/>
  <c r="MR43" i="80"/>
  <c r="MS43" i="80"/>
  <c r="MI44" i="80"/>
  <c r="MJ44" i="80"/>
  <c r="MK44" i="80"/>
  <c r="ML44" i="80"/>
  <c r="MM44" i="80"/>
  <c r="MN44" i="80"/>
  <c r="MO44" i="80"/>
  <c r="MP44" i="80"/>
  <c r="MQ44" i="80"/>
  <c r="MR44" i="80"/>
  <c r="MS44" i="80"/>
  <c r="MI45" i="80"/>
  <c r="MJ45" i="80"/>
  <c r="MK45" i="80"/>
  <c r="ML45" i="80"/>
  <c r="MM45" i="80"/>
  <c r="MN45" i="80"/>
  <c r="MO45" i="80"/>
  <c r="MP45" i="80"/>
  <c r="MQ45" i="80"/>
  <c r="MR45" i="80"/>
  <c r="MS45" i="80"/>
  <c r="MI46" i="80"/>
  <c r="MJ46" i="80"/>
  <c r="MK46" i="80"/>
  <c r="ML46" i="80"/>
  <c r="MM46" i="80"/>
  <c r="MN46" i="80"/>
  <c r="MO46" i="80"/>
  <c r="MP46" i="80"/>
  <c r="MQ46" i="80"/>
  <c r="MR46" i="80"/>
  <c r="MS46" i="80"/>
  <c r="MI47" i="80"/>
  <c r="MJ47" i="80"/>
  <c r="MK47" i="80"/>
  <c r="ML47" i="80"/>
  <c r="MM47" i="80"/>
  <c r="MN47" i="80"/>
  <c r="MO47" i="80"/>
  <c r="MP47" i="80"/>
  <c r="MQ47" i="80"/>
  <c r="MR47" i="80"/>
  <c r="MS47" i="80"/>
  <c r="MI48" i="80"/>
  <c r="MJ48" i="80"/>
  <c r="MK48" i="80"/>
  <c r="ML48" i="80"/>
  <c r="MM48" i="80"/>
  <c r="MN48" i="80"/>
  <c r="MO48" i="80"/>
  <c r="MP48" i="80"/>
  <c r="MQ48" i="80"/>
  <c r="MR48" i="80"/>
  <c r="MS48" i="80"/>
  <c r="MI49" i="80"/>
  <c r="MJ49" i="80"/>
  <c r="MK49" i="80"/>
  <c r="ML49" i="80"/>
  <c r="MM49" i="80"/>
  <c r="MN49" i="80"/>
  <c r="MO49" i="80"/>
  <c r="MP49" i="80"/>
  <c r="MQ49" i="80"/>
  <c r="MR49" i="80"/>
  <c r="MS49" i="80"/>
  <c r="MJ16" i="80"/>
  <c r="MJ54" i="80" s="1"/>
  <c r="MK16" i="80"/>
  <c r="ML16" i="80"/>
  <c r="MM16" i="80"/>
  <c r="MN16" i="80"/>
  <c r="MN54" i="80" s="1"/>
  <c r="MO16" i="80"/>
  <c r="MP16" i="80"/>
  <c r="MQ16" i="80"/>
  <c r="MR16" i="80"/>
  <c r="MR54" i="80" s="1"/>
  <c r="MS16" i="80"/>
  <c r="MI16" i="80"/>
  <c r="KZ54" i="80"/>
  <c r="KX54" i="80"/>
  <c r="KY54" i="80"/>
  <c r="LA54" i="80"/>
  <c r="LB54" i="80"/>
  <c r="LC54" i="80"/>
  <c r="LD54" i="80"/>
  <c r="LE54" i="80"/>
  <c r="LF54" i="80"/>
  <c r="LG54" i="80"/>
  <c r="LH54" i="80"/>
  <c r="LI54" i="80"/>
  <c r="KW54" i="80"/>
  <c r="LJ13" i="80"/>
  <c r="LK13" i="80"/>
  <c r="LL13" i="80"/>
  <c r="LM13" i="80"/>
  <c r="LN13" i="80"/>
  <c r="LO13" i="80"/>
  <c r="LP13" i="80"/>
  <c r="LQ13" i="80"/>
  <c r="LR13" i="80"/>
  <c r="LS13" i="80"/>
  <c r="LT13" i="80"/>
  <c r="LJ14" i="80"/>
  <c r="LK14" i="80"/>
  <c r="LL14" i="80"/>
  <c r="LM14" i="80"/>
  <c r="LN14" i="80"/>
  <c r="LO14" i="80"/>
  <c r="LP14" i="80"/>
  <c r="LQ14" i="80"/>
  <c r="LR14" i="80"/>
  <c r="LS14" i="80"/>
  <c r="LT14" i="80"/>
  <c r="LJ15" i="80"/>
  <c r="LK15" i="80"/>
  <c r="LL15" i="80"/>
  <c r="LM15" i="80"/>
  <c r="LN15" i="80"/>
  <c r="LO15" i="80"/>
  <c r="LP15" i="80"/>
  <c r="LQ15" i="80"/>
  <c r="LR15" i="80"/>
  <c r="LS15" i="80"/>
  <c r="LT15" i="80"/>
  <c r="LJ16" i="80"/>
  <c r="LK16" i="80"/>
  <c r="LL16" i="80"/>
  <c r="LM16" i="80"/>
  <c r="LN16" i="80"/>
  <c r="LO16" i="80"/>
  <c r="LP16" i="80"/>
  <c r="LQ16" i="80"/>
  <c r="LR16" i="80"/>
  <c r="LS16" i="80"/>
  <c r="LT16" i="80"/>
  <c r="LJ17" i="80"/>
  <c r="LK17" i="80"/>
  <c r="LL17" i="80"/>
  <c r="LM17" i="80"/>
  <c r="LN17" i="80"/>
  <c r="LO17" i="80"/>
  <c r="LP17" i="80"/>
  <c r="LQ17" i="80"/>
  <c r="LR17" i="80"/>
  <c r="LS17" i="80"/>
  <c r="LT17" i="80"/>
  <c r="LJ18" i="80"/>
  <c r="LK18" i="80"/>
  <c r="LL18" i="80"/>
  <c r="LM18" i="80"/>
  <c r="LN18" i="80"/>
  <c r="LO18" i="80"/>
  <c r="LP18" i="80"/>
  <c r="LQ18" i="80"/>
  <c r="LR18" i="80"/>
  <c r="LS18" i="80"/>
  <c r="LT18" i="80"/>
  <c r="LJ19" i="80"/>
  <c r="LK19" i="80"/>
  <c r="LL19" i="80"/>
  <c r="LM19" i="80"/>
  <c r="LN19" i="80"/>
  <c r="LO19" i="80"/>
  <c r="LP19" i="80"/>
  <c r="LQ19" i="80"/>
  <c r="LR19" i="80"/>
  <c r="LS19" i="80"/>
  <c r="LT19" i="80"/>
  <c r="LJ20" i="80"/>
  <c r="LK20" i="80"/>
  <c r="LL20" i="80"/>
  <c r="LM20" i="80"/>
  <c r="LN20" i="80"/>
  <c r="LO20" i="80"/>
  <c r="LP20" i="80"/>
  <c r="LQ20" i="80"/>
  <c r="LR20" i="80"/>
  <c r="LS20" i="80"/>
  <c r="LT20" i="80"/>
  <c r="LJ21" i="80"/>
  <c r="LK21" i="80"/>
  <c r="LL21" i="80"/>
  <c r="LM21" i="80"/>
  <c r="LN21" i="80"/>
  <c r="LO21" i="80"/>
  <c r="LP21" i="80"/>
  <c r="LQ21" i="80"/>
  <c r="LR21" i="80"/>
  <c r="LS21" i="80"/>
  <c r="LT21" i="80"/>
  <c r="LJ22" i="80"/>
  <c r="LK22" i="80"/>
  <c r="LL22" i="80"/>
  <c r="LM22" i="80"/>
  <c r="LN22" i="80"/>
  <c r="LO22" i="80"/>
  <c r="LP22" i="80"/>
  <c r="LQ22" i="80"/>
  <c r="LR22" i="80"/>
  <c r="LS22" i="80"/>
  <c r="LT22" i="80"/>
  <c r="LJ23" i="80"/>
  <c r="LK23" i="80"/>
  <c r="LL23" i="80"/>
  <c r="LM23" i="80"/>
  <c r="LN23" i="80"/>
  <c r="LO23" i="80"/>
  <c r="LP23" i="80"/>
  <c r="LQ23" i="80"/>
  <c r="LR23" i="80"/>
  <c r="LS23" i="80"/>
  <c r="LT23" i="80"/>
  <c r="LJ24" i="80"/>
  <c r="LK24" i="80"/>
  <c r="LL24" i="80"/>
  <c r="LM24" i="80"/>
  <c r="LN24" i="80"/>
  <c r="LO24" i="80"/>
  <c r="LP24" i="80"/>
  <c r="LQ24" i="80"/>
  <c r="LR24" i="80"/>
  <c r="LS24" i="80"/>
  <c r="LT24" i="80"/>
  <c r="LJ25" i="80"/>
  <c r="LK25" i="80"/>
  <c r="LL25" i="80"/>
  <c r="LM25" i="80"/>
  <c r="LN25" i="80"/>
  <c r="LO25" i="80"/>
  <c r="LP25" i="80"/>
  <c r="LQ25" i="80"/>
  <c r="LR25" i="80"/>
  <c r="LS25" i="80"/>
  <c r="LT25" i="80"/>
  <c r="LJ26" i="80"/>
  <c r="LK26" i="80"/>
  <c r="LL26" i="80"/>
  <c r="LM26" i="80"/>
  <c r="LN26" i="80"/>
  <c r="LO26" i="80"/>
  <c r="LP26" i="80"/>
  <c r="LQ26" i="80"/>
  <c r="LR26" i="80"/>
  <c r="LS26" i="80"/>
  <c r="LT26" i="80"/>
  <c r="LJ27" i="80"/>
  <c r="LK27" i="80"/>
  <c r="LL27" i="80"/>
  <c r="LM27" i="80"/>
  <c r="LN27" i="80"/>
  <c r="LO27" i="80"/>
  <c r="LP27" i="80"/>
  <c r="LQ27" i="80"/>
  <c r="LR27" i="80"/>
  <c r="LS27" i="80"/>
  <c r="LT27" i="80"/>
  <c r="LJ28" i="80"/>
  <c r="LK28" i="80"/>
  <c r="LL28" i="80"/>
  <c r="LM28" i="80"/>
  <c r="LN28" i="80"/>
  <c r="LO28" i="80"/>
  <c r="LP28" i="80"/>
  <c r="LQ28" i="80"/>
  <c r="LR28" i="80"/>
  <c r="LS28" i="80"/>
  <c r="LT28" i="80"/>
  <c r="LJ29" i="80"/>
  <c r="LK29" i="80"/>
  <c r="LL29" i="80"/>
  <c r="LM29" i="80"/>
  <c r="LN29" i="80"/>
  <c r="LO29" i="80"/>
  <c r="LP29" i="80"/>
  <c r="LQ29" i="80"/>
  <c r="LR29" i="80"/>
  <c r="LS29" i="80"/>
  <c r="LT29" i="80"/>
  <c r="LJ30" i="80"/>
  <c r="LK30" i="80"/>
  <c r="LL30" i="80"/>
  <c r="LM30" i="80"/>
  <c r="LN30" i="80"/>
  <c r="LO30" i="80"/>
  <c r="LP30" i="80"/>
  <c r="LQ30" i="80"/>
  <c r="LR30" i="80"/>
  <c r="LS30" i="80"/>
  <c r="LT30" i="80"/>
  <c r="LJ31" i="80"/>
  <c r="LK31" i="80"/>
  <c r="LL31" i="80"/>
  <c r="LM31" i="80"/>
  <c r="LN31" i="80"/>
  <c r="LO31" i="80"/>
  <c r="LP31" i="80"/>
  <c r="LQ31" i="80"/>
  <c r="LR31" i="80"/>
  <c r="LS31" i="80"/>
  <c r="LT31" i="80"/>
  <c r="LJ32" i="80"/>
  <c r="LK32" i="80"/>
  <c r="LL32" i="80"/>
  <c r="LM32" i="80"/>
  <c r="LN32" i="80"/>
  <c r="LO32" i="80"/>
  <c r="LP32" i="80"/>
  <c r="LQ32" i="80"/>
  <c r="LR32" i="80"/>
  <c r="LS32" i="80"/>
  <c r="LT32" i="80"/>
  <c r="LJ33" i="80"/>
  <c r="LK33" i="80"/>
  <c r="LL33" i="80"/>
  <c r="LM33" i="80"/>
  <c r="LN33" i="80"/>
  <c r="LO33" i="80"/>
  <c r="LP33" i="80"/>
  <c r="LQ33" i="80"/>
  <c r="LR33" i="80"/>
  <c r="LS33" i="80"/>
  <c r="LT33" i="80"/>
  <c r="LJ34" i="80"/>
  <c r="LK34" i="80"/>
  <c r="LL34" i="80"/>
  <c r="LM34" i="80"/>
  <c r="LN34" i="80"/>
  <c r="LO34" i="80"/>
  <c r="LP34" i="80"/>
  <c r="LQ34" i="80"/>
  <c r="LR34" i="80"/>
  <c r="LS34" i="80"/>
  <c r="LT34" i="80"/>
  <c r="LJ35" i="80"/>
  <c r="LK35" i="80"/>
  <c r="LL35" i="80"/>
  <c r="LM35" i="80"/>
  <c r="LN35" i="80"/>
  <c r="LO35" i="80"/>
  <c r="LP35" i="80"/>
  <c r="LQ35" i="80"/>
  <c r="LR35" i="80"/>
  <c r="LS35" i="80"/>
  <c r="LT35" i="80"/>
  <c r="LJ36" i="80"/>
  <c r="LK36" i="80"/>
  <c r="LL36" i="80"/>
  <c r="LM36" i="80"/>
  <c r="LN36" i="80"/>
  <c r="LO36" i="80"/>
  <c r="LP36" i="80"/>
  <c r="LQ36" i="80"/>
  <c r="LR36" i="80"/>
  <c r="LS36" i="80"/>
  <c r="LT36" i="80"/>
  <c r="LJ37" i="80"/>
  <c r="LK37" i="80"/>
  <c r="LL37" i="80"/>
  <c r="LM37" i="80"/>
  <c r="LN37" i="80"/>
  <c r="LO37" i="80"/>
  <c r="LP37" i="80"/>
  <c r="LQ37" i="80"/>
  <c r="LR37" i="80"/>
  <c r="LS37" i="80"/>
  <c r="LT37" i="80"/>
  <c r="LJ38" i="80"/>
  <c r="LK38" i="80"/>
  <c r="LL38" i="80"/>
  <c r="LM38" i="80"/>
  <c r="LN38" i="80"/>
  <c r="LO38" i="80"/>
  <c r="LP38" i="80"/>
  <c r="LQ38" i="80"/>
  <c r="LR38" i="80"/>
  <c r="LS38" i="80"/>
  <c r="LT38" i="80"/>
  <c r="LJ39" i="80"/>
  <c r="LK39" i="80"/>
  <c r="LL39" i="80"/>
  <c r="LM39" i="80"/>
  <c r="LN39" i="80"/>
  <c r="LO39" i="80"/>
  <c r="LP39" i="80"/>
  <c r="LQ39" i="80"/>
  <c r="LR39" i="80"/>
  <c r="LS39" i="80"/>
  <c r="LT39" i="80"/>
  <c r="LJ40" i="80"/>
  <c r="LK40" i="80"/>
  <c r="LL40" i="80"/>
  <c r="LM40" i="80"/>
  <c r="LN40" i="80"/>
  <c r="LO40" i="80"/>
  <c r="LP40" i="80"/>
  <c r="LQ40" i="80"/>
  <c r="LR40" i="80"/>
  <c r="LS40" i="80"/>
  <c r="LT40" i="80"/>
  <c r="LJ41" i="80"/>
  <c r="LK41" i="80"/>
  <c r="LL41" i="80"/>
  <c r="LM41" i="80"/>
  <c r="LN41" i="80"/>
  <c r="LO41" i="80"/>
  <c r="LP41" i="80"/>
  <c r="LQ41" i="80"/>
  <c r="LR41" i="80"/>
  <c r="LS41" i="80"/>
  <c r="LT41" i="80"/>
  <c r="LJ42" i="80"/>
  <c r="LK42" i="80"/>
  <c r="LL42" i="80"/>
  <c r="LM42" i="80"/>
  <c r="LN42" i="80"/>
  <c r="LO42" i="80"/>
  <c r="LP42" i="80"/>
  <c r="LQ42" i="80"/>
  <c r="LR42" i="80"/>
  <c r="LS42" i="80"/>
  <c r="LT42" i="80"/>
  <c r="LJ43" i="80"/>
  <c r="LK43" i="80"/>
  <c r="LL43" i="80"/>
  <c r="LM43" i="80"/>
  <c r="LN43" i="80"/>
  <c r="LO43" i="80"/>
  <c r="LP43" i="80"/>
  <c r="LQ43" i="80"/>
  <c r="LR43" i="80"/>
  <c r="LS43" i="80"/>
  <c r="LT43" i="80"/>
  <c r="LJ44" i="80"/>
  <c r="LK44" i="80"/>
  <c r="LL44" i="80"/>
  <c r="LM44" i="80"/>
  <c r="LN44" i="80"/>
  <c r="LO44" i="80"/>
  <c r="LP44" i="80"/>
  <c r="LQ44" i="80"/>
  <c r="LR44" i="80"/>
  <c r="LS44" i="80"/>
  <c r="LT44" i="80"/>
  <c r="LJ45" i="80"/>
  <c r="LK45" i="80"/>
  <c r="LL45" i="80"/>
  <c r="LM45" i="80"/>
  <c r="LN45" i="80"/>
  <c r="LO45" i="80"/>
  <c r="LP45" i="80"/>
  <c r="LQ45" i="80"/>
  <c r="LR45" i="80"/>
  <c r="LS45" i="80"/>
  <c r="LT45" i="80"/>
  <c r="LJ46" i="80"/>
  <c r="LK46" i="80"/>
  <c r="LL46" i="80"/>
  <c r="LM46" i="80"/>
  <c r="LN46" i="80"/>
  <c r="LO46" i="80"/>
  <c r="LP46" i="80"/>
  <c r="LQ46" i="80"/>
  <c r="LR46" i="80"/>
  <c r="LS46" i="80"/>
  <c r="LT46" i="80"/>
  <c r="LJ47" i="80"/>
  <c r="LK47" i="80"/>
  <c r="LL47" i="80"/>
  <c r="LM47" i="80"/>
  <c r="LN47" i="80"/>
  <c r="LO47" i="80"/>
  <c r="LP47" i="80"/>
  <c r="LQ47" i="80"/>
  <c r="LR47" i="80"/>
  <c r="LS47" i="80"/>
  <c r="LT47" i="80"/>
  <c r="LT12" i="80"/>
  <c r="LS12" i="80"/>
  <c r="LR12" i="80"/>
  <c r="LQ12" i="80"/>
  <c r="LP12" i="80"/>
  <c r="LO12" i="80"/>
  <c r="LN12" i="80"/>
  <c r="LM12" i="80"/>
  <c r="LL12" i="80"/>
  <c r="LK12" i="80"/>
  <c r="LJ12" i="80"/>
  <c r="LM54" i="80" l="1"/>
  <c r="MH61" i="80" s="1"/>
  <c r="MJ61" i="80" s="1"/>
  <c r="LO54" i="80"/>
  <c r="LS54" i="80"/>
  <c r="LT54" i="80"/>
  <c r="LT56" i="80" s="1"/>
  <c r="MI54" i="80"/>
  <c r="LJ54" i="80"/>
  <c r="LP54" i="80"/>
  <c r="MH64" i="80" s="1"/>
  <c r="MJ64" i="80" s="1"/>
  <c r="LN54" i="80"/>
  <c r="MH62" i="80" s="1"/>
  <c r="MJ62" i="80" s="1"/>
  <c r="LL54" i="80"/>
  <c r="MH60" i="80" s="1"/>
  <c r="MJ60" i="80" s="1"/>
  <c r="MO54" i="80"/>
  <c r="ML54" i="80"/>
  <c r="MK54" i="80"/>
  <c r="MQ54" i="80"/>
  <c r="MM54" i="80"/>
  <c r="LS56" i="80"/>
  <c r="LK54" i="80"/>
  <c r="MH59" i="80" s="1"/>
  <c r="MJ59" i="80" s="1"/>
  <c r="MH58" i="80"/>
  <c r="MJ58" i="80" s="1"/>
  <c r="LR54" i="80"/>
  <c r="LR56" i="80" s="1"/>
  <c r="MH63" i="80"/>
  <c r="MJ63" i="80" s="1"/>
  <c r="MS54" i="80"/>
  <c r="LQ54" i="80"/>
  <c r="MH65" i="80" s="1"/>
  <c r="MJ65" i="80" s="1"/>
  <c r="MP54" i="80"/>
  <c r="AK17" i="11"/>
  <c r="GY18" i="91"/>
  <c r="MH66" i="80" l="1"/>
  <c r="MJ66" i="80" s="1"/>
  <c r="MJ67" i="80"/>
  <c r="GL56" i="54" l="1"/>
  <c r="GM7" i="54"/>
  <c r="GC59" i="54"/>
  <c r="GD23" i="54" s="1"/>
  <c r="GC56" i="54"/>
  <c r="GC58" i="54" s="1"/>
  <c r="GI46" i="54"/>
  <c r="GI47" i="54"/>
  <c r="GI57" i="54"/>
  <c r="GM57" i="54" s="1"/>
  <c r="GG56" i="54"/>
  <c r="GE59" i="54"/>
  <c r="GF21" i="54" s="1"/>
  <c r="GE56" i="54"/>
  <c r="GE58" i="54" s="1"/>
  <c r="GF19" i="54" l="1"/>
  <c r="GD22" i="54"/>
  <c r="GF27" i="54"/>
  <c r="GF26" i="54"/>
  <c r="GF9" i="54"/>
  <c r="GD37" i="54"/>
  <c r="GD18" i="54"/>
  <c r="GF23" i="54"/>
  <c r="GF42" i="54"/>
  <c r="GD33" i="54"/>
  <c r="GF22" i="54"/>
  <c r="GD29" i="54"/>
  <c r="GF12" i="54"/>
  <c r="GF45" i="54"/>
  <c r="GI45" i="54" s="1"/>
  <c r="GF41" i="54"/>
  <c r="GD36" i="54"/>
  <c r="GD32" i="54"/>
  <c r="GD28" i="54"/>
  <c r="GD21" i="54"/>
  <c r="GD17" i="54"/>
  <c r="GD35" i="54"/>
  <c r="GD31" i="54"/>
  <c r="GD27" i="54"/>
  <c r="GD20" i="54"/>
  <c r="GF34" i="54"/>
  <c r="HG45" i="54"/>
  <c r="HJ45" i="54" s="1"/>
  <c r="HG43" i="54"/>
  <c r="HJ43" i="54" s="1"/>
  <c r="HG39" i="54"/>
  <c r="HG37" i="54"/>
  <c r="HJ37" i="54" s="1"/>
  <c r="HG35" i="54"/>
  <c r="HJ35" i="54" s="1"/>
  <c r="HN35" i="54" s="1"/>
  <c r="HG33" i="54"/>
  <c r="HJ33" i="54" s="1"/>
  <c r="HG22" i="54"/>
  <c r="HJ22" i="54" s="1"/>
  <c r="HG19" i="54"/>
  <c r="HJ19" i="54" s="1"/>
  <c r="HG17" i="54"/>
  <c r="HJ17" i="54" s="1"/>
  <c r="HG9" i="54"/>
  <c r="HG26" i="54"/>
  <c r="HJ26" i="54" s="1"/>
  <c r="HG13" i="54"/>
  <c r="HJ13" i="54" s="1"/>
  <c r="HG8" i="54"/>
  <c r="HG40" i="54"/>
  <c r="HG32" i="54"/>
  <c r="HJ32" i="54" s="1"/>
  <c r="HG29" i="54"/>
  <c r="HJ29" i="54" s="1"/>
  <c r="HG27" i="54"/>
  <c r="HJ27" i="54" s="1"/>
  <c r="HG25" i="54"/>
  <c r="HJ25" i="54" s="1"/>
  <c r="HG20" i="54"/>
  <c r="HJ20" i="54" s="1"/>
  <c r="HG16" i="54"/>
  <c r="HJ16" i="54" s="1"/>
  <c r="HG14" i="54"/>
  <c r="HJ14" i="54" s="1"/>
  <c r="HG12" i="54"/>
  <c r="HJ12" i="54" s="1"/>
  <c r="HG10" i="54"/>
  <c r="HJ10" i="54" s="1"/>
  <c r="HG18" i="54"/>
  <c r="HJ18" i="54" s="1"/>
  <c r="HG28" i="54"/>
  <c r="HJ28" i="54" s="1"/>
  <c r="HG15" i="54"/>
  <c r="HJ15" i="54" s="1"/>
  <c r="HG44" i="54"/>
  <c r="HJ44" i="54" s="1"/>
  <c r="HG41" i="54"/>
  <c r="HG38" i="54"/>
  <c r="HG36" i="54"/>
  <c r="HJ36" i="54" s="1"/>
  <c r="HG34" i="54"/>
  <c r="HJ34" i="54" s="1"/>
  <c r="HG31" i="54"/>
  <c r="HJ31" i="54" s="1"/>
  <c r="HG24" i="54"/>
  <c r="HJ24" i="54" s="1"/>
  <c r="HG21" i="54"/>
  <c r="HJ21" i="54" s="1"/>
  <c r="HG42" i="54"/>
  <c r="HG30" i="54"/>
  <c r="HJ30" i="54" s="1"/>
  <c r="HG23" i="54"/>
  <c r="HJ23" i="54" s="1"/>
  <c r="HG11" i="54"/>
  <c r="HJ11" i="54" s="1"/>
  <c r="GF25" i="54"/>
  <c r="GF11" i="54"/>
  <c r="GF44" i="54"/>
  <c r="GI44" i="54" s="1"/>
  <c r="GF28" i="54"/>
  <c r="GF24" i="54"/>
  <c r="GF20" i="54"/>
  <c r="GF10" i="54"/>
  <c r="GF43" i="54"/>
  <c r="GI43" i="54" s="1"/>
  <c r="GD38" i="54"/>
  <c r="GD34" i="54"/>
  <c r="GD30" i="54"/>
  <c r="GD26" i="54"/>
  <c r="GD19" i="54"/>
  <c r="GF40" i="54"/>
  <c r="GF18" i="54"/>
  <c r="GF33" i="54"/>
  <c r="GF38" i="54"/>
  <c r="GF8" i="54"/>
  <c r="GF32" i="54"/>
  <c r="GF15" i="54"/>
  <c r="GF36" i="54"/>
  <c r="GD25" i="54"/>
  <c r="GF17" i="54"/>
  <c r="GF16" i="54"/>
  <c r="GF37" i="54"/>
  <c r="GF14" i="54"/>
  <c r="GD24" i="54"/>
  <c r="GF39" i="54"/>
  <c r="GF31" i="54"/>
  <c r="GF30" i="54"/>
  <c r="GF35" i="54"/>
  <c r="GF29" i="54"/>
  <c r="GF13" i="54"/>
  <c r="GD16" i="54"/>
  <c r="HN34" i="54" l="1"/>
  <c r="HN20" i="54"/>
  <c r="HN11" i="54"/>
  <c r="HN21" i="54"/>
  <c r="HN36" i="54"/>
  <c r="HN15" i="54"/>
  <c r="HN12" i="54"/>
  <c r="HN25" i="54"/>
  <c r="HN33" i="54"/>
  <c r="HN26" i="54"/>
  <c r="HN24" i="54"/>
  <c r="HN28" i="54"/>
  <c r="HN14" i="54"/>
  <c r="HN27" i="54"/>
  <c r="HN17" i="54"/>
  <c r="HN10" i="54"/>
  <c r="HN32" i="54"/>
  <c r="HN22" i="54"/>
  <c r="HN23" i="54"/>
  <c r="HN30" i="54"/>
  <c r="HN31" i="54"/>
  <c r="HN18" i="54"/>
  <c r="HN16" i="54"/>
  <c r="HN29" i="54"/>
  <c r="HN13" i="54"/>
  <c r="HN19" i="54"/>
  <c r="HN37" i="54"/>
  <c r="GF56" i="54"/>
  <c r="GK30" i="54" s="1"/>
  <c r="GK18" i="54"/>
  <c r="GK14" i="54"/>
  <c r="GK40" i="54"/>
  <c r="GD56" i="54"/>
  <c r="GG58" i="54"/>
  <c r="GG59" i="54"/>
  <c r="GH8" i="54" s="1"/>
  <c r="GI8" i="54" s="1"/>
  <c r="GH42" i="54" l="1"/>
  <c r="GI42" i="54" s="1"/>
  <c r="GM42" i="54" s="1"/>
  <c r="GH35" i="54"/>
  <c r="GI35" i="54" s="1"/>
  <c r="GM35" i="54" s="1"/>
  <c r="GH20" i="54"/>
  <c r="GI20" i="54" s="1"/>
  <c r="GM20" i="54" s="1"/>
  <c r="GH16" i="54"/>
  <c r="GI16" i="54" s="1"/>
  <c r="GM16" i="54" s="1"/>
  <c r="GH33" i="54"/>
  <c r="GI33" i="54" s="1"/>
  <c r="GM33" i="54" s="1"/>
  <c r="GH41" i="54"/>
  <c r="GI41" i="54" s="1"/>
  <c r="GM41" i="54" s="1"/>
  <c r="GH24" i="54"/>
  <c r="GI24" i="54" s="1"/>
  <c r="GM24" i="54" s="1"/>
  <c r="GH9" i="54"/>
  <c r="GI9" i="54" s="1"/>
  <c r="GM9" i="54" s="1"/>
  <c r="GH37" i="54"/>
  <c r="GI37" i="54" s="1"/>
  <c r="GM37" i="54" s="1"/>
  <c r="GH22" i="54"/>
  <c r="GI22" i="54" s="1"/>
  <c r="GM22" i="54" s="1"/>
  <c r="GK31" i="54"/>
  <c r="GK35" i="54"/>
  <c r="GH39" i="54"/>
  <c r="GI39" i="54" s="1"/>
  <c r="GM39" i="54" s="1"/>
  <c r="GH26" i="54"/>
  <c r="GI26" i="54" s="1"/>
  <c r="GM26" i="54" s="1"/>
  <c r="GH18" i="54"/>
  <c r="GI18" i="54" s="1"/>
  <c r="GM18" i="54" s="1"/>
  <c r="GK17" i="54"/>
  <c r="GK16" i="54"/>
  <c r="GK33" i="54"/>
  <c r="GH38" i="54"/>
  <c r="GI38" i="54" s="1"/>
  <c r="GM38" i="54" s="1"/>
  <c r="GH34" i="54"/>
  <c r="GI34" i="54" s="1"/>
  <c r="GM34" i="54" s="1"/>
  <c r="GH25" i="54"/>
  <c r="GI25" i="54" s="1"/>
  <c r="GM25" i="54" s="1"/>
  <c r="GH21" i="54"/>
  <c r="GI21" i="54" s="1"/>
  <c r="GM21" i="54" s="1"/>
  <c r="GH17" i="54"/>
  <c r="GI17" i="54" s="1"/>
  <c r="GM17" i="54" s="1"/>
  <c r="GK36" i="54"/>
  <c r="GK8" i="54"/>
  <c r="GK15" i="54"/>
  <c r="GK39" i="54"/>
  <c r="GK13" i="54"/>
  <c r="GK32" i="54"/>
  <c r="GH11" i="54"/>
  <c r="GI11" i="54" s="1"/>
  <c r="GM11" i="54" s="1"/>
  <c r="HI40" i="54"/>
  <c r="HJ40" i="54" s="1"/>
  <c r="HI9" i="54"/>
  <c r="HJ9" i="54" s="1"/>
  <c r="HI41" i="54"/>
  <c r="HJ41" i="54" s="1"/>
  <c r="HI38" i="54"/>
  <c r="HJ38" i="54" s="1"/>
  <c r="HI7" i="54"/>
  <c r="HI8" i="54"/>
  <c r="HJ8" i="54" s="1"/>
  <c r="HI39" i="54"/>
  <c r="HJ39" i="54" s="1"/>
  <c r="HI42" i="54"/>
  <c r="HJ42" i="54" s="1"/>
  <c r="GH40" i="54"/>
  <c r="GI40" i="54" s="1"/>
  <c r="GM40" i="54" s="1"/>
  <c r="GH36" i="54"/>
  <c r="GI36" i="54" s="1"/>
  <c r="GM36" i="54" s="1"/>
  <c r="GH32" i="54"/>
  <c r="GI32" i="54" s="1"/>
  <c r="GM32" i="54" s="1"/>
  <c r="GH23" i="54"/>
  <c r="GI23" i="54" s="1"/>
  <c r="GM23" i="54" s="1"/>
  <c r="GH19" i="54"/>
  <c r="GI19" i="54" s="1"/>
  <c r="GM19" i="54" s="1"/>
  <c r="GH10" i="54"/>
  <c r="GI10" i="54" s="1"/>
  <c r="GM10" i="54" s="1"/>
  <c r="GJ24" i="54"/>
  <c r="HK7" i="54"/>
  <c r="HK41" i="54"/>
  <c r="HK30" i="54"/>
  <c r="HK27" i="54"/>
  <c r="HK25" i="54"/>
  <c r="HK20" i="54"/>
  <c r="HK14" i="54"/>
  <c r="HK12" i="54"/>
  <c r="HK10" i="54"/>
  <c r="HK13" i="54"/>
  <c r="HK17" i="54"/>
  <c r="HK44" i="54"/>
  <c r="HK42" i="54"/>
  <c r="HK36" i="54"/>
  <c r="HK34" i="54"/>
  <c r="HK22" i="54"/>
  <c r="HK18" i="54"/>
  <c r="HK8" i="54"/>
  <c r="HK43" i="54"/>
  <c r="HK35" i="54"/>
  <c r="HK21" i="54"/>
  <c r="HK39" i="54"/>
  <c r="HK28" i="54"/>
  <c r="HK26" i="54"/>
  <c r="HK19" i="54"/>
  <c r="HK15" i="54"/>
  <c r="HK11" i="54"/>
  <c r="HK9" i="54"/>
  <c r="HK45" i="54"/>
  <c r="HK40" i="54"/>
  <c r="HK38" i="54"/>
  <c r="HK33" i="54"/>
  <c r="HK31" i="54"/>
  <c r="HK24" i="54"/>
  <c r="HK23" i="54"/>
  <c r="HK29" i="54"/>
  <c r="HK32" i="54"/>
  <c r="HK16" i="54"/>
  <c r="HK37" i="54"/>
  <c r="GK37" i="54"/>
  <c r="GM8" i="54"/>
  <c r="GJ15" i="54"/>
  <c r="GJ42" i="54"/>
  <c r="GJ44" i="54"/>
  <c r="GJ7" i="54"/>
  <c r="GJ9" i="54"/>
  <c r="GJ28" i="54"/>
  <c r="GJ45" i="54"/>
  <c r="GJ26" i="54"/>
  <c r="GJ29" i="54"/>
  <c r="GJ30" i="54"/>
  <c r="GJ39" i="54"/>
  <c r="GJ10" i="54"/>
  <c r="GJ40" i="54"/>
  <c r="GJ41" i="54"/>
  <c r="GD58" i="54"/>
  <c r="GJ8" i="54"/>
  <c r="GJ27" i="54"/>
  <c r="GJ12" i="54"/>
  <c r="GJ13" i="54"/>
  <c r="GJ43" i="54"/>
  <c r="GJ11" i="54"/>
  <c r="GJ14" i="54"/>
  <c r="GJ33" i="54"/>
  <c r="GJ37" i="54"/>
  <c r="GJ31" i="54"/>
  <c r="GJ34" i="54"/>
  <c r="GJ36" i="54"/>
  <c r="GJ21" i="54"/>
  <c r="GJ20" i="54"/>
  <c r="GJ19" i="54"/>
  <c r="GJ22" i="54"/>
  <c r="GJ38" i="54"/>
  <c r="GJ17" i="54"/>
  <c r="GJ18" i="54"/>
  <c r="GJ35" i="54"/>
  <c r="GJ32" i="54"/>
  <c r="GJ23" i="54"/>
  <c r="GJ16" i="54"/>
  <c r="GH15" i="54"/>
  <c r="GI15" i="54" s="1"/>
  <c r="GM15" i="54" s="1"/>
  <c r="GH30" i="54"/>
  <c r="GI30" i="54" s="1"/>
  <c r="GM30" i="54" s="1"/>
  <c r="GH29" i="54"/>
  <c r="GI29" i="54" s="1"/>
  <c r="GM29" i="54" s="1"/>
  <c r="GH13" i="54"/>
  <c r="GI13" i="54" s="1"/>
  <c r="GM13" i="54" s="1"/>
  <c r="GF58" i="54"/>
  <c r="GK22" i="54"/>
  <c r="GK41" i="54"/>
  <c r="GK19" i="54"/>
  <c r="GK43" i="54"/>
  <c r="GK24" i="54"/>
  <c r="GK9" i="54"/>
  <c r="GK10" i="54"/>
  <c r="GK44" i="54"/>
  <c r="GK45" i="54"/>
  <c r="GK7" i="54"/>
  <c r="GK23" i="54"/>
  <c r="GK21" i="54"/>
  <c r="GK25" i="54"/>
  <c r="GK26" i="54"/>
  <c r="GK20" i="54"/>
  <c r="GK27" i="54"/>
  <c r="GK28" i="54"/>
  <c r="GK34" i="54"/>
  <c r="GK42" i="54"/>
  <c r="GK11" i="54"/>
  <c r="GK12" i="54"/>
  <c r="GH31" i="54"/>
  <c r="GI31" i="54" s="1"/>
  <c r="GM31" i="54" s="1"/>
  <c r="GJ25" i="54"/>
  <c r="GH14" i="54"/>
  <c r="GI14" i="54" s="1"/>
  <c r="GM14" i="54" s="1"/>
  <c r="GH28" i="54"/>
  <c r="GI28" i="54" s="1"/>
  <c r="GM28" i="54" s="1"/>
  <c r="GH12" i="54"/>
  <c r="GI12" i="54" s="1"/>
  <c r="GM12" i="54" s="1"/>
  <c r="GH7" i="54"/>
  <c r="GH27" i="54"/>
  <c r="GI27" i="54" s="1"/>
  <c r="GM27" i="54" s="1"/>
  <c r="GK38" i="54"/>
  <c r="GK29" i="54"/>
  <c r="HT52" i="91"/>
  <c r="HR51" i="91"/>
  <c r="HR53" i="91" s="1"/>
  <c r="HS47" i="91"/>
  <c r="HM54" i="91"/>
  <c r="HP54" i="91"/>
  <c r="HQ18" i="91" s="1"/>
  <c r="HT18" i="91" s="1"/>
  <c r="HP51" i="91"/>
  <c r="HP53" i="91" s="1"/>
  <c r="HN38" i="54" l="1"/>
  <c r="HN39" i="54"/>
  <c r="HN41" i="54"/>
  <c r="HN8" i="54"/>
  <c r="HJ56" i="54"/>
  <c r="HL38" i="54" s="1"/>
  <c r="HN9" i="54"/>
  <c r="HK56" i="54"/>
  <c r="HN42" i="54"/>
  <c r="HL42" i="54"/>
  <c r="HI56" i="54"/>
  <c r="HI58" i="54" s="1"/>
  <c r="HN40" i="54"/>
  <c r="IK46" i="91"/>
  <c r="IL46" i="91" s="1"/>
  <c r="IK45" i="91"/>
  <c r="HN11" i="91"/>
  <c r="GH56" i="54"/>
  <c r="GH58" i="54" s="1"/>
  <c r="GK56" i="54"/>
  <c r="HS36" i="91"/>
  <c r="GJ56" i="54"/>
  <c r="GI56" i="54"/>
  <c r="GI58" i="54" s="1"/>
  <c r="GM56" i="54"/>
  <c r="GM58" i="54" s="1"/>
  <c r="HS32" i="91"/>
  <c r="HS25" i="91"/>
  <c r="HS21" i="91"/>
  <c r="HS44" i="91"/>
  <c r="HS29" i="91"/>
  <c r="HS40" i="91"/>
  <c r="HS28" i="91"/>
  <c r="HS24" i="91"/>
  <c r="HS20" i="91"/>
  <c r="HS43" i="91"/>
  <c r="HS39" i="91"/>
  <c r="HS35" i="91"/>
  <c r="HS31" i="91"/>
  <c r="HS19" i="91"/>
  <c r="HS27" i="91"/>
  <c r="HS23" i="91"/>
  <c r="HS46" i="91"/>
  <c r="HS42" i="91"/>
  <c r="HS38" i="91"/>
  <c r="HS34" i="91"/>
  <c r="HS48" i="91"/>
  <c r="HS30" i="91"/>
  <c r="HS26" i="91"/>
  <c r="HS22" i="91"/>
  <c r="HS45" i="91"/>
  <c r="HS41" i="91"/>
  <c r="HS37" i="91"/>
  <c r="HS33" i="91"/>
  <c r="HQ37" i="91"/>
  <c r="HQ25" i="91"/>
  <c r="HQ21" i="91"/>
  <c r="HQ41" i="91"/>
  <c r="HQ49" i="91"/>
  <c r="HQ33" i="91"/>
  <c r="HQ17" i="91"/>
  <c r="HT17" i="91" s="1"/>
  <c r="HQ45" i="91"/>
  <c r="HQ29" i="91"/>
  <c r="HT29" i="91" s="1"/>
  <c r="HQ48" i="91"/>
  <c r="HT48" i="91" s="1"/>
  <c r="HQ44" i="91"/>
  <c r="HQ40" i="91"/>
  <c r="HQ36" i="91"/>
  <c r="HT36" i="91" s="1"/>
  <c r="HQ32" i="91"/>
  <c r="HT32" i="91" s="1"/>
  <c r="HQ28" i="91"/>
  <c r="HQ24" i="91"/>
  <c r="HQ20" i="91"/>
  <c r="HQ16" i="91"/>
  <c r="HT16" i="91" s="1"/>
  <c r="HQ47" i="91"/>
  <c r="HT47" i="91" s="1"/>
  <c r="HQ43" i="91"/>
  <c r="HQ39" i="91"/>
  <c r="HQ35" i="91"/>
  <c r="HQ31" i="91"/>
  <c r="HT31" i="91" s="1"/>
  <c r="HQ27" i="91"/>
  <c r="HQ23" i="91"/>
  <c r="HQ19" i="91"/>
  <c r="HT19" i="91" s="1"/>
  <c r="HQ15" i="91"/>
  <c r="HT15" i="91" s="1"/>
  <c r="HQ46" i="91"/>
  <c r="HT46" i="91" s="1"/>
  <c r="HQ42" i="91"/>
  <c r="HQ38" i="91"/>
  <c r="HQ34" i="91"/>
  <c r="HQ30" i="91"/>
  <c r="HQ26" i="91"/>
  <c r="HQ22" i="91"/>
  <c r="HL39" i="54" l="1"/>
  <c r="HL40" i="54"/>
  <c r="HN56" i="54"/>
  <c r="HN58" i="54" s="1"/>
  <c r="HL8" i="54"/>
  <c r="HL9" i="54"/>
  <c r="HL41" i="54"/>
  <c r="HJ58" i="54"/>
  <c r="HL7" i="54"/>
  <c r="HL21" i="54"/>
  <c r="HL15" i="54"/>
  <c r="HL25" i="54"/>
  <c r="HL43" i="54"/>
  <c r="HL28" i="54"/>
  <c r="HL27" i="54"/>
  <c r="HL16" i="54"/>
  <c r="HL37" i="54"/>
  <c r="HL17" i="54"/>
  <c r="HL23" i="54"/>
  <c r="HL13" i="54"/>
  <c r="HL34" i="54"/>
  <c r="HL12" i="54"/>
  <c r="HL44" i="54"/>
  <c r="HL24" i="54"/>
  <c r="HL35" i="54"/>
  <c r="HL10" i="54"/>
  <c r="HL22" i="54"/>
  <c r="HL30" i="54"/>
  <c r="HL31" i="54"/>
  <c r="HL11" i="54"/>
  <c r="HL36" i="54"/>
  <c r="HL14" i="54"/>
  <c r="HL45" i="54"/>
  <c r="HL18" i="54"/>
  <c r="HL29" i="54"/>
  <c r="HL19" i="54"/>
  <c r="HL20" i="54"/>
  <c r="HL33" i="54"/>
  <c r="HL26" i="54"/>
  <c r="HL32" i="54"/>
  <c r="IL45" i="91"/>
  <c r="IL51" i="91" s="1"/>
  <c r="IL53" i="91" s="1"/>
  <c r="IK51" i="91"/>
  <c r="HT45" i="91"/>
  <c r="HT21" i="91"/>
  <c r="HT20" i="91"/>
  <c r="HT25" i="91"/>
  <c r="HT24" i="91"/>
  <c r="HT28" i="91"/>
  <c r="HT44" i="91"/>
  <c r="HT38" i="91"/>
  <c r="HT26" i="91"/>
  <c r="HT42" i="91"/>
  <c r="HT39" i="91"/>
  <c r="HT30" i="91"/>
  <c r="HT27" i="91"/>
  <c r="HT43" i="91"/>
  <c r="HT40" i="91"/>
  <c r="HT41" i="91"/>
  <c r="HT34" i="91"/>
  <c r="HT35" i="91"/>
  <c r="HX48" i="91"/>
  <c r="HT33" i="91"/>
  <c r="HS51" i="91"/>
  <c r="HS53" i="91" s="1"/>
  <c r="HT22" i="91"/>
  <c r="HT23" i="91"/>
  <c r="HT37" i="91"/>
  <c r="HQ51" i="91"/>
  <c r="HQ53" i="91" s="1"/>
  <c r="IK53" i="91" l="1"/>
  <c r="IS19" i="91"/>
  <c r="IS16" i="91"/>
  <c r="IS20" i="91"/>
  <c r="IS24" i="91"/>
  <c r="IS28" i="91"/>
  <c r="IS32" i="91"/>
  <c r="IS36" i="91"/>
  <c r="IS40" i="91"/>
  <c r="IS44" i="91"/>
  <c r="IS17" i="91"/>
  <c r="IS21" i="91"/>
  <c r="IS25" i="91"/>
  <c r="IS29" i="91"/>
  <c r="IS33" i="91"/>
  <c r="IS37" i="91"/>
  <c r="IS41" i="91"/>
  <c r="IS18" i="91"/>
  <c r="IS22" i="91"/>
  <c r="IS26" i="91"/>
  <c r="IS30" i="91"/>
  <c r="IS34" i="91"/>
  <c r="IS38" i="91"/>
  <c r="IS42" i="91"/>
  <c r="IS15" i="91"/>
  <c r="IS31" i="91"/>
  <c r="IS14" i="91"/>
  <c r="IS35" i="91"/>
  <c r="IS23" i="91"/>
  <c r="IS39" i="91"/>
  <c r="IS27" i="91"/>
  <c r="IS43" i="91"/>
  <c r="HL56" i="54"/>
  <c r="HT51" i="91"/>
  <c r="HW26" i="91"/>
  <c r="HW12" i="91"/>
  <c r="HW11" i="91"/>
  <c r="HW13" i="91"/>
  <c r="HW14" i="91"/>
  <c r="HW18" i="91"/>
  <c r="HT53" i="91"/>
  <c r="HW30" i="91"/>
  <c r="HW47" i="91"/>
  <c r="HW21" i="91"/>
  <c r="HW31" i="91"/>
  <c r="HW16" i="91"/>
  <c r="HW45" i="91"/>
  <c r="HW42" i="91"/>
  <c r="HW36" i="91"/>
  <c r="HW41" i="91"/>
  <c r="HW48" i="91"/>
  <c r="HW27" i="91"/>
  <c r="HW28" i="91"/>
  <c r="HW46" i="91"/>
  <c r="HW38" i="91"/>
  <c r="HW32" i="91"/>
  <c r="HW25" i="91"/>
  <c r="HW29" i="91"/>
  <c r="HW19" i="91"/>
  <c r="HW17" i="91"/>
  <c r="HW40" i="91"/>
  <c r="HW44" i="91"/>
  <c r="HW24" i="91"/>
  <c r="HW15" i="91"/>
  <c r="HW39" i="91"/>
  <c r="HW43" i="91"/>
  <c r="HW20" i="91"/>
  <c r="HW34" i="91"/>
  <c r="HW35" i="91"/>
  <c r="HW23" i="91"/>
  <c r="HW22" i="91"/>
  <c r="HW37" i="91"/>
  <c r="HW33" i="91"/>
  <c r="HW51" i="91" l="1"/>
  <c r="M16" i="10"/>
  <c r="AI13" i="10"/>
  <c r="AI16" i="10" s="1"/>
  <c r="DF80" i="79"/>
  <c r="DF81" i="79"/>
  <c r="DH81" i="79" s="1"/>
  <c r="DF82" i="79"/>
  <c r="DG39" i="79" l="1"/>
  <c r="DG50" i="79" l="1"/>
  <c r="DG49" i="79"/>
  <c r="DG48" i="79"/>
  <c r="DG47" i="79"/>
  <c r="DG44" i="79"/>
  <c r="DG43" i="79"/>
  <c r="DH43" i="79" s="1"/>
  <c r="DG41" i="79"/>
  <c r="DG40" i="79"/>
  <c r="DG38" i="79"/>
  <c r="DH39" i="79" s="1"/>
  <c r="DH31" i="79"/>
  <c r="DG29" i="79"/>
  <c r="DG28" i="79"/>
  <c r="DG27" i="79"/>
  <c r="DG26" i="79"/>
  <c r="DG25" i="79"/>
  <c r="DG24" i="79"/>
  <c r="DG23" i="79"/>
  <c r="DG22" i="79"/>
  <c r="DG21" i="79"/>
  <c r="DG20" i="79"/>
  <c r="DG19" i="79"/>
  <c r="DG18" i="79"/>
  <c r="DG17" i="79"/>
  <c r="DG16" i="79"/>
  <c r="DG15" i="79"/>
  <c r="DG14" i="79"/>
  <c r="DG12" i="79"/>
  <c r="DG11" i="79"/>
  <c r="DG10" i="79"/>
  <c r="DG8" i="79"/>
  <c r="DG7" i="79"/>
  <c r="DG6" i="79"/>
  <c r="DH11" i="79" l="1"/>
  <c r="DH48" i="79"/>
  <c r="DH7" i="79"/>
  <c r="DH15" i="79"/>
  <c r="DH19" i="79"/>
  <c r="DH23" i="79"/>
  <c r="AK17" i="3"/>
  <c r="AM17" i="3" s="1"/>
  <c r="AJ17" i="3" l="1"/>
  <c r="AH14" i="2" l="1"/>
  <c r="AL14" i="2"/>
  <c r="AP14" i="2" s="1"/>
  <c r="AK14" i="2"/>
  <c r="V26" i="2" l="1"/>
  <c r="X26" i="2" s="1"/>
  <c r="AK82" i="1" l="1"/>
  <c r="AK41" i="1"/>
  <c r="AO41" i="1" s="1"/>
  <c r="AK48" i="1"/>
  <c r="AO48" i="1" s="1"/>
  <c r="AK18" i="1"/>
  <c r="AO18" i="1" s="1"/>
  <c r="AO82" i="1" l="1"/>
  <c r="AK94" i="1"/>
  <c r="AK56" i="1"/>
  <c r="AO56" i="1" s="1"/>
  <c r="AK12" i="1"/>
  <c r="AO12" i="1" s="1"/>
  <c r="HO52" i="91"/>
  <c r="HX52" i="91" s="1"/>
  <c r="HO47" i="91"/>
  <c r="HX47" i="91" s="1"/>
  <c r="HM51" i="91"/>
  <c r="HN40" i="91"/>
  <c r="HO11" i="91"/>
  <c r="AO94" i="1" l="1"/>
  <c r="HX11" i="91"/>
  <c r="AK93" i="1"/>
  <c r="AO93" i="1" s="1"/>
  <c r="AK27" i="1"/>
  <c r="AK58" i="1"/>
  <c r="HO40" i="91"/>
  <c r="HX40" i="91" s="1"/>
  <c r="HM53" i="91"/>
  <c r="AK92" i="1" l="1"/>
  <c r="AO92" i="1" s="1"/>
  <c r="AO27" i="1"/>
  <c r="AK98" i="1"/>
  <c r="AO98" i="1" s="1"/>
  <c r="AK96" i="1"/>
  <c r="HL51" i="91"/>
  <c r="HL53" i="91" s="1"/>
  <c r="HJ51" i="91"/>
  <c r="HJ53" i="91" s="1"/>
  <c r="HK51" i="91"/>
  <c r="HK53" i="91" s="1"/>
  <c r="HN32" i="91"/>
  <c r="HN33" i="91"/>
  <c r="HN34" i="91"/>
  <c r="HN35" i="91"/>
  <c r="HN36" i="91"/>
  <c r="HN37" i="91"/>
  <c r="HN38" i="91"/>
  <c r="HN39" i="91"/>
  <c r="HN41" i="91"/>
  <c r="HN42" i="91"/>
  <c r="HN43" i="91"/>
  <c r="HN44" i="91"/>
  <c r="HN45" i="91"/>
  <c r="HN46" i="91"/>
  <c r="HN22" i="91"/>
  <c r="HN23" i="91"/>
  <c r="HN24" i="91"/>
  <c r="HN25" i="91"/>
  <c r="HN26" i="91"/>
  <c r="HN27" i="91"/>
  <c r="HN28" i="91"/>
  <c r="HN29" i="91"/>
  <c r="HN30" i="91"/>
  <c r="HN31" i="91"/>
  <c r="HN12" i="91"/>
  <c r="HO12" i="91" s="1"/>
  <c r="HN13" i="91"/>
  <c r="HO13" i="91" s="1"/>
  <c r="HX13" i="91" s="1"/>
  <c r="HN14" i="91"/>
  <c r="HO14" i="91" s="1"/>
  <c r="HX14" i="91" s="1"/>
  <c r="HN15" i="91"/>
  <c r="HO15" i="91" s="1"/>
  <c r="HX15" i="91" s="1"/>
  <c r="HN16" i="91"/>
  <c r="HO16" i="91" s="1"/>
  <c r="HX16" i="91" s="1"/>
  <c r="HN17" i="91"/>
  <c r="HO17" i="91" s="1"/>
  <c r="HX17" i="91" s="1"/>
  <c r="HN18" i="91"/>
  <c r="HO18" i="91" s="1"/>
  <c r="HX18" i="91" s="1"/>
  <c r="HN19" i="91"/>
  <c r="HN20" i="91"/>
  <c r="HN21" i="91"/>
  <c r="GP54" i="91"/>
  <c r="GQ12" i="91" s="1"/>
  <c r="AO96" i="1" l="1"/>
  <c r="AK99" i="1"/>
  <c r="HO31" i="91"/>
  <c r="HX31" i="91" s="1"/>
  <c r="HO23" i="91"/>
  <c r="HX23" i="91" s="1"/>
  <c r="HO44" i="91"/>
  <c r="HX44" i="91" s="1"/>
  <c r="HO35" i="91"/>
  <c r="HX35" i="91" s="1"/>
  <c r="HO30" i="91"/>
  <c r="HX30" i="91" s="1"/>
  <c r="HO26" i="91"/>
  <c r="HX26" i="91" s="1"/>
  <c r="HO22" i="91"/>
  <c r="HX22" i="91" s="1"/>
  <c r="HO43" i="91"/>
  <c r="HX43" i="91" s="1"/>
  <c r="HO38" i="91"/>
  <c r="HX38" i="91" s="1"/>
  <c r="HO34" i="91"/>
  <c r="HX34" i="91" s="1"/>
  <c r="HO27" i="91"/>
  <c r="HX27" i="91" s="1"/>
  <c r="HO39" i="91"/>
  <c r="HX39" i="91" s="1"/>
  <c r="HO21" i="91"/>
  <c r="HX21" i="91" s="1"/>
  <c r="HO29" i="91"/>
  <c r="HX29" i="91" s="1"/>
  <c r="HO25" i="91"/>
  <c r="HX25" i="91" s="1"/>
  <c r="HO46" i="91"/>
  <c r="HX46" i="91" s="1"/>
  <c r="HO42" i="91"/>
  <c r="HX42" i="91" s="1"/>
  <c r="HO37" i="91"/>
  <c r="HX37" i="91" s="1"/>
  <c r="HO33" i="91"/>
  <c r="HX33" i="91" s="1"/>
  <c r="HO19" i="91"/>
  <c r="HX19" i="91" s="1"/>
  <c r="HO20" i="91"/>
  <c r="HX20" i="91" s="1"/>
  <c r="HO28" i="91"/>
  <c r="HX28" i="91" s="1"/>
  <c r="HO24" i="91"/>
  <c r="HX24" i="91" s="1"/>
  <c r="HO45" i="91"/>
  <c r="HX45" i="91" s="1"/>
  <c r="HO41" i="91"/>
  <c r="HX41" i="91" s="1"/>
  <c r="HO36" i="91"/>
  <c r="HX36" i="91" s="1"/>
  <c r="HO32" i="91"/>
  <c r="HX32" i="91" s="1"/>
  <c r="HX12" i="91"/>
  <c r="HN51" i="91"/>
  <c r="HN53" i="91" s="1"/>
  <c r="GY44" i="91"/>
  <c r="GY43" i="91"/>
  <c r="GY42" i="91"/>
  <c r="GY41" i="91"/>
  <c r="GY40" i="91"/>
  <c r="GY39" i="91"/>
  <c r="GY38" i="91"/>
  <c r="GY37" i="91"/>
  <c r="GY36" i="91"/>
  <c r="GY35" i="91"/>
  <c r="GY22" i="91"/>
  <c r="GY23" i="91"/>
  <c r="GY24" i="91"/>
  <c r="GY25" i="91"/>
  <c r="GY26" i="91"/>
  <c r="GY27" i="91"/>
  <c r="GY28" i="91"/>
  <c r="GY29" i="91"/>
  <c r="GY30" i="91"/>
  <c r="GY31" i="91"/>
  <c r="GY32" i="91"/>
  <c r="GY33" i="91"/>
  <c r="GY34" i="91"/>
  <c r="GY21" i="91"/>
  <c r="GY13" i="91"/>
  <c r="GY14" i="91"/>
  <c r="GY15" i="91"/>
  <c r="GY16" i="91"/>
  <c r="GY17" i="91"/>
  <c r="GY19" i="91"/>
  <c r="GY20" i="91"/>
  <c r="GY12" i="91"/>
  <c r="GW28" i="91"/>
  <c r="GW29" i="91"/>
  <c r="GW30" i="91"/>
  <c r="GW31" i="91"/>
  <c r="GW32" i="91"/>
  <c r="GW33" i="91"/>
  <c r="GW34" i="91"/>
  <c r="GW16" i="91"/>
  <c r="GW17" i="91"/>
  <c r="GW18" i="91"/>
  <c r="GW19" i="91"/>
  <c r="GW20" i="91"/>
  <c r="GW21" i="91"/>
  <c r="GW22" i="91"/>
  <c r="GW23" i="91"/>
  <c r="GW24" i="91"/>
  <c r="GW25" i="91"/>
  <c r="GW26" i="91"/>
  <c r="GW27" i="91"/>
  <c r="GW13" i="91"/>
  <c r="GW14" i="91"/>
  <c r="GW15" i="91"/>
  <c r="GW12" i="91"/>
  <c r="HU28" i="91"/>
  <c r="AO99" i="1" l="1"/>
  <c r="HX51" i="91"/>
  <c r="HX53" i="91" s="1"/>
  <c r="HO51" i="91"/>
  <c r="HV11" i="91" s="1"/>
  <c r="HU39" i="91"/>
  <c r="HU46" i="91"/>
  <c r="HU42" i="91"/>
  <c r="HU24" i="91"/>
  <c r="HU20" i="91"/>
  <c r="HU16" i="91"/>
  <c r="HU12" i="91"/>
  <c r="HU35" i="91"/>
  <c r="HU31" i="91"/>
  <c r="HU27" i="91"/>
  <c r="HU49" i="91"/>
  <c r="HU45" i="91"/>
  <c r="HU41" i="91"/>
  <c r="HU23" i="91"/>
  <c r="HU19" i="91"/>
  <c r="HU15" i="91"/>
  <c r="HU38" i="91"/>
  <c r="HU34" i="91"/>
  <c r="HU30" i="91"/>
  <c r="HU26" i="91"/>
  <c r="HU48" i="91"/>
  <c r="HU44" i="91"/>
  <c r="HU11" i="91"/>
  <c r="HU22" i="91"/>
  <c r="HU18" i="91"/>
  <c r="HU14" i="91"/>
  <c r="HU37" i="91"/>
  <c r="HU33" i="91"/>
  <c r="HU29" i="91"/>
  <c r="HU40" i="91"/>
  <c r="HU47" i="91"/>
  <c r="HU43" i="91"/>
  <c r="HU25" i="91"/>
  <c r="HU21" i="91"/>
  <c r="HU17" i="91"/>
  <c r="HU13" i="91"/>
  <c r="HU36" i="91"/>
  <c r="HU32" i="91"/>
  <c r="HU51" i="91" l="1"/>
  <c r="HV40" i="91"/>
  <c r="HO53" i="91"/>
  <c r="HV17" i="91"/>
  <c r="HV45" i="91"/>
  <c r="HV13" i="91"/>
  <c r="HV15" i="91"/>
  <c r="HV44" i="91"/>
  <c r="HV29" i="91"/>
  <c r="HV14" i="91"/>
  <c r="HV43" i="91"/>
  <c r="HV24" i="91"/>
  <c r="HV25" i="91"/>
  <c r="HV41" i="91"/>
  <c r="HV46" i="91"/>
  <c r="HV31" i="91"/>
  <c r="HV39" i="91"/>
  <c r="HV42" i="91"/>
  <c r="HV30" i="91"/>
  <c r="HV38" i="91"/>
  <c r="HV32" i="91"/>
  <c r="HV23" i="91"/>
  <c r="HV21" i="91"/>
  <c r="HV22" i="91"/>
  <c r="HV37" i="91"/>
  <c r="HV28" i="91"/>
  <c r="HV36" i="91"/>
  <c r="HV33" i="91"/>
  <c r="HV27" i="91"/>
  <c r="HV35" i="91"/>
  <c r="HV20" i="91"/>
  <c r="HV26" i="91"/>
  <c r="HV34" i="91"/>
  <c r="HV16" i="91"/>
  <c r="HV19" i="91"/>
  <c r="HV18" i="91"/>
  <c r="HV12" i="91"/>
  <c r="HU53" i="91"/>
  <c r="HV51" i="91" l="1"/>
  <c r="HV53" i="91" s="1"/>
  <c r="KU56" i="80"/>
  <c r="JW9" i="80"/>
  <c r="JW10" i="80"/>
  <c r="JX10" i="80"/>
  <c r="JY10" i="80"/>
  <c r="JZ10" i="80"/>
  <c r="KA10" i="80"/>
  <c r="KB10" i="80"/>
  <c r="KC10" i="80"/>
  <c r="KD10" i="80"/>
  <c r="KE10" i="80"/>
  <c r="KF10" i="80"/>
  <c r="KG10" i="80"/>
  <c r="JW11" i="80"/>
  <c r="JX11" i="80"/>
  <c r="JY11" i="80"/>
  <c r="JZ11" i="80"/>
  <c r="KA11" i="80"/>
  <c r="KB11" i="80"/>
  <c r="KC11" i="80"/>
  <c r="KD11" i="80"/>
  <c r="KE11" i="80"/>
  <c r="KF11" i="80"/>
  <c r="KG11" i="80"/>
  <c r="JW12" i="80"/>
  <c r="JX12" i="80"/>
  <c r="JY12" i="80"/>
  <c r="JZ12" i="80"/>
  <c r="KA12" i="80"/>
  <c r="KB12" i="80"/>
  <c r="KC12" i="80"/>
  <c r="KD12" i="80"/>
  <c r="KE12" i="80"/>
  <c r="KF12" i="80"/>
  <c r="KG12" i="80"/>
  <c r="JW13" i="80"/>
  <c r="JX13" i="80"/>
  <c r="JY13" i="80"/>
  <c r="JZ13" i="80"/>
  <c r="KA13" i="80"/>
  <c r="KB13" i="80"/>
  <c r="KC13" i="80"/>
  <c r="KD13" i="80"/>
  <c r="KE13" i="80"/>
  <c r="KF13" i="80"/>
  <c r="KG13" i="80"/>
  <c r="JW14" i="80"/>
  <c r="JX14" i="80"/>
  <c r="JY14" i="80"/>
  <c r="JZ14" i="80"/>
  <c r="KA14" i="80"/>
  <c r="KB14" i="80"/>
  <c r="KC14" i="80"/>
  <c r="KD14" i="80"/>
  <c r="KE14" i="80"/>
  <c r="KF14" i="80"/>
  <c r="KG14" i="80"/>
  <c r="JW15" i="80"/>
  <c r="JX15" i="80"/>
  <c r="JY15" i="80"/>
  <c r="JZ15" i="80"/>
  <c r="KA15" i="80"/>
  <c r="KB15" i="80"/>
  <c r="KC15" i="80"/>
  <c r="KD15" i="80"/>
  <c r="KE15" i="80"/>
  <c r="KF15" i="80"/>
  <c r="KG15" i="80"/>
  <c r="JW16" i="80"/>
  <c r="JX16" i="80"/>
  <c r="JY16" i="80"/>
  <c r="JZ16" i="80"/>
  <c r="KA16" i="80"/>
  <c r="KB16" i="80"/>
  <c r="KC16" i="80"/>
  <c r="KD16" i="80"/>
  <c r="KE16" i="80"/>
  <c r="KF16" i="80"/>
  <c r="KG16" i="80"/>
  <c r="JW17" i="80"/>
  <c r="JX17" i="80"/>
  <c r="JY17" i="80"/>
  <c r="JZ17" i="80"/>
  <c r="KA17" i="80"/>
  <c r="KB17" i="80"/>
  <c r="KC17" i="80"/>
  <c r="KD17" i="80"/>
  <c r="KE17" i="80"/>
  <c r="KF17" i="80"/>
  <c r="KG17" i="80"/>
  <c r="JW18" i="80"/>
  <c r="JX18" i="80"/>
  <c r="JY18" i="80"/>
  <c r="JZ18" i="80"/>
  <c r="KA18" i="80"/>
  <c r="KB18" i="80"/>
  <c r="KC18" i="80"/>
  <c r="KD18" i="80"/>
  <c r="KE18" i="80"/>
  <c r="KF18" i="80"/>
  <c r="KG18" i="80"/>
  <c r="JW19" i="80"/>
  <c r="JX19" i="80"/>
  <c r="JY19" i="80"/>
  <c r="JZ19" i="80"/>
  <c r="KA19" i="80"/>
  <c r="KB19" i="80"/>
  <c r="KC19" i="80"/>
  <c r="KD19" i="80"/>
  <c r="KE19" i="80"/>
  <c r="KF19" i="80"/>
  <c r="KG19" i="80"/>
  <c r="JW20" i="80"/>
  <c r="JX20" i="80"/>
  <c r="JY20" i="80"/>
  <c r="JZ20" i="80"/>
  <c r="KA20" i="80"/>
  <c r="KB20" i="80"/>
  <c r="KC20" i="80"/>
  <c r="KD20" i="80"/>
  <c r="KE20" i="80"/>
  <c r="KF20" i="80"/>
  <c r="KG20" i="80"/>
  <c r="JW21" i="80"/>
  <c r="JX21" i="80"/>
  <c r="JY21" i="80"/>
  <c r="JZ21" i="80"/>
  <c r="KA21" i="80"/>
  <c r="KB21" i="80"/>
  <c r="KC21" i="80"/>
  <c r="KD21" i="80"/>
  <c r="KE21" i="80"/>
  <c r="KF21" i="80"/>
  <c r="KG21" i="80"/>
  <c r="JW22" i="80"/>
  <c r="JX22" i="80"/>
  <c r="JY22" i="80"/>
  <c r="JZ22" i="80"/>
  <c r="KA22" i="80"/>
  <c r="KB22" i="80"/>
  <c r="KC22" i="80"/>
  <c r="KD22" i="80"/>
  <c r="KE22" i="80"/>
  <c r="KF22" i="80"/>
  <c r="KG22" i="80"/>
  <c r="JW23" i="80"/>
  <c r="JX23" i="80"/>
  <c r="JY23" i="80"/>
  <c r="JZ23" i="80"/>
  <c r="KA23" i="80"/>
  <c r="KB23" i="80"/>
  <c r="KC23" i="80"/>
  <c r="KD23" i="80"/>
  <c r="KE23" i="80"/>
  <c r="KF23" i="80"/>
  <c r="KG23" i="80"/>
  <c r="JW24" i="80"/>
  <c r="JX24" i="80"/>
  <c r="JY24" i="80"/>
  <c r="JZ24" i="80"/>
  <c r="KA24" i="80"/>
  <c r="KB24" i="80"/>
  <c r="KC24" i="80"/>
  <c r="KD24" i="80"/>
  <c r="KE24" i="80"/>
  <c r="KF24" i="80"/>
  <c r="KG24" i="80"/>
  <c r="JW25" i="80"/>
  <c r="JX25" i="80"/>
  <c r="JY25" i="80"/>
  <c r="JZ25" i="80"/>
  <c r="KA25" i="80"/>
  <c r="KB25" i="80"/>
  <c r="KC25" i="80"/>
  <c r="KD25" i="80"/>
  <c r="KE25" i="80"/>
  <c r="KF25" i="80"/>
  <c r="KG25" i="80"/>
  <c r="JW26" i="80"/>
  <c r="JX26" i="80"/>
  <c r="JY26" i="80"/>
  <c r="JZ26" i="80"/>
  <c r="KA26" i="80"/>
  <c r="KB26" i="80"/>
  <c r="KC26" i="80"/>
  <c r="KD26" i="80"/>
  <c r="KE26" i="80"/>
  <c r="KF26" i="80"/>
  <c r="KG26" i="80"/>
  <c r="JW27" i="80"/>
  <c r="JX27" i="80"/>
  <c r="JY27" i="80"/>
  <c r="JZ27" i="80"/>
  <c r="KA27" i="80"/>
  <c r="KB27" i="80"/>
  <c r="KC27" i="80"/>
  <c r="KD27" i="80"/>
  <c r="KE27" i="80"/>
  <c r="KF27" i="80"/>
  <c r="KG27" i="80"/>
  <c r="JW28" i="80"/>
  <c r="JX28" i="80"/>
  <c r="JY28" i="80"/>
  <c r="JZ28" i="80"/>
  <c r="KA28" i="80"/>
  <c r="KB28" i="80"/>
  <c r="KC28" i="80"/>
  <c r="KD28" i="80"/>
  <c r="KE28" i="80"/>
  <c r="KF28" i="80"/>
  <c r="KG28" i="80"/>
  <c r="JW29" i="80"/>
  <c r="JX29" i="80"/>
  <c r="JY29" i="80"/>
  <c r="JZ29" i="80"/>
  <c r="KA29" i="80"/>
  <c r="KB29" i="80"/>
  <c r="KC29" i="80"/>
  <c r="KD29" i="80"/>
  <c r="KE29" i="80"/>
  <c r="KF29" i="80"/>
  <c r="KG29" i="80"/>
  <c r="JW30" i="80"/>
  <c r="JX30" i="80"/>
  <c r="JY30" i="80"/>
  <c r="JZ30" i="80"/>
  <c r="KA30" i="80"/>
  <c r="KB30" i="80"/>
  <c r="KC30" i="80"/>
  <c r="KD30" i="80"/>
  <c r="KE30" i="80"/>
  <c r="KF30" i="80"/>
  <c r="KG30" i="80"/>
  <c r="JW31" i="80"/>
  <c r="JX31" i="80"/>
  <c r="JY31" i="80"/>
  <c r="JZ31" i="80"/>
  <c r="KA31" i="80"/>
  <c r="KB31" i="80"/>
  <c r="KC31" i="80"/>
  <c r="KD31" i="80"/>
  <c r="KE31" i="80"/>
  <c r="KF31" i="80"/>
  <c r="KG31" i="80"/>
  <c r="JW32" i="80"/>
  <c r="JX32" i="80"/>
  <c r="JY32" i="80"/>
  <c r="JZ32" i="80"/>
  <c r="KA32" i="80"/>
  <c r="KB32" i="80"/>
  <c r="KC32" i="80"/>
  <c r="KD32" i="80"/>
  <c r="KE32" i="80"/>
  <c r="KF32" i="80"/>
  <c r="KG32" i="80"/>
  <c r="JW33" i="80"/>
  <c r="JX33" i="80"/>
  <c r="JY33" i="80"/>
  <c r="JZ33" i="80"/>
  <c r="KA33" i="80"/>
  <c r="KB33" i="80"/>
  <c r="KC33" i="80"/>
  <c r="KD33" i="80"/>
  <c r="KE33" i="80"/>
  <c r="KF33" i="80"/>
  <c r="KG33" i="80"/>
  <c r="JW34" i="80"/>
  <c r="JX34" i="80"/>
  <c r="JY34" i="80"/>
  <c r="JZ34" i="80"/>
  <c r="KA34" i="80"/>
  <c r="KB34" i="80"/>
  <c r="KC34" i="80"/>
  <c r="KD34" i="80"/>
  <c r="KE34" i="80"/>
  <c r="KF34" i="80"/>
  <c r="KG34" i="80"/>
  <c r="JW35" i="80"/>
  <c r="JX35" i="80"/>
  <c r="JY35" i="80"/>
  <c r="JZ35" i="80"/>
  <c r="KA35" i="80"/>
  <c r="KB35" i="80"/>
  <c r="KC35" i="80"/>
  <c r="KD35" i="80"/>
  <c r="KE35" i="80"/>
  <c r="KF35" i="80"/>
  <c r="KG35" i="80"/>
  <c r="JW36" i="80"/>
  <c r="JX36" i="80"/>
  <c r="JY36" i="80"/>
  <c r="JZ36" i="80"/>
  <c r="KA36" i="80"/>
  <c r="KB36" i="80"/>
  <c r="KC36" i="80"/>
  <c r="KD36" i="80"/>
  <c r="KE36" i="80"/>
  <c r="KF36" i="80"/>
  <c r="KG36" i="80"/>
  <c r="JW37" i="80"/>
  <c r="JX37" i="80"/>
  <c r="JY37" i="80"/>
  <c r="JZ37" i="80"/>
  <c r="KA37" i="80"/>
  <c r="KB37" i="80"/>
  <c r="KC37" i="80"/>
  <c r="KD37" i="80"/>
  <c r="KE37" i="80"/>
  <c r="KF37" i="80"/>
  <c r="KG37" i="80"/>
  <c r="JW38" i="80"/>
  <c r="JX38" i="80"/>
  <c r="JY38" i="80"/>
  <c r="JZ38" i="80"/>
  <c r="KA38" i="80"/>
  <c r="KB38" i="80"/>
  <c r="KC38" i="80"/>
  <c r="KD38" i="80"/>
  <c r="KE38" i="80"/>
  <c r="KF38" i="80"/>
  <c r="KG38" i="80"/>
  <c r="JW39" i="80"/>
  <c r="JX39" i="80"/>
  <c r="JY39" i="80"/>
  <c r="JZ39" i="80"/>
  <c r="KA39" i="80"/>
  <c r="KB39" i="80"/>
  <c r="KC39" i="80"/>
  <c r="KD39" i="80"/>
  <c r="KE39" i="80"/>
  <c r="KF39" i="80"/>
  <c r="KG39" i="80"/>
  <c r="JW40" i="80"/>
  <c r="JX40" i="80"/>
  <c r="JY40" i="80"/>
  <c r="JZ40" i="80"/>
  <c r="KA40" i="80"/>
  <c r="KB40" i="80"/>
  <c r="KC40" i="80"/>
  <c r="KD40" i="80"/>
  <c r="KE40" i="80"/>
  <c r="KF40" i="80"/>
  <c r="KG40" i="80"/>
  <c r="JW41" i="80"/>
  <c r="JX41" i="80"/>
  <c r="JY41" i="80"/>
  <c r="JZ41" i="80"/>
  <c r="KA41" i="80"/>
  <c r="KB41" i="80"/>
  <c r="KC41" i="80"/>
  <c r="KD41" i="80"/>
  <c r="KE41" i="80"/>
  <c r="KF41" i="80"/>
  <c r="KG41" i="80"/>
  <c r="JW42" i="80"/>
  <c r="JX42" i="80"/>
  <c r="JY42" i="80"/>
  <c r="JZ42" i="80"/>
  <c r="KA42" i="80"/>
  <c r="KB42" i="80"/>
  <c r="KC42" i="80"/>
  <c r="KD42" i="80"/>
  <c r="KE42" i="80"/>
  <c r="KF42" i="80"/>
  <c r="KG42" i="80"/>
  <c r="JW43" i="80"/>
  <c r="JX43" i="80"/>
  <c r="JY43" i="80"/>
  <c r="JZ43" i="80"/>
  <c r="KA43" i="80"/>
  <c r="KB43" i="80"/>
  <c r="KC43" i="80"/>
  <c r="KD43" i="80"/>
  <c r="KE43" i="80"/>
  <c r="KF43" i="80"/>
  <c r="KG43" i="80"/>
  <c r="JW44" i="80"/>
  <c r="JX44" i="80"/>
  <c r="JY44" i="80"/>
  <c r="JZ44" i="80"/>
  <c r="KA44" i="80"/>
  <c r="KB44" i="80"/>
  <c r="KC44" i="80"/>
  <c r="KD44" i="80"/>
  <c r="KE44" i="80"/>
  <c r="KF44" i="80"/>
  <c r="KG44" i="80"/>
  <c r="JW45" i="80"/>
  <c r="JX45" i="80"/>
  <c r="JY45" i="80"/>
  <c r="JZ45" i="80"/>
  <c r="KA45" i="80"/>
  <c r="KB45" i="80"/>
  <c r="KC45" i="80"/>
  <c r="KD45" i="80"/>
  <c r="KE45" i="80"/>
  <c r="KF45" i="80"/>
  <c r="KG45" i="80"/>
  <c r="JW46" i="80"/>
  <c r="JX46" i="80"/>
  <c r="JY46" i="80"/>
  <c r="JZ46" i="80"/>
  <c r="KA46" i="80"/>
  <c r="KB46" i="80"/>
  <c r="KC46" i="80"/>
  <c r="KD46" i="80"/>
  <c r="KE46" i="80"/>
  <c r="KF46" i="80"/>
  <c r="KG46" i="80"/>
  <c r="JW47" i="80"/>
  <c r="JX47" i="80"/>
  <c r="JY47" i="80"/>
  <c r="JZ47" i="80"/>
  <c r="KA47" i="80"/>
  <c r="KB47" i="80"/>
  <c r="KC47" i="80"/>
  <c r="KD47" i="80"/>
  <c r="KE47" i="80"/>
  <c r="KF47" i="80"/>
  <c r="KG47" i="80"/>
  <c r="JW48" i="80"/>
  <c r="JX48" i="80"/>
  <c r="JY48" i="80"/>
  <c r="JZ48" i="80"/>
  <c r="KA48" i="80"/>
  <c r="KB48" i="80"/>
  <c r="KC48" i="80"/>
  <c r="KD48" i="80"/>
  <c r="KE48" i="80"/>
  <c r="KF48" i="80"/>
  <c r="KG48" i="80"/>
  <c r="JW49" i="80"/>
  <c r="JX49" i="80"/>
  <c r="JY49" i="80"/>
  <c r="JZ49" i="80"/>
  <c r="KA49" i="80"/>
  <c r="KB49" i="80"/>
  <c r="KC49" i="80"/>
  <c r="KD49" i="80"/>
  <c r="KE49" i="80"/>
  <c r="KF49" i="80"/>
  <c r="KG49" i="80"/>
  <c r="JW50" i="80"/>
  <c r="JX50" i="80"/>
  <c r="JY50" i="80"/>
  <c r="JZ50" i="80"/>
  <c r="KA50" i="80"/>
  <c r="KB50" i="80"/>
  <c r="KC50" i="80"/>
  <c r="KD50" i="80"/>
  <c r="KE50" i="80"/>
  <c r="KF50" i="80"/>
  <c r="KG50" i="80"/>
  <c r="JW51" i="80"/>
  <c r="JX51" i="80"/>
  <c r="JY51" i="80"/>
  <c r="JZ51" i="80"/>
  <c r="KA51" i="80"/>
  <c r="KB51" i="80"/>
  <c r="KC51" i="80"/>
  <c r="KD51" i="80"/>
  <c r="KE51" i="80"/>
  <c r="KF51" i="80"/>
  <c r="KG51" i="80"/>
  <c r="JW52" i="80"/>
  <c r="JX52" i="80"/>
  <c r="JY52" i="80"/>
  <c r="JZ52" i="80"/>
  <c r="KA52" i="80"/>
  <c r="KB52" i="80"/>
  <c r="KC52" i="80"/>
  <c r="KD52" i="80"/>
  <c r="KE52" i="80"/>
  <c r="KF52" i="80"/>
  <c r="KG52" i="80"/>
  <c r="JW53" i="80"/>
  <c r="KJ53" i="80" s="1"/>
  <c r="JX53" i="80"/>
  <c r="KK53" i="80" s="1"/>
  <c r="JY53" i="80"/>
  <c r="KL53" i="80" s="1"/>
  <c r="JZ53" i="80"/>
  <c r="KM53" i="80" s="1"/>
  <c r="KA53" i="80"/>
  <c r="KN53" i="80" s="1"/>
  <c r="KB53" i="80"/>
  <c r="KO53" i="80" s="1"/>
  <c r="KC53" i="80"/>
  <c r="KP53" i="80" s="1"/>
  <c r="KD53" i="80"/>
  <c r="KQ53" i="80" s="1"/>
  <c r="KE53" i="80"/>
  <c r="KR53" i="80" s="1"/>
  <c r="KF53" i="80"/>
  <c r="KS53" i="80" s="1"/>
  <c r="KG53" i="80"/>
  <c r="KT53" i="80" s="1"/>
  <c r="JX9" i="80"/>
  <c r="JY9" i="80"/>
  <c r="JZ9" i="80"/>
  <c r="KA9" i="80"/>
  <c r="KB9" i="80"/>
  <c r="KC9" i="80"/>
  <c r="KD9" i="80"/>
  <c r="KE9" i="80"/>
  <c r="KF9" i="80"/>
  <c r="KG9" i="80"/>
  <c r="IT50" i="80"/>
  <c r="IU50" i="80"/>
  <c r="IV50" i="80"/>
  <c r="IW50" i="80"/>
  <c r="KM50" i="80" s="1"/>
  <c r="IX50" i="80"/>
  <c r="IY50" i="80"/>
  <c r="IZ50" i="80"/>
  <c r="JA50" i="80"/>
  <c r="KQ50" i="80" s="1"/>
  <c r="JB50" i="80"/>
  <c r="JC50" i="80"/>
  <c r="JD50" i="80"/>
  <c r="JE50" i="80"/>
  <c r="IT51" i="80"/>
  <c r="KJ51" i="80" s="1"/>
  <c r="IU51" i="80"/>
  <c r="IV51" i="80"/>
  <c r="IW51" i="80"/>
  <c r="IX51" i="80"/>
  <c r="KN51" i="80" s="1"/>
  <c r="IY51" i="80"/>
  <c r="IZ51" i="80"/>
  <c r="JA51" i="80"/>
  <c r="JB51" i="80"/>
  <c r="KR51" i="80" s="1"/>
  <c r="JC51" i="80"/>
  <c r="JD51" i="80"/>
  <c r="JE51" i="80"/>
  <c r="IT52" i="80"/>
  <c r="KJ52" i="80" s="1"/>
  <c r="IU52" i="80"/>
  <c r="KK52" i="80" s="1"/>
  <c r="IV52" i="80"/>
  <c r="KL52" i="80" s="1"/>
  <c r="IW52" i="80"/>
  <c r="KM52" i="80" s="1"/>
  <c r="IX52" i="80"/>
  <c r="KN52" i="80" s="1"/>
  <c r="IY52" i="80"/>
  <c r="IZ52" i="80"/>
  <c r="KP52" i="80" s="1"/>
  <c r="JA52" i="80"/>
  <c r="KQ52" i="80" s="1"/>
  <c r="JB52" i="80"/>
  <c r="KR52" i="80" s="1"/>
  <c r="JC52" i="80"/>
  <c r="KS52" i="80" s="1"/>
  <c r="JD52" i="80"/>
  <c r="KT52" i="80" s="1"/>
  <c r="JE52" i="80"/>
  <c r="IT36" i="80"/>
  <c r="KJ36" i="80" s="1"/>
  <c r="IU36" i="80"/>
  <c r="KK36" i="80" s="1"/>
  <c r="IV36" i="80"/>
  <c r="KL36" i="80" s="1"/>
  <c r="IW36" i="80"/>
  <c r="KM36" i="80" s="1"/>
  <c r="IX36" i="80"/>
  <c r="KN36" i="80" s="1"/>
  <c r="IY36" i="80"/>
  <c r="KO36" i="80" s="1"/>
  <c r="IZ36" i="80"/>
  <c r="KP36" i="80" s="1"/>
  <c r="JA36" i="80"/>
  <c r="KQ36" i="80" s="1"/>
  <c r="JB36" i="80"/>
  <c r="KR36" i="80" s="1"/>
  <c r="JC36" i="80"/>
  <c r="KS36" i="80" s="1"/>
  <c r="JD36" i="80"/>
  <c r="KT36" i="80" s="1"/>
  <c r="JE36" i="80"/>
  <c r="IT37" i="80"/>
  <c r="KJ37" i="80" s="1"/>
  <c r="IU37" i="80"/>
  <c r="IV37" i="80"/>
  <c r="KL37" i="80" s="1"/>
  <c r="IW37" i="80"/>
  <c r="IX37" i="80"/>
  <c r="KN37" i="80" s="1"/>
  <c r="IY37" i="80"/>
  <c r="IZ37" i="80"/>
  <c r="KP37" i="80" s="1"/>
  <c r="JA37" i="80"/>
  <c r="JB37" i="80"/>
  <c r="KR37" i="80" s="1"/>
  <c r="JC37" i="80"/>
  <c r="JD37" i="80"/>
  <c r="KT37" i="80" s="1"/>
  <c r="JE37" i="80"/>
  <c r="IT38" i="80"/>
  <c r="IU38" i="80"/>
  <c r="IV38" i="80"/>
  <c r="IW38" i="80"/>
  <c r="KM38" i="80" s="1"/>
  <c r="IX38" i="80"/>
  <c r="IY38" i="80"/>
  <c r="IZ38" i="80"/>
  <c r="JA38" i="80"/>
  <c r="KQ38" i="80" s="1"/>
  <c r="JB38" i="80"/>
  <c r="JC38" i="80"/>
  <c r="JD38" i="80"/>
  <c r="JE38" i="80"/>
  <c r="IT39" i="80"/>
  <c r="KJ39" i="80" s="1"/>
  <c r="IU39" i="80"/>
  <c r="IV39" i="80"/>
  <c r="IW39" i="80"/>
  <c r="IX39" i="80"/>
  <c r="KN39" i="80" s="1"/>
  <c r="IY39" i="80"/>
  <c r="IZ39" i="80"/>
  <c r="JA39" i="80"/>
  <c r="JB39" i="80"/>
  <c r="KR39" i="80" s="1"/>
  <c r="JC39" i="80"/>
  <c r="JD39" i="80"/>
  <c r="JE39" i="80"/>
  <c r="IT40" i="80"/>
  <c r="KJ40" i="80" s="1"/>
  <c r="IU40" i="80"/>
  <c r="KK40" i="80" s="1"/>
  <c r="IV40" i="80"/>
  <c r="KL40" i="80" s="1"/>
  <c r="IW40" i="80"/>
  <c r="KM40" i="80" s="1"/>
  <c r="IX40" i="80"/>
  <c r="KN40" i="80" s="1"/>
  <c r="IY40" i="80"/>
  <c r="KO40" i="80" s="1"/>
  <c r="IZ40" i="80"/>
  <c r="KP40" i="80" s="1"/>
  <c r="JA40" i="80"/>
  <c r="KQ40" i="80" s="1"/>
  <c r="JB40" i="80"/>
  <c r="KR40" i="80" s="1"/>
  <c r="JC40" i="80"/>
  <c r="JD40" i="80"/>
  <c r="KT40" i="80" s="1"/>
  <c r="JE40" i="80"/>
  <c r="IT41" i="80"/>
  <c r="KJ41" i="80" s="1"/>
  <c r="IU41" i="80"/>
  <c r="IV41" i="80"/>
  <c r="KL41" i="80" s="1"/>
  <c r="IW41" i="80"/>
  <c r="IX41" i="80"/>
  <c r="KN41" i="80" s="1"/>
  <c r="IY41" i="80"/>
  <c r="IZ41" i="80"/>
  <c r="KP41" i="80" s="1"/>
  <c r="JA41" i="80"/>
  <c r="JB41" i="80"/>
  <c r="KR41" i="80" s="1"/>
  <c r="JC41" i="80"/>
  <c r="JD41" i="80"/>
  <c r="KT41" i="80" s="1"/>
  <c r="JE41" i="80"/>
  <c r="IT42" i="80"/>
  <c r="IU42" i="80"/>
  <c r="IV42" i="80"/>
  <c r="IW42" i="80"/>
  <c r="IX42" i="80"/>
  <c r="IY42" i="80"/>
  <c r="IZ42" i="80"/>
  <c r="JA42" i="80"/>
  <c r="KQ42" i="80" s="1"/>
  <c r="JB42" i="80"/>
  <c r="JC42" i="80"/>
  <c r="JD42" i="80"/>
  <c r="JE42" i="80"/>
  <c r="IT43" i="80"/>
  <c r="KJ43" i="80" s="1"/>
  <c r="IU43" i="80"/>
  <c r="IV43" i="80"/>
  <c r="IW43" i="80"/>
  <c r="IX43" i="80"/>
  <c r="KN43" i="80" s="1"/>
  <c r="IY43" i="80"/>
  <c r="IZ43" i="80"/>
  <c r="JA43" i="80"/>
  <c r="JB43" i="80"/>
  <c r="JC43" i="80"/>
  <c r="JD43" i="80"/>
  <c r="JE43" i="80"/>
  <c r="IT44" i="80"/>
  <c r="KJ44" i="80" s="1"/>
  <c r="IU44" i="80"/>
  <c r="KK44" i="80" s="1"/>
  <c r="IV44" i="80"/>
  <c r="KL44" i="80" s="1"/>
  <c r="IW44" i="80"/>
  <c r="KM44" i="80" s="1"/>
  <c r="IX44" i="80"/>
  <c r="KN44" i="80" s="1"/>
  <c r="IY44" i="80"/>
  <c r="KO44" i="80" s="1"/>
  <c r="IZ44" i="80"/>
  <c r="KP44" i="80" s="1"/>
  <c r="JA44" i="80"/>
  <c r="KQ44" i="80" s="1"/>
  <c r="JB44" i="80"/>
  <c r="KR44" i="80" s="1"/>
  <c r="JC44" i="80"/>
  <c r="KS44" i="80" s="1"/>
  <c r="JD44" i="80"/>
  <c r="KT44" i="80" s="1"/>
  <c r="JE44" i="80"/>
  <c r="IT45" i="80"/>
  <c r="KJ45" i="80" s="1"/>
  <c r="IU45" i="80"/>
  <c r="IV45" i="80"/>
  <c r="KL45" i="80" s="1"/>
  <c r="IW45" i="80"/>
  <c r="IX45" i="80"/>
  <c r="KN45" i="80" s="1"/>
  <c r="IY45" i="80"/>
  <c r="IZ45" i="80"/>
  <c r="KP45" i="80" s="1"/>
  <c r="JA45" i="80"/>
  <c r="JB45" i="80"/>
  <c r="KR45" i="80" s="1"/>
  <c r="JC45" i="80"/>
  <c r="JD45" i="80"/>
  <c r="KT45" i="80" s="1"/>
  <c r="JE45" i="80"/>
  <c r="IT46" i="80"/>
  <c r="IU46" i="80"/>
  <c r="IV46" i="80"/>
  <c r="IW46" i="80"/>
  <c r="KM46" i="80" s="1"/>
  <c r="IX46" i="80"/>
  <c r="IY46" i="80"/>
  <c r="IZ46" i="80"/>
  <c r="JA46" i="80"/>
  <c r="JB46" i="80"/>
  <c r="JC46" i="80"/>
  <c r="JD46" i="80"/>
  <c r="JE46" i="80"/>
  <c r="IT47" i="80"/>
  <c r="KJ47" i="80" s="1"/>
  <c r="IU47" i="80"/>
  <c r="IV47" i="80"/>
  <c r="IW47" i="80"/>
  <c r="IX47" i="80"/>
  <c r="KN47" i="80" s="1"/>
  <c r="IY47" i="80"/>
  <c r="IZ47" i="80"/>
  <c r="JA47" i="80"/>
  <c r="JB47" i="80"/>
  <c r="KR47" i="80" s="1"/>
  <c r="JC47" i="80"/>
  <c r="JD47" i="80"/>
  <c r="JE47" i="80"/>
  <c r="IT48" i="80"/>
  <c r="KJ48" i="80" s="1"/>
  <c r="IU48" i="80"/>
  <c r="KK48" i="80" s="1"/>
  <c r="IV48" i="80"/>
  <c r="KL48" i="80" s="1"/>
  <c r="IW48" i="80"/>
  <c r="KM48" i="80" s="1"/>
  <c r="IX48" i="80"/>
  <c r="KN48" i="80" s="1"/>
  <c r="IY48" i="80"/>
  <c r="KO48" i="80" s="1"/>
  <c r="IZ48" i="80"/>
  <c r="KP48" i="80" s="1"/>
  <c r="JA48" i="80"/>
  <c r="KQ48" i="80" s="1"/>
  <c r="JB48" i="80"/>
  <c r="KR48" i="80" s="1"/>
  <c r="JC48" i="80"/>
  <c r="KS48" i="80" s="1"/>
  <c r="JD48" i="80"/>
  <c r="KT48" i="80" s="1"/>
  <c r="JE48" i="80"/>
  <c r="IT49" i="80"/>
  <c r="KJ49" i="80" s="1"/>
  <c r="IU49" i="80"/>
  <c r="IV49" i="80"/>
  <c r="KL49" i="80" s="1"/>
  <c r="IW49" i="80"/>
  <c r="IX49" i="80"/>
  <c r="KN49" i="80" s="1"/>
  <c r="IY49" i="80"/>
  <c r="IZ49" i="80"/>
  <c r="KP49" i="80" s="1"/>
  <c r="JA49" i="80"/>
  <c r="JB49" i="80"/>
  <c r="KR49" i="80" s="1"/>
  <c r="JC49" i="80"/>
  <c r="JD49" i="80"/>
  <c r="KT49" i="80" s="1"/>
  <c r="JE49" i="80"/>
  <c r="IT25" i="80"/>
  <c r="KJ25" i="80" s="1"/>
  <c r="IU25" i="80"/>
  <c r="IV25" i="80"/>
  <c r="KL25" i="80" s="1"/>
  <c r="IW25" i="80"/>
  <c r="IX25" i="80"/>
  <c r="KN25" i="80" s="1"/>
  <c r="IY25" i="80"/>
  <c r="IZ25" i="80"/>
  <c r="KP25" i="80" s="1"/>
  <c r="JA25" i="80"/>
  <c r="JB25" i="80"/>
  <c r="KR25" i="80" s="1"/>
  <c r="JC25" i="80"/>
  <c r="JD25" i="80"/>
  <c r="KT25" i="80" s="1"/>
  <c r="JE25" i="80"/>
  <c r="IT26" i="80"/>
  <c r="IU26" i="80"/>
  <c r="IV26" i="80"/>
  <c r="IW26" i="80"/>
  <c r="KM26" i="80" s="1"/>
  <c r="IX26" i="80"/>
  <c r="IY26" i="80"/>
  <c r="IZ26" i="80"/>
  <c r="JA26" i="80"/>
  <c r="KQ26" i="80" s="1"/>
  <c r="JB26" i="80"/>
  <c r="JC26" i="80"/>
  <c r="JD26" i="80"/>
  <c r="JE26" i="80"/>
  <c r="IT27" i="80"/>
  <c r="KJ27" i="80" s="1"/>
  <c r="IU27" i="80"/>
  <c r="IV27" i="80"/>
  <c r="IW27" i="80"/>
  <c r="IX27" i="80"/>
  <c r="KN27" i="80" s="1"/>
  <c r="IY27" i="80"/>
  <c r="IZ27" i="80"/>
  <c r="JA27" i="80"/>
  <c r="JB27" i="80"/>
  <c r="KR27" i="80" s="1"/>
  <c r="JC27" i="80"/>
  <c r="JD27" i="80"/>
  <c r="JE27" i="80"/>
  <c r="IT28" i="80"/>
  <c r="KJ28" i="80" s="1"/>
  <c r="IU28" i="80"/>
  <c r="KK28" i="80" s="1"/>
  <c r="IV28" i="80"/>
  <c r="KL28" i="80" s="1"/>
  <c r="IW28" i="80"/>
  <c r="KM28" i="80" s="1"/>
  <c r="IX28" i="80"/>
  <c r="KN28" i="80" s="1"/>
  <c r="IY28" i="80"/>
  <c r="KO28" i="80" s="1"/>
  <c r="IZ28" i="80"/>
  <c r="KP28" i="80" s="1"/>
  <c r="JA28" i="80"/>
  <c r="KQ28" i="80" s="1"/>
  <c r="JB28" i="80"/>
  <c r="KR28" i="80" s="1"/>
  <c r="JC28" i="80"/>
  <c r="KS28" i="80" s="1"/>
  <c r="JD28" i="80"/>
  <c r="KT28" i="80" s="1"/>
  <c r="JE28" i="80"/>
  <c r="IT29" i="80"/>
  <c r="KJ29" i="80" s="1"/>
  <c r="IU29" i="80"/>
  <c r="IV29" i="80"/>
  <c r="IW29" i="80"/>
  <c r="IX29" i="80"/>
  <c r="KN29" i="80" s="1"/>
  <c r="IY29" i="80"/>
  <c r="IZ29" i="80"/>
  <c r="KP29" i="80" s="1"/>
  <c r="JA29" i="80"/>
  <c r="JB29" i="80"/>
  <c r="KR29" i="80" s="1"/>
  <c r="JC29" i="80"/>
  <c r="JD29" i="80"/>
  <c r="KT29" i="80" s="1"/>
  <c r="JE29" i="80"/>
  <c r="IT30" i="80"/>
  <c r="IU30" i="80"/>
  <c r="IV30" i="80"/>
  <c r="IW30" i="80"/>
  <c r="KM30" i="80" s="1"/>
  <c r="IX30" i="80"/>
  <c r="IY30" i="80"/>
  <c r="IZ30" i="80"/>
  <c r="JA30" i="80"/>
  <c r="JB30" i="80"/>
  <c r="JC30" i="80"/>
  <c r="JD30" i="80"/>
  <c r="JE30" i="80"/>
  <c r="IT31" i="80"/>
  <c r="KJ31" i="80" s="1"/>
  <c r="IU31" i="80"/>
  <c r="IV31" i="80"/>
  <c r="IW31" i="80"/>
  <c r="IX31" i="80"/>
  <c r="KN31" i="80" s="1"/>
  <c r="IY31" i="80"/>
  <c r="IZ31" i="80"/>
  <c r="JA31" i="80"/>
  <c r="JB31" i="80"/>
  <c r="KR31" i="80" s="1"/>
  <c r="JC31" i="80"/>
  <c r="JD31" i="80"/>
  <c r="JE31" i="80"/>
  <c r="IT32" i="80"/>
  <c r="KJ32" i="80" s="1"/>
  <c r="IU32" i="80"/>
  <c r="IV32" i="80"/>
  <c r="KL32" i="80" s="1"/>
  <c r="IW32" i="80"/>
  <c r="KM32" i="80" s="1"/>
  <c r="IX32" i="80"/>
  <c r="KN32" i="80" s="1"/>
  <c r="IY32" i="80"/>
  <c r="KO32" i="80" s="1"/>
  <c r="IZ32" i="80"/>
  <c r="KP32" i="80" s="1"/>
  <c r="JA32" i="80"/>
  <c r="KQ32" i="80" s="1"/>
  <c r="JB32" i="80"/>
  <c r="KR32" i="80" s="1"/>
  <c r="JC32" i="80"/>
  <c r="KS32" i="80" s="1"/>
  <c r="JD32" i="80"/>
  <c r="KT32" i="80" s="1"/>
  <c r="JE32" i="80"/>
  <c r="IT33" i="80"/>
  <c r="KJ33" i="80" s="1"/>
  <c r="IU33" i="80"/>
  <c r="IV33" i="80"/>
  <c r="KL33" i="80" s="1"/>
  <c r="IW33" i="80"/>
  <c r="IX33" i="80"/>
  <c r="KN33" i="80" s="1"/>
  <c r="IY33" i="80"/>
  <c r="IZ33" i="80"/>
  <c r="KP33" i="80" s="1"/>
  <c r="JA33" i="80"/>
  <c r="JB33" i="80"/>
  <c r="KR33" i="80" s="1"/>
  <c r="JC33" i="80"/>
  <c r="JD33" i="80"/>
  <c r="KT33" i="80" s="1"/>
  <c r="JE33" i="80"/>
  <c r="IT34" i="80"/>
  <c r="IU34" i="80"/>
  <c r="IV34" i="80"/>
  <c r="IW34" i="80"/>
  <c r="KM34" i="80" s="1"/>
  <c r="IX34" i="80"/>
  <c r="IY34" i="80"/>
  <c r="IZ34" i="80"/>
  <c r="JA34" i="80"/>
  <c r="KQ34" i="80" s="1"/>
  <c r="JB34" i="80"/>
  <c r="JC34" i="80"/>
  <c r="JD34" i="80"/>
  <c r="JE34" i="80"/>
  <c r="IT35" i="80"/>
  <c r="KJ35" i="80" s="1"/>
  <c r="IU35" i="80"/>
  <c r="IV35" i="80"/>
  <c r="IW35" i="80"/>
  <c r="IX35" i="80"/>
  <c r="KN35" i="80" s="1"/>
  <c r="IY35" i="80"/>
  <c r="IZ35" i="80"/>
  <c r="JA35" i="80"/>
  <c r="JB35" i="80"/>
  <c r="KR35" i="80" s="1"/>
  <c r="JC35" i="80"/>
  <c r="JD35" i="80"/>
  <c r="JE35" i="80"/>
  <c r="IT10" i="80"/>
  <c r="IU10" i="80"/>
  <c r="IV10" i="80"/>
  <c r="IW10" i="80"/>
  <c r="KM10" i="80" s="1"/>
  <c r="IX10" i="80"/>
  <c r="IY10" i="80"/>
  <c r="IZ10" i="80"/>
  <c r="JA10" i="80"/>
  <c r="KQ10" i="80" s="1"/>
  <c r="JB10" i="80"/>
  <c r="JC10" i="80"/>
  <c r="JD10" i="80"/>
  <c r="JE10" i="80"/>
  <c r="IT11" i="80"/>
  <c r="KJ11" i="80" s="1"/>
  <c r="IU11" i="80"/>
  <c r="IV11" i="80"/>
  <c r="IW11" i="80"/>
  <c r="IX11" i="80"/>
  <c r="KN11" i="80" s="1"/>
  <c r="IY11" i="80"/>
  <c r="IZ11" i="80"/>
  <c r="JA11" i="80"/>
  <c r="JB11" i="80"/>
  <c r="KR11" i="80" s="1"/>
  <c r="JC11" i="80"/>
  <c r="JD11" i="80"/>
  <c r="JE11" i="80"/>
  <c r="IT12" i="80"/>
  <c r="KJ12" i="80" s="1"/>
  <c r="IU12" i="80"/>
  <c r="KK12" i="80" s="1"/>
  <c r="IV12" i="80"/>
  <c r="KL12" i="80" s="1"/>
  <c r="IW12" i="80"/>
  <c r="KM12" i="80" s="1"/>
  <c r="IX12" i="80"/>
  <c r="KN12" i="80" s="1"/>
  <c r="IY12" i="80"/>
  <c r="KO12" i="80" s="1"/>
  <c r="IZ12" i="80"/>
  <c r="KP12" i="80" s="1"/>
  <c r="JA12" i="80"/>
  <c r="KQ12" i="80" s="1"/>
  <c r="JB12" i="80"/>
  <c r="KR12" i="80" s="1"/>
  <c r="JC12" i="80"/>
  <c r="KS12" i="80" s="1"/>
  <c r="JD12" i="80"/>
  <c r="KT12" i="80" s="1"/>
  <c r="JE12" i="80"/>
  <c r="IT13" i="80"/>
  <c r="KJ13" i="80" s="1"/>
  <c r="IU13" i="80"/>
  <c r="IV13" i="80"/>
  <c r="KL13" i="80" s="1"/>
  <c r="IW13" i="80"/>
  <c r="IX13" i="80"/>
  <c r="KN13" i="80" s="1"/>
  <c r="IY13" i="80"/>
  <c r="IZ13" i="80"/>
  <c r="KP13" i="80" s="1"/>
  <c r="JA13" i="80"/>
  <c r="JB13" i="80"/>
  <c r="KR13" i="80" s="1"/>
  <c r="JC13" i="80"/>
  <c r="JD13" i="80"/>
  <c r="KT13" i="80" s="1"/>
  <c r="JE13" i="80"/>
  <c r="IT14" i="80"/>
  <c r="IU14" i="80"/>
  <c r="IV14" i="80"/>
  <c r="IW14" i="80"/>
  <c r="KM14" i="80" s="1"/>
  <c r="IX14" i="80"/>
  <c r="IY14" i="80"/>
  <c r="IZ14" i="80"/>
  <c r="JA14" i="80"/>
  <c r="KQ14" i="80" s="1"/>
  <c r="JB14" i="80"/>
  <c r="JC14" i="80"/>
  <c r="JD14" i="80"/>
  <c r="JE14" i="80"/>
  <c r="IT15" i="80"/>
  <c r="KJ15" i="80" s="1"/>
  <c r="IU15" i="80"/>
  <c r="IV15" i="80"/>
  <c r="IW15" i="80"/>
  <c r="IX15" i="80"/>
  <c r="KN15" i="80" s="1"/>
  <c r="IY15" i="80"/>
  <c r="IZ15" i="80"/>
  <c r="JA15" i="80"/>
  <c r="JB15" i="80"/>
  <c r="KR15" i="80" s="1"/>
  <c r="JC15" i="80"/>
  <c r="JD15" i="80"/>
  <c r="JE15" i="80"/>
  <c r="IT16" i="80"/>
  <c r="KJ16" i="80" s="1"/>
  <c r="IU16" i="80"/>
  <c r="KK16" i="80" s="1"/>
  <c r="IV16" i="80"/>
  <c r="KL16" i="80" s="1"/>
  <c r="IW16" i="80"/>
  <c r="KM16" i="80" s="1"/>
  <c r="IX16" i="80"/>
  <c r="KN16" i="80" s="1"/>
  <c r="IY16" i="80"/>
  <c r="KO16" i="80" s="1"/>
  <c r="IZ16" i="80"/>
  <c r="JA16" i="80"/>
  <c r="JB16" i="80"/>
  <c r="JC16" i="80"/>
  <c r="KS16" i="80" s="1"/>
  <c r="JD16" i="80"/>
  <c r="KT16" i="80" s="1"/>
  <c r="JE16" i="80"/>
  <c r="IT17" i="80"/>
  <c r="KJ17" i="80" s="1"/>
  <c r="IU17" i="80"/>
  <c r="IV17" i="80"/>
  <c r="KL17" i="80" s="1"/>
  <c r="IW17" i="80"/>
  <c r="IX17" i="80"/>
  <c r="KN17" i="80" s="1"/>
  <c r="IY17" i="80"/>
  <c r="IZ17" i="80"/>
  <c r="KP17" i="80" s="1"/>
  <c r="JA17" i="80"/>
  <c r="JB17" i="80"/>
  <c r="KR17" i="80" s="1"/>
  <c r="JC17" i="80"/>
  <c r="JD17" i="80"/>
  <c r="KT17" i="80" s="1"/>
  <c r="JE17" i="80"/>
  <c r="IT18" i="80"/>
  <c r="IU18" i="80"/>
  <c r="IV18" i="80"/>
  <c r="IW18" i="80"/>
  <c r="KM18" i="80" s="1"/>
  <c r="IX18" i="80"/>
  <c r="IY18" i="80"/>
  <c r="IZ18" i="80"/>
  <c r="JA18" i="80"/>
  <c r="KQ18" i="80" s="1"/>
  <c r="JB18" i="80"/>
  <c r="JC18" i="80"/>
  <c r="JD18" i="80"/>
  <c r="JE18" i="80"/>
  <c r="IT19" i="80"/>
  <c r="KJ19" i="80" s="1"/>
  <c r="IU19" i="80"/>
  <c r="IV19" i="80"/>
  <c r="IW19" i="80"/>
  <c r="IX19" i="80"/>
  <c r="KN19" i="80" s="1"/>
  <c r="IY19" i="80"/>
  <c r="IZ19" i="80"/>
  <c r="JA19" i="80"/>
  <c r="JB19" i="80"/>
  <c r="KR19" i="80" s="1"/>
  <c r="JC19" i="80"/>
  <c r="JD19" i="80"/>
  <c r="JE19" i="80"/>
  <c r="IT20" i="80"/>
  <c r="KJ20" i="80" s="1"/>
  <c r="IU20" i="80"/>
  <c r="KK20" i="80" s="1"/>
  <c r="IV20" i="80"/>
  <c r="KL20" i="80" s="1"/>
  <c r="IW20" i="80"/>
  <c r="KM20" i="80" s="1"/>
  <c r="IX20" i="80"/>
  <c r="KN20" i="80" s="1"/>
  <c r="IY20" i="80"/>
  <c r="KO20" i="80" s="1"/>
  <c r="IZ20" i="80"/>
  <c r="KP20" i="80" s="1"/>
  <c r="JA20" i="80"/>
  <c r="KQ20" i="80" s="1"/>
  <c r="JB20" i="80"/>
  <c r="KR20" i="80" s="1"/>
  <c r="JC20" i="80"/>
  <c r="KS20" i="80" s="1"/>
  <c r="JD20" i="80"/>
  <c r="JE20" i="80"/>
  <c r="IT21" i="80"/>
  <c r="IU21" i="80"/>
  <c r="IV21" i="80"/>
  <c r="KL21" i="80" s="1"/>
  <c r="IW21" i="80"/>
  <c r="IX21" i="80"/>
  <c r="KN21" i="80" s="1"/>
  <c r="IY21" i="80"/>
  <c r="IZ21" i="80"/>
  <c r="KP21" i="80" s="1"/>
  <c r="JA21" i="80"/>
  <c r="JB21" i="80"/>
  <c r="KR21" i="80" s="1"/>
  <c r="JC21" i="80"/>
  <c r="JD21" i="80"/>
  <c r="KT21" i="80" s="1"/>
  <c r="JE21" i="80"/>
  <c r="IT22" i="80"/>
  <c r="IU22" i="80"/>
  <c r="IV22" i="80"/>
  <c r="IW22" i="80"/>
  <c r="KM22" i="80" s="1"/>
  <c r="IX22" i="80"/>
  <c r="IY22" i="80"/>
  <c r="IZ22" i="80"/>
  <c r="JA22" i="80"/>
  <c r="KQ22" i="80" s="1"/>
  <c r="JB22" i="80"/>
  <c r="JC22" i="80"/>
  <c r="JD22" i="80"/>
  <c r="JE22" i="80"/>
  <c r="IT23" i="80"/>
  <c r="KJ23" i="80" s="1"/>
  <c r="IU23" i="80"/>
  <c r="IV23" i="80"/>
  <c r="IW23" i="80"/>
  <c r="IX23" i="80"/>
  <c r="KN23" i="80" s="1"/>
  <c r="IY23" i="80"/>
  <c r="IZ23" i="80"/>
  <c r="JA23" i="80"/>
  <c r="JB23" i="80"/>
  <c r="KR23" i="80" s="1"/>
  <c r="JC23" i="80"/>
  <c r="JD23" i="80"/>
  <c r="JE23" i="80"/>
  <c r="IT24" i="80"/>
  <c r="KJ24" i="80" s="1"/>
  <c r="IU24" i="80"/>
  <c r="KK24" i="80" s="1"/>
  <c r="IV24" i="80"/>
  <c r="KL24" i="80" s="1"/>
  <c r="IW24" i="80"/>
  <c r="KM24" i="80" s="1"/>
  <c r="IX24" i="80"/>
  <c r="KN24" i="80" s="1"/>
  <c r="IY24" i="80"/>
  <c r="KO24" i="80" s="1"/>
  <c r="IZ24" i="80"/>
  <c r="KP24" i="80" s="1"/>
  <c r="JA24" i="80"/>
  <c r="KQ24" i="80" s="1"/>
  <c r="JB24" i="80"/>
  <c r="KR24" i="80" s="1"/>
  <c r="JC24" i="80"/>
  <c r="KS24" i="80" s="1"/>
  <c r="JD24" i="80"/>
  <c r="KT24" i="80" s="1"/>
  <c r="JE24" i="80"/>
  <c r="JE9" i="80"/>
  <c r="IU9" i="80"/>
  <c r="IV9" i="80"/>
  <c r="IW9" i="80"/>
  <c r="IX9" i="80"/>
  <c r="KN9" i="80" s="1"/>
  <c r="IY9" i="80"/>
  <c r="IZ9" i="80"/>
  <c r="JA9" i="80"/>
  <c r="JB9" i="80"/>
  <c r="KR9" i="80" s="1"/>
  <c r="JC9" i="80"/>
  <c r="JD9" i="80"/>
  <c r="IT9" i="80"/>
  <c r="KJ9" i="80" s="1"/>
  <c r="GR50" i="91"/>
  <c r="KN14" i="80" l="1"/>
  <c r="KJ34" i="80"/>
  <c r="KQ29" i="80"/>
  <c r="KM41" i="80"/>
  <c r="KM23" i="80"/>
  <c r="KS46" i="80"/>
  <c r="KK51" i="80"/>
  <c r="KQ15" i="80"/>
  <c r="KP9" i="80"/>
  <c r="KL9" i="80"/>
  <c r="KT23" i="80"/>
  <c r="KP23" i="80"/>
  <c r="KL23" i="80"/>
  <c r="KT19" i="80"/>
  <c r="KL19" i="80"/>
  <c r="KP18" i="80"/>
  <c r="KT15" i="80"/>
  <c r="KP15" i="80"/>
  <c r="KT11" i="80"/>
  <c r="KP11" i="80"/>
  <c r="KL11" i="80"/>
  <c r="KL10" i="80"/>
  <c r="KT35" i="80"/>
  <c r="KP35" i="80"/>
  <c r="KL35" i="80"/>
  <c r="KT34" i="80"/>
  <c r="KT31" i="80"/>
  <c r="KP31" i="80"/>
  <c r="KL31" i="80"/>
  <c r="KT27" i="80"/>
  <c r="KP27" i="80"/>
  <c r="KL27" i="80"/>
  <c r="KP26" i="80"/>
  <c r="KT47" i="80"/>
  <c r="KP47" i="80"/>
  <c r="KL47" i="80"/>
  <c r="KT43" i="80"/>
  <c r="KP43" i="80"/>
  <c r="KL43" i="80"/>
  <c r="KL42" i="80"/>
  <c r="KT39" i="80"/>
  <c r="KP39" i="80"/>
  <c r="KL39" i="80"/>
  <c r="KT51" i="80"/>
  <c r="KP51" i="80"/>
  <c r="KL51" i="80"/>
  <c r="KO51" i="80"/>
  <c r="KK47" i="80"/>
  <c r="KS43" i="80"/>
  <c r="KS39" i="80"/>
  <c r="KO39" i="80"/>
  <c r="KK31" i="80"/>
  <c r="KS27" i="80"/>
  <c r="KQ23" i="80"/>
  <c r="KQ43" i="80"/>
  <c r="KT9" i="80"/>
  <c r="KS22" i="80"/>
  <c r="KO22" i="80"/>
  <c r="KK22" i="80"/>
  <c r="KS21" i="80"/>
  <c r="KO21" i="80"/>
  <c r="KK21" i="80"/>
  <c r="KS18" i="80"/>
  <c r="KO18" i="80"/>
  <c r="KO17" i="80"/>
  <c r="KK17" i="80"/>
  <c r="KS14" i="80"/>
  <c r="KO14" i="80"/>
  <c r="KK14" i="80"/>
  <c r="KO13" i="80"/>
  <c r="KK13" i="80"/>
  <c r="KS10" i="80"/>
  <c r="KO10" i="80"/>
  <c r="KK10" i="80"/>
  <c r="KS34" i="80"/>
  <c r="KO34" i="80"/>
  <c r="KK34" i="80"/>
  <c r="KS33" i="80"/>
  <c r="KO33" i="80"/>
  <c r="KK33" i="80"/>
  <c r="KO30" i="80"/>
  <c r="KO29" i="80"/>
  <c r="KK29" i="80"/>
  <c r="KO26" i="80"/>
  <c r="KO46" i="80"/>
  <c r="KS42" i="80"/>
  <c r="KO42" i="80"/>
  <c r="KO38" i="80"/>
  <c r="KK38" i="80"/>
  <c r="KS9" i="80"/>
  <c r="KO9" i="80"/>
  <c r="KK9" i="80"/>
  <c r="KS23" i="80"/>
  <c r="KO23" i="80"/>
  <c r="KK23" i="80"/>
  <c r="KS19" i="80"/>
  <c r="KS15" i="80"/>
  <c r="KO15" i="80"/>
  <c r="KS11" i="80"/>
  <c r="KO11" i="80"/>
  <c r="KK11" i="80"/>
  <c r="KS35" i="80"/>
  <c r="KO35" i="80"/>
  <c r="KK35" i="80"/>
  <c r="KS31" i="80"/>
  <c r="KN22" i="80"/>
  <c r="KN18" i="80"/>
  <c r="KJ14" i="80"/>
  <c r="KN10" i="80"/>
  <c r="KR34" i="80"/>
  <c r="KN34" i="80"/>
  <c r="KR30" i="80"/>
  <c r="KN30" i="80"/>
  <c r="KJ30" i="80"/>
  <c r="KR26" i="80"/>
  <c r="KN26" i="80"/>
  <c r="KJ26" i="80"/>
  <c r="KR46" i="80"/>
  <c r="KN46" i="80"/>
  <c r="KJ46" i="80"/>
  <c r="KR42" i="80"/>
  <c r="KN42" i="80"/>
  <c r="KJ42" i="80"/>
  <c r="KR38" i="80"/>
  <c r="KN38" i="80"/>
  <c r="KJ38" i="80"/>
  <c r="KR50" i="80"/>
  <c r="KN50" i="80"/>
  <c r="KJ50" i="80"/>
  <c r="KO45" i="80"/>
  <c r="KK45" i="80"/>
  <c r="KK41" i="80"/>
  <c r="KQ39" i="80"/>
  <c r="KK25" i="80"/>
  <c r="KQ19" i="80"/>
  <c r="KM19" i="80"/>
  <c r="KM15" i="80"/>
  <c r="KR22" i="80"/>
  <c r="KJ22" i="80"/>
  <c r="KR18" i="80"/>
  <c r="KR14" i="80"/>
  <c r="KR10" i="80"/>
  <c r="KQ21" i="80"/>
  <c r="KM21" i="80"/>
  <c r="KQ17" i="80"/>
  <c r="KM17" i="80"/>
  <c r="KQ13" i="80"/>
  <c r="KM13" i="80"/>
  <c r="KQ33" i="80"/>
  <c r="KM33" i="80"/>
  <c r="KM29" i="80"/>
  <c r="KQ25" i="80"/>
  <c r="KM25" i="80"/>
  <c r="KQ49" i="80"/>
  <c r="KM49" i="80"/>
  <c r="KQ45" i="80"/>
  <c r="KM45" i="80"/>
  <c r="KQ41" i="80"/>
  <c r="KQ37" i="80"/>
  <c r="KM37" i="80"/>
  <c r="KK50" i="80"/>
  <c r="KK46" i="80"/>
  <c r="KK42" i="80"/>
  <c r="KS30" i="80"/>
  <c r="KS26" i="80"/>
  <c r="KS17" i="80"/>
  <c r="KQ9" i="80"/>
  <c r="KM9" i="80"/>
  <c r="KQ11" i="80"/>
  <c r="KM11" i="80"/>
  <c r="KQ35" i="80"/>
  <c r="KM35" i="80"/>
  <c r="KQ31" i="80"/>
  <c r="KM31" i="80"/>
  <c r="KQ27" i="80"/>
  <c r="KM27" i="80"/>
  <c r="KQ47" i="80"/>
  <c r="KM47" i="80"/>
  <c r="KM43" i="80"/>
  <c r="KM39" i="80"/>
  <c r="KQ51" i="80"/>
  <c r="KM51" i="80"/>
  <c r="KJ21" i="80"/>
  <c r="KP19" i="80"/>
  <c r="KK18" i="80"/>
  <c r="KQ16" i="80"/>
  <c r="KL15" i="80"/>
  <c r="KR16" i="80"/>
  <c r="KS13" i="80"/>
  <c r="KT22" i="80"/>
  <c r="KP22" i="80"/>
  <c r="KL22" i="80"/>
  <c r="KT18" i="80"/>
  <c r="KL18" i="80"/>
  <c r="KT14" i="80"/>
  <c r="KP14" i="80"/>
  <c r="KL14" i="80"/>
  <c r="KT10" i="80"/>
  <c r="KP10" i="80"/>
  <c r="KP34" i="80"/>
  <c r="KL34" i="80"/>
  <c r="KT30" i="80"/>
  <c r="KP30" i="80"/>
  <c r="KL30" i="80"/>
  <c r="KT26" i="80"/>
  <c r="KL26" i="80"/>
  <c r="KT46" i="80"/>
  <c r="KP46" i="80"/>
  <c r="KL46" i="80"/>
  <c r="KT42" i="80"/>
  <c r="KP42" i="80"/>
  <c r="KT38" i="80"/>
  <c r="KP38" i="80"/>
  <c r="KL38" i="80"/>
  <c r="KT50" i="80"/>
  <c r="KP50" i="80"/>
  <c r="KL50" i="80"/>
  <c r="KT20" i="80"/>
  <c r="KO19" i="80"/>
  <c r="KK19" i="80"/>
  <c r="KJ18" i="80"/>
  <c r="KP16" i="80"/>
  <c r="KK15" i="80"/>
  <c r="KO31" i="80"/>
  <c r="KK30" i="80"/>
  <c r="KS29" i="80"/>
  <c r="KO27" i="80"/>
  <c r="KK27" i="80"/>
  <c r="KK26" i="80"/>
  <c r="KS25" i="80"/>
  <c r="KO25" i="80"/>
  <c r="KS49" i="80"/>
  <c r="KO49" i="80"/>
  <c r="KK49" i="80"/>
  <c r="KS47" i="80"/>
  <c r="KO47" i="80"/>
  <c r="KS45" i="80"/>
  <c r="KO43" i="80"/>
  <c r="KK43" i="80"/>
  <c r="KS41" i="80"/>
  <c r="KO41" i="80"/>
  <c r="KK39" i="80"/>
  <c r="KS38" i="80"/>
  <c r="KS37" i="80"/>
  <c r="KO37" i="80"/>
  <c r="KK37" i="80"/>
  <c r="KS51" i="80"/>
  <c r="KS50" i="80"/>
  <c r="KO50" i="80"/>
  <c r="KO52" i="80"/>
  <c r="KQ46" i="80"/>
  <c r="KR43" i="80"/>
  <c r="KM42" i="80"/>
  <c r="KS40" i="80"/>
  <c r="KK32" i="80"/>
  <c r="KQ30" i="80"/>
  <c r="KL29" i="80"/>
  <c r="KJ10" i="80"/>
  <c r="AJ13" i="11"/>
  <c r="FX51" i="81"/>
  <c r="GN5" i="81"/>
  <c r="GN6" i="81"/>
  <c r="GN7" i="81"/>
  <c r="GN8" i="81"/>
  <c r="GN9" i="81"/>
  <c r="GN10" i="81"/>
  <c r="GN11" i="81"/>
  <c r="GN12" i="81"/>
  <c r="GN13" i="81"/>
  <c r="GN14" i="81"/>
  <c r="GN15" i="81"/>
  <c r="GN16" i="81"/>
  <c r="GN17" i="81"/>
  <c r="GN18" i="81"/>
  <c r="GN19" i="81"/>
  <c r="GN20" i="81"/>
  <c r="GN21" i="81"/>
  <c r="GN22" i="81"/>
  <c r="GN23" i="81"/>
  <c r="GN24" i="81"/>
  <c r="GN25" i="81"/>
  <c r="GN26" i="81"/>
  <c r="GN27" i="81"/>
  <c r="GN28" i="81"/>
  <c r="GN29" i="81"/>
  <c r="GN30" i="81"/>
  <c r="GN31" i="81"/>
  <c r="GN32" i="81"/>
  <c r="GN33" i="81"/>
  <c r="GN34" i="81"/>
  <c r="GN35" i="81"/>
  <c r="GN36" i="81"/>
  <c r="GN37" i="81"/>
  <c r="GN38" i="81"/>
  <c r="GN39" i="81"/>
  <c r="GN40" i="81"/>
  <c r="GN41" i="81"/>
  <c r="FZ44" i="81"/>
  <c r="GA44" i="81"/>
  <c r="GB44" i="81"/>
  <c r="GC44" i="81"/>
  <c r="GD44" i="81"/>
  <c r="GE44" i="81"/>
  <c r="GF44" i="81"/>
  <c r="GG44" i="81"/>
  <c r="GH44" i="81"/>
  <c r="GI44" i="81"/>
  <c r="GJ44" i="81"/>
  <c r="GK44" i="81"/>
  <c r="GL44" i="81"/>
  <c r="GM44" i="81"/>
  <c r="GN44" i="81"/>
  <c r="FZ45" i="81"/>
  <c r="GA45" i="81"/>
  <c r="GB45" i="81"/>
  <c r="GC45" i="81"/>
  <c r="GD45" i="81"/>
  <c r="GE45" i="81"/>
  <c r="GF45" i="81"/>
  <c r="GG45" i="81"/>
  <c r="GH45" i="81"/>
  <c r="GI45" i="81"/>
  <c r="GJ45" i="81"/>
  <c r="GK45" i="81"/>
  <c r="GL45" i="81"/>
  <c r="GM45" i="81"/>
  <c r="GN45" i="81"/>
  <c r="FZ5" i="81"/>
  <c r="GA5" i="81"/>
  <c r="GB5" i="81"/>
  <c r="GC5" i="81"/>
  <c r="GD5" i="81"/>
  <c r="GE5" i="81"/>
  <c r="GF5" i="81"/>
  <c r="GG5" i="81"/>
  <c r="GH5" i="81"/>
  <c r="GI5" i="81"/>
  <c r="GJ5" i="81"/>
  <c r="GK5" i="81"/>
  <c r="GL5" i="81"/>
  <c r="GM5" i="81"/>
  <c r="FZ6" i="81"/>
  <c r="GA6" i="81"/>
  <c r="GB6" i="81"/>
  <c r="GC6" i="81"/>
  <c r="GD6" i="81"/>
  <c r="GE6" i="81"/>
  <c r="GF6" i="81"/>
  <c r="GG6" i="81"/>
  <c r="GH6" i="81"/>
  <c r="GI6" i="81"/>
  <c r="GJ6" i="81"/>
  <c r="GK6" i="81"/>
  <c r="GL6" i="81"/>
  <c r="GM6" i="81"/>
  <c r="FZ7" i="81"/>
  <c r="GA7" i="81"/>
  <c r="GB7" i="81"/>
  <c r="GC7" i="81"/>
  <c r="GD7" i="81"/>
  <c r="GE7" i="81"/>
  <c r="GF7" i="81"/>
  <c r="GG7" i="81"/>
  <c r="GH7" i="81"/>
  <c r="GI7" i="81"/>
  <c r="GJ7" i="81"/>
  <c r="GK7" i="81"/>
  <c r="GL7" i="81"/>
  <c r="GM7" i="81"/>
  <c r="FZ8" i="81"/>
  <c r="GA8" i="81"/>
  <c r="GB8" i="81"/>
  <c r="GC8" i="81"/>
  <c r="GD8" i="81"/>
  <c r="GE8" i="81"/>
  <c r="GF8" i="81"/>
  <c r="GG8" i="81"/>
  <c r="GH8" i="81"/>
  <c r="GI8" i="81"/>
  <c r="GJ8" i="81"/>
  <c r="GK8" i="81"/>
  <c r="GL8" i="81"/>
  <c r="GM8" i="81"/>
  <c r="FZ9" i="81"/>
  <c r="GA9" i="81"/>
  <c r="GB9" i="81"/>
  <c r="GC9" i="81"/>
  <c r="GD9" i="81"/>
  <c r="GE9" i="81"/>
  <c r="GF9" i="81"/>
  <c r="GG9" i="81"/>
  <c r="GH9" i="81"/>
  <c r="GI9" i="81"/>
  <c r="GJ9" i="81"/>
  <c r="GK9" i="81"/>
  <c r="GL9" i="81"/>
  <c r="GM9" i="81"/>
  <c r="FZ10" i="81"/>
  <c r="GA10" i="81"/>
  <c r="GB10" i="81"/>
  <c r="GC10" i="81"/>
  <c r="GD10" i="81"/>
  <c r="GE10" i="81"/>
  <c r="GF10" i="81"/>
  <c r="GG10" i="81"/>
  <c r="GH10" i="81"/>
  <c r="GI10" i="81"/>
  <c r="GJ10" i="81"/>
  <c r="GK10" i="81"/>
  <c r="GL10" i="81"/>
  <c r="GM10" i="81"/>
  <c r="FZ11" i="81"/>
  <c r="GA11" i="81"/>
  <c r="GB11" i="81"/>
  <c r="GC11" i="81"/>
  <c r="GD11" i="81"/>
  <c r="GE11" i="81"/>
  <c r="GF11" i="81"/>
  <c r="GG11" i="81"/>
  <c r="GH11" i="81"/>
  <c r="GI11" i="81"/>
  <c r="GJ11" i="81"/>
  <c r="GK11" i="81"/>
  <c r="GL11" i="81"/>
  <c r="GM11" i="81"/>
  <c r="FZ12" i="81"/>
  <c r="GA12" i="81"/>
  <c r="GB12" i="81"/>
  <c r="GC12" i="81"/>
  <c r="GD12" i="81"/>
  <c r="GE12" i="81"/>
  <c r="GF12" i="81"/>
  <c r="GG12" i="81"/>
  <c r="GH12" i="81"/>
  <c r="GI12" i="81"/>
  <c r="GJ12" i="81"/>
  <c r="GK12" i="81"/>
  <c r="GL12" i="81"/>
  <c r="GM12" i="81"/>
  <c r="FZ13" i="81"/>
  <c r="GA13" i="81"/>
  <c r="GB13" i="81"/>
  <c r="GC13" i="81"/>
  <c r="GD13" i="81"/>
  <c r="GE13" i="81"/>
  <c r="GF13" i="81"/>
  <c r="GG13" i="81"/>
  <c r="GH13" i="81"/>
  <c r="GI13" i="81"/>
  <c r="GJ13" i="81"/>
  <c r="GK13" i="81"/>
  <c r="GL13" i="81"/>
  <c r="GM13" i="81"/>
  <c r="FZ14" i="81"/>
  <c r="GA14" i="81"/>
  <c r="GB14" i="81"/>
  <c r="GC14" i="81"/>
  <c r="GD14" i="81"/>
  <c r="GE14" i="81"/>
  <c r="GF14" i="81"/>
  <c r="GG14" i="81"/>
  <c r="GH14" i="81"/>
  <c r="GI14" i="81"/>
  <c r="GJ14" i="81"/>
  <c r="GK14" i="81"/>
  <c r="GL14" i="81"/>
  <c r="GM14" i="81"/>
  <c r="FZ15" i="81"/>
  <c r="GA15" i="81"/>
  <c r="GB15" i="81"/>
  <c r="GC15" i="81"/>
  <c r="GD15" i="81"/>
  <c r="GE15" i="81"/>
  <c r="GF15" i="81"/>
  <c r="GG15" i="81"/>
  <c r="GH15" i="81"/>
  <c r="GI15" i="81"/>
  <c r="GJ15" i="81"/>
  <c r="GK15" i="81"/>
  <c r="GL15" i="81"/>
  <c r="GM15" i="81"/>
  <c r="FZ16" i="81"/>
  <c r="GA16" i="81"/>
  <c r="GB16" i="81"/>
  <c r="GC16" i="81"/>
  <c r="GD16" i="81"/>
  <c r="GE16" i="81"/>
  <c r="GF16" i="81"/>
  <c r="GG16" i="81"/>
  <c r="GH16" i="81"/>
  <c r="GI16" i="81"/>
  <c r="GJ16" i="81"/>
  <c r="GK16" i="81"/>
  <c r="GL16" i="81"/>
  <c r="GM16" i="81"/>
  <c r="FZ17" i="81"/>
  <c r="GA17" i="81"/>
  <c r="GB17" i="81"/>
  <c r="GC17" i="81"/>
  <c r="GD17" i="81"/>
  <c r="GE17" i="81"/>
  <c r="GF17" i="81"/>
  <c r="GG17" i="81"/>
  <c r="GH17" i="81"/>
  <c r="GI17" i="81"/>
  <c r="GJ17" i="81"/>
  <c r="GK17" i="81"/>
  <c r="GL17" i="81"/>
  <c r="GM17" i="81"/>
  <c r="FZ18" i="81"/>
  <c r="GA18" i="81"/>
  <c r="GB18" i="81"/>
  <c r="GC18" i="81"/>
  <c r="GD18" i="81"/>
  <c r="GE18" i="81"/>
  <c r="GF18" i="81"/>
  <c r="GG18" i="81"/>
  <c r="GH18" i="81"/>
  <c r="GI18" i="81"/>
  <c r="GJ18" i="81"/>
  <c r="GK18" i="81"/>
  <c r="GL18" i="81"/>
  <c r="GM18" i="81"/>
  <c r="FZ19" i="81"/>
  <c r="GA19" i="81"/>
  <c r="GB19" i="81"/>
  <c r="GC19" i="81"/>
  <c r="GD19" i="81"/>
  <c r="GE19" i="81"/>
  <c r="GF19" i="81"/>
  <c r="GG19" i="81"/>
  <c r="GH19" i="81"/>
  <c r="GI19" i="81"/>
  <c r="GJ19" i="81"/>
  <c r="GK19" i="81"/>
  <c r="GL19" i="81"/>
  <c r="GM19" i="81"/>
  <c r="FZ20" i="81"/>
  <c r="GA20" i="81"/>
  <c r="GB20" i="81"/>
  <c r="GC20" i="81"/>
  <c r="GD20" i="81"/>
  <c r="GE20" i="81"/>
  <c r="GF20" i="81"/>
  <c r="GG20" i="81"/>
  <c r="GH20" i="81"/>
  <c r="GI20" i="81"/>
  <c r="GJ20" i="81"/>
  <c r="GK20" i="81"/>
  <c r="GL20" i="81"/>
  <c r="GM20" i="81"/>
  <c r="FZ21" i="81"/>
  <c r="GA21" i="81"/>
  <c r="GB21" i="81"/>
  <c r="GC21" i="81"/>
  <c r="GD21" i="81"/>
  <c r="GE21" i="81"/>
  <c r="GF21" i="81"/>
  <c r="GG21" i="81"/>
  <c r="GH21" i="81"/>
  <c r="GI21" i="81"/>
  <c r="GJ21" i="81"/>
  <c r="GK21" i="81"/>
  <c r="GL21" i="81"/>
  <c r="GM21" i="81"/>
  <c r="FZ22" i="81"/>
  <c r="GA22" i="81"/>
  <c r="GB22" i="81"/>
  <c r="GC22" i="81"/>
  <c r="GD22" i="81"/>
  <c r="GE22" i="81"/>
  <c r="GF22" i="81"/>
  <c r="GG22" i="81"/>
  <c r="GH22" i="81"/>
  <c r="GI22" i="81"/>
  <c r="GJ22" i="81"/>
  <c r="GK22" i="81"/>
  <c r="GL22" i="81"/>
  <c r="GM22" i="81"/>
  <c r="FZ23" i="81"/>
  <c r="GA23" i="81"/>
  <c r="GB23" i="81"/>
  <c r="GC23" i="81"/>
  <c r="GD23" i="81"/>
  <c r="GE23" i="81"/>
  <c r="GF23" i="81"/>
  <c r="GG23" i="81"/>
  <c r="GH23" i="81"/>
  <c r="GI23" i="81"/>
  <c r="GJ23" i="81"/>
  <c r="GK23" i="81"/>
  <c r="GL23" i="81"/>
  <c r="GM23" i="81"/>
  <c r="FZ24" i="81"/>
  <c r="GA24" i="81"/>
  <c r="GB24" i="81"/>
  <c r="GC24" i="81"/>
  <c r="GD24" i="81"/>
  <c r="GE24" i="81"/>
  <c r="GF24" i="81"/>
  <c r="GG24" i="81"/>
  <c r="GH24" i="81"/>
  <c r="GI24" i="81"/>
  <c r="GJ24" i="81"/>
  <c r="GK24" i="81"/>
  <c r="GL24" i="81"/>
  <c r="GM24" i="81"/>
  <c r="FZ25" i="81"/>
  <c r="GA25" i="81"/>
  <c r="GB25" i="81"/>
  <c r="GC25" i="81"/>
  <c r="GD25" i="81"/>
  <c r="GE25" i="81"/>
  <c r="GF25" i="81"/>
  <c r="GG25" i="81"/>
  <c r="GH25" i="81"/>
  <c r="GI25" i="81"/>
  <c r="GJ25" i="81"/>
  <c r="GK25" i="81"/>
  <c r="GL25" i="81"/>
  <c r="GM25" i="81"/>
  <c r="FZ26" i="81"/>
  <c r="GA26" i="81"/>
  <c r="GB26" i="81"/>
  <c r="GC26" i="81"/>
  <c r="GD26" i="81"/>
  <c r="GE26" i="81"/>
  <c r="GF26" i="81"/>
  <c r="GG26" i="81"/>
  <c r="GH26" i="81"/>
  <c r="GI26" i="81"/>
  <c r="GJ26" i="81"/>
  <c r="GK26" i="81"/>
  <c r="GL26" i="81"/>
  <c r="GM26" i="81"/>
  <c r="FZ27" i="81"/>
  <c r="GA27" i="81"/>
  <c r="GB27" i="81"/>
  <c r="GC27" i="81"/>
  <c r="GD27" i="81"/>
  <c r="GE27" i="81"/>
  <c r="GF27" i="81"/>
  <c r="GG27" i="81"/>
  <c r="GH27" i="81"/>
  <c r="GI27" i="81"/>
  <c r="GJ27" i="81"/>
  <c r="GK27" i="81"/>
  <c r="GL27" i="81"/>
  <c r="GM27" i="81"/>
  <c r="FZ28" i="81"/>
  <c r="GA28" i="81"/>
  <c r="GB28" i="81"/>
  <c r="GC28" i="81"/>
  <c r="GD28" i="81"/>
  <c r="GE28" i="81"/>
  <c r="GF28" i="81"/>
  <c r="GG28" i="81"/>
  <c r="GH28" i="81"/>
  <c r="GI28" i="81"/>
  <c r="GJ28" i="81"/>
  <c r="GK28" i="81"/>
  <c r="GL28" i="81"/>
  <c r="GM28" i="81"/>
  <c r="FZ29" i="81"/>
  <c r="GA29" i="81"/>
  <c r="GB29" i="81"/>
  <c r="GC29" i="81"/>
  <c r="GD29" i="81"/>
  <c r="GE29" i="81"/>
  <c r="GF29" i="81"/>
  <c r="GG29" i="81"/>
  <c r="GH29" i="81"/>
  <c r="GI29" i="81"/>
  <c r="GJ29" i="81"/>
  <c r="GK29" i="81"/>
  <c r="GL29" i="81"/>
  <c r="GM29" i="81"/>
  <c r="FZ30" i="81"/>
  <c r="GA30" i="81"/>
  <c r="GB30" i="81"/>
  <c r="GC30" i="81"/>
  <c r="GD30" i="81"/>
  <c r="GE30" i="81"/>
  <c r="GF30" i="81"/>
  <c r="GG30" i="81"/>
  <c r="GH30" i="81"/>
  <c r="GI30" i="81"/>
  <c r="GJ30" i="81"/>
  <c r="GK30" i="81"/>
  <c r="GL30" i="81"/>
  <c r="GM30" i="81"/>
  <c r="FZ31" i="81"/>
  <c r="GA31" i="81"/>
  <c r="GB31" i="81"/>
  <c r="GC31" i="81"/>
  <c r="GD31" i="81"/>
  <c r="GE31" i="81"/>
  <c r="GF31" i="81"/>
  <c r="GG31" i="81"/>
  <c r="GH31" i="81"/>
  <c r="GI31" i="81"/>
  <c r="GJ31" i="81"/>
  <c r="GK31" i="81"/>
  <c r="GL31" i="81"/>
  <c r="GM31" i="81"/>
  <c r="FZ32" i="81"/>
  <c r="GA32" i="81"/>
  <c r="GB32" i="81"/>
  <c r="GC32" i="81"/>
  <c r="GD32" i="81"/>
  <c r="GE32" i="81"/>
  <c r="GF32" i="81"/>
  <c r="GG32" i="81"/>
  <c r="GH32" i="81"/>
  <c r="GI32" i="81"/>
  <c r="GJ32" i="81"/>
  <c r="GK32" i="81"/>
  <c r="GL32" i="81"/>
  <c r="GM32" i="81"/>
  <c r="FZ33" i="81"/>
  <c r="GA33" i="81"/>
  <c r="GB33" i="81"/>
  <c r="GC33" i="81"/>
  <c r="GD33" i="81"/>
  <c r="GE33" i="81"/>
  <c r="GF33" i="81"/>
  <c r="GG33" i="81"/>
  <c r="GH33" i="81"/>
  <c r="GI33" i="81"/>
  <c r="GJ33" i="81"/>
  <c r="GK33" i="81"/>
  <c r="GL33" i="81"/>
  <c r="GM33" i="81"/>
  <c r="FZ34" i="81"/>
  <c r="GA34" i="81"/>
  <c r="GB34" i="81"/>
  <c r="GC34" i="81"/>
  <c r="GD34" i="81"/>
  <c r="GE34" i="81"/>
  <c r="GF34" i="81"/>
  <c r="GG34" i="81"/>
  <c r="GH34" i="81"/>
  <c r="GI34" i="81"/>
  <c r="GJ34" i="81"/>
  <c r="GK34" i="81"/>
  <c r="GL34" i="81"/>
  <c r="GM34" i="81"/>
  <c r="FZ35" i="81"/>
  <c r="GA35" i="81"/>
  <c r="GB35" i="81"/>
  <c r="GC35" i="81"/>
  <c r="GD35" i="81"/>
  <c r="GE35" i="81"/>
  <c r="GF35" i="81"/>
  <c r="GG35" i="81"/>
  <c r="GH35" i="81"/>
  <c r="GI35" i="81"/>
  <c r="GJ35" i="81"/>
  <c r="GK35" i="81"/>
  <c r="GL35" i="81"/>
  <c r="GM35" i="81"/>
  <c r="FZ36" i="81"/>
  <c r="GA36" i="81"/>
  <c r="GB36" i="81"/>
  <c r="GC36" i="81"/>
  <c r="GD36" i="81"/>
  <c r="GE36" i="81"/>
  <c r="GF36" i="81"/>
  <c r="GG36" i="81"/>
  <c r="GH36" i="81"/>
  <c r="GI36" i="81"/>
  <c r="GJ36" i="81"/>
  <c r="GK36" i="81"/>
  <c r="GL36" i="81"/>
  <c r="GM36" i="81"/>
  <c r="FZ37" i="81"/>
  <c r="GA37" i="81"/>
  <c r="GB37" i="81"/>
  <c r="GC37" i="81"/>
  <c r="GD37" i="81"/>
  <c r="GE37" i="81"/>
  <c r="GF37" i="81"/>
  <c r="GG37" i="81"/>
  <c r="GH37" i="81"/>
  <c r="GI37" i="81"/>
  <c r="GJ37" i="81"/>
  <c r="GK37" i="81"/>
  <c r="GL37" i="81"/>
  <c r="GM37" i="81"/>
  <c r="FZ38" i="81"/>
  <c r="GA38" i="81"/>
  <c r="GB38" i="81"/>
  <c r="GC38" i="81"/>
  <c r="GD38" i="81"/>
  <c r="GE38" i="81"/>
  <c r="GF38" i="81"/>
  <c r="GG38" i="81"/>
  <c r="GH38" i="81"/>
  <c r="GI38" i="81"/>
  <c r="GJ38" i="81"/>
  <c r="GK38" i="81"/>
  <c r="GL38" i="81"/>
  <c r="GM38" i="81"/>
  <c r="FZ39" i="81"/>
  <c r="GA39" i="81"/>
  <c r="GB39" i="81"/>
  <c r="GC39" i="81"/>
  <c r="GD39" i="81"/>
  <c r="GE39" i="81"/>
  <c r="GF39" i="81"/>
  <c r="GG39" i="81"/>
  <c r="GH39" i="81"/>
  <c r="GI39" i="81"/>
  <c r="GJ39" i="81"/>
  <c r="GK39" i="81"/>
  <c r="GL39" i="81"/>
  <c r="GM39" i="81"/>
  <c r="FZ40" i="81"/>
  <c r="GA40" i="81"/>
  <c r="GB40" i="81"/>
  <c r="GC40" i="81"/>
  <c r="GD40" i="81"/>
  <c r="GE40" i="81"/>
  <c r="GF40" i="81"/>
  <c r="GG40" i="81"/>
  <c r="GH40" i="81"/>
  <c r="GI40" i="81"/>
  <c r="GJ40" i="81"/>
  <c r="GK40" i="81"/>
  <c r="GL40" i="81"/>
  <c r="GM40" i="81"/>
  <c r="FZ41" i="81"/>
  <c r="GA41" i="81"/>
  <c r="GB41" i="81"/>
  <c r="GC41" i="81"/>
  <c r="GD41" i="81"/>
  <c r="GE41" i="81"/>
  <c r="GF41" i="81"/>
  <c r="GG41" i="81"/>
  <c r="GH41" i="81"/>
  <c r="GI41" i="81"/>
  <c r="GJ41" i="81"/>
  <c r="GK41" i="81"/>
  <c r="GL41" i="81"/>
  <c r="GM41" i="81"/>
  <c r="FZ42" i="81"/>
  <c r="GA42" i="81"/>
  <c r="GB42" i="81"/>
  <c r="GC42" i="81"/>
  <c r="GD42" i="81"/>
  <c r="GE42" i="81"/>
  <c r="GF42" i="81"/>
  <c r="GG42" i="81"/>
  <c r="GH42" i="81"/>
  <c r="GI42" i="81"/>
  <c r="GJ42" i="81"/>
  <c r="GK42" i="81"/>
  <c r="GL42" i="81"/>
  <c r="GM42" i="81"/>
  <c r="GN42" i="81"/>
  <c r="FZ43" i="81"/>
  <c r="GA43" i="81"/>
  <c r="GB43" i="81"/>
  <c r="GC43" i="81"/>
  <c r="GD43" i="81"/>
  <c r="GE43" i="81"/>
  <c r="GF43" i="81"/>
  <c r="GG43" i="81"/>
  <c r="GH43" i="81"/>
  <c r="GI43" i="81"/>
  <c r="GJ43" i="81"/>
  <c r="GK43" i="81"/>
  <c r="GL43" i="81"/>
  <c r="GM43" i="81"/>
  <c r="GN43" i="81"/>
  <c r="GA4" i="81"/>
  <c r="GB4" i="81"/>
  <c r="GC4" i="81"/>
  <c r="GD4" i="81"/>
  <c r="GE4" i="81"/>
  <c r="GF4" i="81"/>
  <c r="GG4" i="81"/>
  <c r="GH4" i="81"/>
  <c r="GI4" i="81"/>
  <c r="GJ4" i="81"/>
  <c r="GK4" i="81"/>
  <c r="GL4" i="81"/>
  <c r="GM4" i="81"/>
  <c r="GN4" i="81"/>
  <c r="FZ4" i="81"/>
  <c r="KR54" i="80" l="1"/>
  <c r="KO54" i="80"/>
  <c r="KJ54" i="80"/>
  <c r="KP54" i="80"/>
  <c r="KL54" i="80"/>
  <c r="KT54" i="80"/>
  <c r="KQ54" i="80"/>
  <c r="KN54" i="80"/>
  <c r="KK54" i="80"/>
  <c r="KM54" i="80"/>
  <c r="KS54" i="80"/>
  <c r="GJ51" i="81"/>
  <c r="GG51" i="81"/>
  <c r="AJ17" i="11"/>
  <c r="FZ51" i="81"/>
  <c r="GN51" i="81"/>
  <c r="GF51" i="81"/>
  <c r="GB51" i="81"/>
  <c r="GM51" i="81"/>
  <c r="GI51" i="81"/>
  <c r="GE51" i="81"/>
  <c r="GA51" i="81"/>
  <c r="GL51" i="81"/>
  <c r="GH51" i="81"/>
  <c r="GD51" i="81"/>
  <c r="GK51" i="81"/>
  <c r="GC51" i="81"/>
  <c r="GO51" i="81" l="1"/>
  <c r="CX43" i="79"/>
  <c r="CV88" i="79" l="1"/>
  <c r="CV87" i="79"/>
  <c r="CX87" i="79" s="1"/>
  <c r="AJ14" i="2" l="1"/>
  <c r="C33" i="57" l="1"/>
  <c r="F33" i="57"/>
  <c r="GW36" i="91" l="1"/>
  <c r="GW37" i="91"/>
  <c r="GW38" i="91"/>
  <c r="GW39" i="91"/>
  <c r="GW40" i="91"/>
  <c r="GW41" i="91"/>
  <c r="GW42" i="91"/>
  <c r="GW43" i="91"/>
  <c r="GW44" i="91"/>
  <c r="GW45" i="91"/>
  <c r="GW46" i="91"/>
  <c r="GW47" i="91"/>
  <c r="GW48" i="91"/>
  <c r="GW49" i="91"/>
  <c r="GW50" i="91"/>
  <c r="GW35" i="91"/>
  <c r="FQ50" i="54" l="1"/>
  <c r="FI59" i="54"/>
  <c r="FJ40" i="54" s="1"/>
  <c r="FJ26" i="54" l="1"/>
  <c r="FJ25" i="54"/>
  <c r="FJ9" i="54"/>
  <c r="FJ22" i="54"/>
  <c r="FJ36" i="54"/>
  <c r="FJ21" i="54"/>
  <c r="FJ39" i="54"/>
  <c r="FJ10" i="54"/>
  <c r="FJ38" i="54"/>
  <c r="FJ35" i="54"/>
  <c r="FJ24" i="54"/>
  <c r="FJ20" i="54"/>
  <c r="FJ8" i="54"/>
  <c r="FJ34" i="54"/>
  <c r="FJ37" i="54"/>
  <c r="FJ23" i="54"/>
  <c r="FJ19" i="54"/>
  <c r="FJ7" i="54"/>
  <c r="FJ33" i="54"/>
  <c r="FJ18" i="54"/>
  <c r="FJ6" i="54"/>
  <c r="FJ16" i="54"/>
  <c r="FJ46" i="54"/>
  <c r="FJ32" i="54"/>
  <c r="FJ30" i="54"/>
  <c r="FJ13" i="54"/>
  <c r="FJ17" i="54"/>
  <c r="FJ15" i="54"/>
  <c r="FJ43" i="54"/>
  <c r="FJ41" i="54"/>
  <c r="FJ47" i="54"/>
  <c r="FJ45" i="54"/>
  <c r="FJ31" i="54"/>
  <c r="FJ44" i="54"/>
  <c r="FJ14" i="54"/>
  <c r="FJ29" i="54"/>
  <c r="FJ42" i="54"/>
  <c r="FJ28" i="54"/>
  <c r="FJ12" i="54"/>
  <c r="FJ27" i="54"/>
  <c r="FJ11" i="54"/>
  <c r="FG59" i="54"/>
  <c r="FH10" i="54" s="1"/>
  <c r="FG56" i="54"/>
  <c r="FG58" i="54" s="1"/>
  <c r="FK59" i="54"/>
  <c r="FK56" i="54"/>
  <c r="FK58" i="54" s="1"/>
  <c r="FL22" i="54" l="1"/>
  <c r="FL9" i="54"/>
  <c r="FM9" i="54" s="1"/>
  <c r="FL10" i="54"/>
  <c r="FM10" i="54" s="1"/>
  <c r="FL38" i="54"/>
  <c r="FM38" i="54" s="1"/>
  <c r="FH37" i="54"/>
  <c r="FM22" i="54"/>
  <c r="FL49" i="54"/>
  <c r="FM49" i="54" s="1"/>
  <c r="FQ49" i="54" s="1"/>
  <c r="FL30" i="54"/>
  <c r="FM30" i="54" s="1"/>
  <c r="FH23" i="54"/>
  <c r="FL37" i="54"/>
  <c r="FM37" i="54" s="1"/>
  <c r="FQ37" i="54" s="1"/>
  <c r="FL29" i="54"/>
  <c r="FL46" i="54"/>
  <c r="FH22" i="54"/>
  <c r="FH36" i="54"/>
  <c r="FL42" i="54"/>
  <c r="FM42" i="54" s="1"/>
  <c r="FL34" i="54"/>
  <c r="FM34" i="54" s="1"/>
  <c r="FL26" i="54"/>
  <c r="FM26" i="54" s="1"/>
  <c r="FL45" i="54"/>
  <c r="FM45" i="54" s="1"/>
  <c r="FH25" i="54"/>
  <c r="FH21" i="54"/>
  <c r="FH35" i="54"/>
  <c r="FL13" i="54"/>
  <c r="FM13" i="54" s="1"/>
  <c r="FL41" i="54"/>
  <c r="FM41" i="54" s="1"/>
  <c r="FQ41" i="54" s="1"/>
  <c r="FL33" i="54"/>
  <c r="FM33" i="54" s="1"/>
  <c r="FL25" i="54"/>
  <c r="FM25" i="54" s="1"/>
  <c r="FH24" i="54"/>
  <c r="FH20" i="54"/>
  <c r="FH34" i="54"/>
  <c r="FQ34" i="54" s="1"/>
  <c r="FQ10" i="54"/>
  <c r="FQ38" i="54"/>
  <c r="FH18" i="54"/>
  <c r="FH33" i="54"/>
  <c r="FH15" i="54"/>
  <c r="FH14" i="54"/>
  <c r="FH28" i="54"/>
  <c r="FH12" i="54"/>
  <c r="FH19" i="54"/>
  <c r="FM46" i="54"/>
  <c r="FH32" i="54"/>
  <c r="FH29" i="54"/>
  <c r="FH13" i="54"/>
  <c r="FH27" i="54"/>
  <c r="FH11" i="54"/>
  <c r="FH9" i="54"/>
  <c r="FH17" i="54"/>
  <c r="FH16" i="54"/>
  <c r="FH31" i="54"/>
  <c r="FJ56" i="54"/>
  <c r="FH30" i="54"/>
  <c r="FM29" i="54"/>
  <c r="FL43" i="54"/>
  <c r="FM43" i="54" s="1"/>
  <c r="FL6" i="54"/>
  <c r="FM6" i="54" s="1"/>
  <c r="FL17" i="54"/>
  <c r="FM17" i="54" s="1"/>
  <c r="FL21" i="54"/>
  <c r="FM21" i="54" s="1"/>
  <c r="FL14" i="54"/>
  <c r="FM14" i="54" s="1"/>
  <c r="FL18" i="54"/>
  <c r="FM18" i="54" s="1"/>
  <c r="FH26" i="54"/>
  <c r="FL16" i="54"/>
  <c r="FM16" i="54" s="1"/>
  <c r="FL12" i="54"/>
  <c r="FM12" i="54" s="1"/>
  <c r="FL8" i="54"/>
  <c r="FM8" i="54" s="1"/>
  <c r="FL40" i="54"/>
  <c r="FM40" i="54" s="1"/>
  <c r="FL36" i="54"/>
  <c r="FM36" i="54" s="1"/>
  <c r="FL32" i="54"/>
  <c r="FM32" i="54" s="1"/>
  <c r="FL28" i="54"/>
  <c r="FM28" i="54" s="1"/>
  <c r="FL24" i="54"/>
  <c r="FM24" i="54" s="1"/>
  <c r="FL20" i="54"/>
  <c r="FM20" i="54" s="1"/>
  <c r="FQ20" i="54" s="1"/>
  <c r="FL48" i="54"/>
  <c r="FM48" i="54" s="1"/>
  <c r="FL44" i="54"/>
  <c r="FM44" i="54" s="1"/>
  <c r="FL15" i="54"/>
  <c r="FM15" i="54" s="1"/>
  <c r="FL11" i="54"/>
  <c r="FM11" i="54" s="1"/>
  <c r="FL7" i="54"/>
  <c r="FM7" i="54" s="1"/>
  <c r="FL39" i="54"/>
  <c r="FM39" i="54" s="1"/>
  <c r="FL35" i="54"/>
  <c r="FM35" i="54" s="1"/>
  <c r="FQ35" i="54" s="1"/>
  <c r="FL31" i="54"/>
  <c r="FM31" i="54" s="1"/>
  <c r="FL27" i="54"/>
  <c r="FM27" i="54" s="1"/>
  <c r="FL23" i="54"/>
  <c r="FM23" i="54" s="1"/>
  <c r="FL19" i="54"/>
  <c r="FM19" i="54" s="1"/>
  <c r="FL47" i="54"/>
  <c r="FM47" i="54" s="1"/>
  <c r="FQ47" i="54" s="1"/>
  <c r="GS53" i="91"/>
  <c r="FQ22" i="54" l="1"/>
  <c r="FQ24" i="54"/>
  <c r="FQ21" i="54"/>
  <c r="FQ25" i="54"/>
  <c r="FQ44" i="54"/>
  <c r="FM56" i="54"/>
  <c r="FO15" i="54" s="1"/>
  <c r="FQ8" i="54"/>
  <c r="FQ43" i="54"/>
  <c r="FQ16" i="54"/>
  <c r="FQ32" i="54"/>
  <c r="FQ46" i="54"/>
  <c r="FQ26" i="54"/>
  <c r="FQ18" i="54"/>
  <c r="FQ9" i="54"/>
  <c r="FH56" i="54"/>
  <c r="FN18" i="54" s="1"/>
  <c r="FQ23" i="54"/>
  <c r="FQ28" i="54"/>
  <c r="FQ31" i="54"/>
  <c r="FQ14" i="54"/>
  <c r="FQ42" i="54"/>
  <c r="FQ17" i="54"/>
  <c r="FQ7" i="54"/>
  <c r="FO17" i="54"/>
  <c r="FQ48" i="54"/>
  <c r="FO48" i="54"/>
  <c r="FQ40" i="54"/>
  <c r="FQ29" i="54"/>
  <c r="FQ15" i="54"/>
  <c r="FQ45" i="54"/>
  <c r="FQ39" i="54"/>
  <c r="FO32" i="54"/>
  <c r="FO29" i="54"/>
  <c r="FQ11" i="54"/>
  <c r="FO19" i="54"/>
  <c r="FQ13" i="54"/>
  <c r="FQ33" i="54"/>
  <c r="FQ19" i="54"/>
  <c r="FQ36" i="54"/>
  <c r="FQ30" i="54"/>
  <c r="FQ27" i="54"/>
  <c r="FQ12" i="54"/>
  <c r="FN12" i="54"/>
  <c r="FL56" i="54"/>
  <c r="FL58" i="54" s="1"/>
  <c r="GP53" i="91"/>
  <c r="GN53" i="91"/>
  <c r="GR44" i="91"/>
  <c r="GR45" i="91"/>
  <c r="GR46" i="91"/>
  <c r="GR47" i="91"/>
  <c r="GR48" i="91"/>
  <c r="GR49" i="91"/>
  <c r="GR52" i="91"/>
  <c r="GR54" i="91"/>
  <c r="GR55" i="91"/>
  <c r="GR56" i="91"/>
  <c r="GR57" i="91"/>
  <c r="GR58" i="91"/>
  <c r="GR59" i="91"/>
  <c r="GR60" i="91"/>
  <c r="GR61" i="91"/>
  <c r="GR62" i="91"/>
  <c r="GR63" i="91"/>
  <c r="GR64" i="91"/>
  <c r="GR65" i="91"/>
  <c r="GR66" i="91"/>
  <c r="GR67" i="91"/>
  <c r="GR68" i="91"/>
  <c r="GQ29" i="91"/>
  <c r="FO20" i="54" l="1"/>
  <c r="FO24" i="54"/>
  <c r="FO7" i="54"/>
  <c r="FO39" i="54"/>
  <c r="FO23" i="54"/>
  <c r="FO8" i="54"/>
  <c r="FO21" i="54"/>
  <c r="FO13" i="54"/>
  <c r="FN27" i="54"/>
  <c r="FN11" i="54"/>
  <c r="FN28" i="54"/>
  <c r="FN9" i="54"/>
  <c r="FO43" i="54"/>
  <c r="FO36" i="54"/>
  <c r="FN49" i="54"/>
  <c r="FN39" i="54"/>
  <c r="FN40" i="54"/>
  <c r="FN7" i="54"/>
  <c r="FN8" i="54"/>
  <c r="FN43" i="54"/>
  <c r="FN20" i="54"/>
  <c r="FN21" i="54"/>
  <c r="FN38" i="54"/>
  <c r="FN41" i="54"/>
  <c r="FN42" i="54"/>
  <c r="FN45" i="54"/>
  <c r="FN46" i="54"/>
  <c r="FN47" i="54"/>
  <c r="FN48" i="54"/>
  <c r="FN22" i="54"/>
  <c r="FN44" i="54"/>
  <c r="FN23" i="54"/>
  <c r="FN36" i="54"/>
  <c r="FN25" i="54"/>
  <c r="FN35" i="54"/>
  <c r="FN34" i="54"/>
  <c r="FN24" i="54"/>
  <c r="FN10" i="54"/>
  <c r="FN37" i="54"/>
  <c r="FQ56" i="54"/>
  <c r="FQ58" i="54" s="1"/>
  <c r="FO44" i="54"/>
  <c r="FN19" i="54"/>
  <c r="FO46" i="54"/>
  <c r="FO28" i="54"/>
  <c r="FN29" i="54"/>
  <c r="FO27" i="54"/>
  <c r="FN17" i="54"/>
  <c r="FN26" i="54"/>
  <c r="FN33" i="54"/>
  <c r="FN15" i="54"/>
  <c r="FN14" i="54"/>
  <c r="FO18" i="54"/>
  <c r="FN31" i="54"/>
  <c r="FN32" i="54"/>
  <c r="FO47" i="54"/>
  <c r="FO33" i="54"/>
  <c r="FO30" i="54"/>
  <c r="FO9" i="54"/>
  <c r="FO25" i="54"/>
  <c r="FO49" i="54"/>
  <c r="FO22" i="54"/>
  <c r="FO38" i="54"/>
  <c r="FO34" i="54"/>
  <c r="FO41" i="54"/>
  <c r="FO10" i="54"/>
  <c r="FO26" i="54"/>
  <c r="FO37" i="54"/>
  <c r="FO11" i="54"/>
  <c r="FN13" i="54"/>
  <c r="FO40" i="54"/>
  <c r="FN16" i="54"/>
  <c r="FO12" i="54"/>
  <c r="FN30" i="54"/>
  <c r="FO45" i="54"/>
  <c r="FO42" i="54"/>
  <c r="FO31" i="54"/>
  <c r="FO35" i="54"/>
  <c r="FO14" i="54"/>
  <c r="FO16" i="54"/>
  <c r="GQ31" i="91"/>
  <c r="GQ35" i="91"/>
  <c r="GR35" i="91" s="1"/>
  <c r="GQ15" i="91"/>
  <c r="GR15" i="91" s="1"/>
  <c r="GQ41" i="91"/>
  <c r="GR41" i="91" s="1"/>
  <c r="GQ18" i="91"/>
  <c r="GR18" i="91" s="1"/>
  <c r="GQ25" i="91"/>
  <c r="GR25" i="91" s="1"/>
  <c r="GQ42" i="91"/>
  <c r="GR42" i="91" s="1"/>
  <c r="GQ23" i="91"/>
  <c r="GR23" i="91" s="1"/>
  <c r="GQ30" i="91"/>
  <c r="GQ19" i="91"/>
  <c r="GQ37" i="91"/>
  <c r="GR37" i="91" s="1"/>
  <c r="GQ26" i="91"/>
  <c r="GR26" i="91" s="1"/>
  <c r="GR29" i="91"/>
  <c r="GR30" i="91"/>
  <c r="GQ22" i="91"/>
  <c r="GQ17" i="91"/>
  <c r="GQ39" i="91"/>
  <c r="GQ34" i="91"/>
  <c r="GR31" i="91"/>
  <c r="GQ24" i="91"/>
  <c r="GQ14" i="91"/>
  <c r="GQ21" i="91"/>
  <c r="GQ43" i="91"/>
  <c r="GQ38" i="91"/>
  <c r="GQ33" i="91"/>
  <c r="GQ27" i="91"/>
  <c r="GR19" i="91"/>
  <c r="GQ13" i="91"/>
  <c r="GQ20" i="91"/>
  <c r="GQ16" i="91"/>
  <c r="GQ40" i="91"/>
  <c r="GQ36" i="91"/>
  <c r="GQ32" i="91"/>
  <c r="GQ28" i="91"/>
  <c r="FO56" i="54" l="1"/>
  <c r="FN56" i="54"/>
  <c r="GR40" i="91"/>
  <c r="GR12" i="91"/>
  <c r="GR28" i="91"/>
  <c r="GR38" i="91"/>
  <c r="GR34" i="91"/>
  <c r="GR33" i="91"/>
  <c r="GQ51" i="91"/>
  <c r="GX38" i="91" s="1"/>
  <c r="GR22" i="91"/>
  <c r="GR20" i="91"/>
  <c r="GR43" i="91"/>
  <c r="GR24" i="91"/>
  <c r="GR39" i="91"/>
  <c r="GR16" i="91"/>
  <c r="GR14" i="91"/>
  <c r="GR32" i="91"/>
  <c r="GR36" i="91"/>
  <c r="GR13" i="91"/>
  <c r="GR27" i="91"/>
  <c r="GR21" i="91"/>
  <c r="GR17" i="91"/>
  <c r="AI17" i="3"/>
  <c r="GX21" i="91" l="1"/>
  <c r="GX13" i="91"/>
  <c r="GX17" i="91"/>
  <c r="GX27" i="91"/>
  <c r="GX20" i="91"/>
  <c r="GX33" i="91"/>
  <c r="GX24" i="91"/>
  <c r="GX12" i="91"/>
  <c r="GX16" i="91"/>
  <c r="GX32" i="91"/>
  <c r="GQ53" i="91"/>
  <c r="GX47" i="91"/>
  <c r="GX44" i="91"/>
  <c r="GX45" i="91"/>
  <c r="GX46" i="91"/>
  <c r="GX29" i="91"/>
  <c r="GX23" i="91"/>
  <c r="GX31" i="91"/>
  <c r="GX19" i="91"/>
  <c r="GX25" i="91"/>
  <c r="GX42" i="91"/>
  <c r="GX30" i="91"/>
  <c r="GX18" i="91"/>
  <c r="GX26" i="91"/>
  <c r="GX15" i="91"/>
  <c r="GX35" i="91"/>
  <c r="GX37" i="91"/>
  <c r="GX41" i="91"/>
  <c r="GX36" i="91"/>
  <c r="GX14" i="91"/>
  <c r="GX39" i="91"/>
  <c r="GX43" i="91"/>
  <c r="GX22" i="91"/>
  <c r="GX34" i="91"/>
  <c r="GX28" i="91"/>
  <c r="GX40" i="91"/>
  <c r="AJ78" i="1" l="1"/>
  <c r="AI78" i="1"/>
  <c r="AN78" i="1" s="1"/>
  <c r="AP78" i="1" s="1"/>
  <c r="AJ74" i="1" l="1"/>
  <c r="AJ48" i="1"/>
  <c r="AJ41" i="1"/>
  <c r="AJ18" i="1"/>
  <c r="CW17" i="79"/>
  <c r="CW16" i="79"/>
  <c r="CW15" i="79"/>
  <c r="CW14" i="79"/>
  <c r="CX15" i="79" l="1"/>
  <c r="AJ82" i="1"/>
  <c r="CX48" i="79"/>
  <c r="CX39" i="79"/>
  <c r="CX31" i="79"/>
  <c r="CV82" i="79"/>
  <c r="CV81" i="79"/>
  <c r="CV80" i="79"/>
  <c r="CX23" i="79"/>
  <c r="CW21" i="79"/>
  <c r="CW20" i="79"/>
  <c r="CW19" i="79"/>
  <c r="CW18" i="79"/>
  <c r="CW12" i="79"/>
  <c r="CW11" i="79"/>
  <c r="CW10" i="79"/>
  <c r="CW8" i="79"/>
  <c r="CW7" i="79"/>
  <c r="CW6" i="79"/>
  <c r="GM51" i="91"/>
  <c r="GR51" i="91" s="1"/>
  <c r="GR53" i="91" s="1"/>
  <c r="AJ94" i="1" l="1"/>
  <c r="GM53" i="91"/>
  <c r="CX11" i="79"/>
  <c r="CX81" i="79"/>
  <c r="CX19" i="79"/>
  <c r="AJ52" i="1"/>
  <c r="AJ56" i="1" l="1"/>
  <c r="AJ12" i="1"/>
  <c r="AJ93" i="1" l="1"/>
  <c r="AJ58" i="1"/>
  <c r="AJ27" i="1"/>
  <c r="AJ92" i="1" l="1"/>
  <c r="E30" i="5"/>
  <c r="AJ96" i="1" l="1"/>
  <c r="AJ98" i="1"/>
  <c r="R13" i="11"/>
  <c r="AJ99" i="1" l="1"/>
  <c r="AI52" i="1"/>
  <c r="CL44" i="79" l="1"/>
  <c r="CL42" i="79"/>
  <c r="CM43" i="79" s="1"/>
  <c r="CL45" i="79"/>
  <c r="CL46" i="79"/>
  <c r="CL26" i="79"/>
  <c r="CL27" i="79"/>
  <c r="CL28" i="79"/>
  <c r="CL29" i="79"/>
  <c r="CL30" i="79"/>
  <c r="CL50" i="79" l="1"/>
  <c r="CL49" i="79"/>
  <c r="CL48" i="79"/>
  <c r="CL41" i="79"/>
  <c r="CL40" i="79"/>
  <c r="CL39" i="79"/>
  <c r="CL38" i="79"/>
  <c r="CL33" i="79"/>
  <c r="CL32" i="79"/>
  <c r="CL31" i="79"/>
  <c r="CM31" i="79" s="1"/>
  <c r="CL25" i="79"/>
  <c r="CL24" i="79"/>
  <c r="CL22" i="79"/>
  <c r="CM23" i="79" s="1"/>
  <c r="CM68" i="79"/>
  <c r="CL55" i="79"/>
  <c r="CL53" i="79"/>
  <c r="CL52" i="79"/>
  <c r="CL51" i="79"/>
  <c r="CM48" i="79"/>
  <c r="CM27" i="79"/>
  <c r="CL21" i="79"/>
  <c r="CL20" i="79"/>
  <c r="CL19" i="79"/>
  <c r="CL18" i="79"/>
  <c r="CL13" i="79"/>
  <c r="CL12" i="79"/>
  <c r="CL11" i="79"/>
  <c r="CL10" i="79"/>
  <c r="CL8" i="79"/>
  <c r="CL7" i="79"/>
  <c r="CL6" i="79"/>
  <c r="CK80" i="79"/>
  <c r="CK81" i="79"/>
  <c r="CK82" i="79"/>
  <c r="CM11" i="79" l="1"/>
  <c r="CM19" i="79"/>
  <c r="CM81" i="79" l="1"/>
  <c r="AH13" i="10" l="1"/>
  <c r="AH16" i="10" s="1"/>
  <c r="GY48" i="80"/>
  <c r="HN10" i="80"/>
  <c r="HO10" i="80"/>
  <c r="HP10" i="80"/>
  <c r="HQ10" i="80"/>
  <c r="HR10" i="80"/>
  <c r="HS10" i="80"/>
  <c r="HT10" i="80"/>
  <c r="HU10" i="80"/>
  <c r="HV10" i="80"/>
  <c r="HW10" i="80"/>
  <c r="HX10" i="80"/>
  <c r="HY10" i="80"/>
  <c r="HZ10" i="80"/>
  <c r="HN11" i="80"/>
  <c r="HO11" i="80"/>
  <c r="HP11" i="80"/>
  <c r="HQ11" i="80"/>
  <c r="HR11" i="80"/>
  <c r="HS11" i="80"/>
  <c r="HT11" i="80"/>
  <c r="HU11" i="80"/>
  <c r="HV11" i="80"/>
  <c r="HW11" i="80"/>
  <c r="HX11" i="80"/>
  <c r="HY11" i="80"/>
  <c r="HZ11" i="80"/>
  <c r="HN12" i="80"/>
  <c r="HO12" i="80"/>
  <c r="HP12" i="80"/>
  <c r="HQ12" i="80"/>
  <c r="HR12" i="80"/>
  <c r="HS12" i="80"/>
  <c r="HT12" i="80"/>
  <c r="HU12" i="80"/>
  <c r="HV12" i="80"/>
  <c r="HW12" i="80"/>
  <c r="HX12" i="80"/>
  <c r="HY12" i="80"/>
  <c r="HZ12" i="80"/>
  <c r="HN13" i="80"/>
  <c r="HO13" i="80"/>
  <c r="HP13" i="80"/>
  <c r="HQ13" i="80"/>
  <c r="HR13" i="80"/>
  <c r="HS13" i="80"/>
  <c r="HT13" i="80"/>
  <c r="HU13" i="80"/>
  <c r="HV13" i="80"/>
  <c r="HW13" i="80"/>
  <c r="HX13" i="80"/>
  <c r="HY13" i="80"/>
  <c r="HZ13" i="80"/>
  <c r="HN14" i="80"/>
  <c r="HO14" i="80"/>
  <c r="HP14" i="80"/>
  <c r="HQ14" i="80"/>
  <c r="HR14" i="80"/>
  <c r="HS14" i="80"/>
  <c r="HT14" i="80"/>
  <c r="HU14" i="80"/>
  <c r="HV14" i="80"/>
  <c r="HW14" i="80"/>
  <c r="HX14" i="80"/>
  <c r="HY14" i="80"/>
  <c r="HZ14" i="80"/>
  <c r="HN15" i="80"/>
  <c r="HO15" i="80"/>
  <c r="HP15" i="80"/>
  <c r="HQ15" i="80"/>
  <c r="HR15" i="80"/>
  <c r="HS15" i="80"/>
  <c r="HT15" i="80"/>
  <c r="HU15" i="80"/>
  <c r="HV15" i="80"/>
  <c r="HW15" i="80"/>
  <c r="HX15" i="80"/>
  <c r="HY15" i="80"/>
  <c r="HZ15" i="80"/>
  <c r="HN16" i="80"/>
  <c r="HO16" i="80"/>
  <c r="HP16" i="80"/>
  <c r="HQ16" i="80"/>
  <c r="HR16" i="80"/>
  <c r="HS16" i="80"/>
  <c r="HT16" i="80"/>
  <c r="HU16" i="80"/>
  <c r="HV16" i="80"/>
  <c r="HW16" i="80"/>
  <c r="HX16" i="80"/>
  <c r="HY16" i="80"/>
  <c r="HZ16" i="80"/>
  <c r="HN17" i="80"/>
  <c r="HO17" i="80"/>
  <c r="HP17" i="80"/>
  <c r="HQ17" i="80"/>
  <c r="HR17" i="80"/>
  <c r="HS17" i="80"/>
  <c r="HT17" i="80"/>
  <c r="HU17" i="80"/>
  <c r="HV17" i="80"/>
  <c r="HW17" i="80"/>
  <c r="HX17" i="80"/>
  <c r="HY17" i="80"/>
  <c r="HZ17" i="80"/>
  <c r="HN18" i="80"/>
  <c r="HO18" i="80"/>
  <c r="HP18" i="80"/>
  <c r="HQ18" i="80"/>
  <c r="HR18" i="80"/>
  <c r="HS18" i="80"/>
  <c r="HT18" i="80"/>
  <c r="HU18" i="80"/>
  <c r="HV18" i="80"/>
  <c r="HW18" i="80"/>
  <c r="HX18" i="80"/>
  <c r="HY18" i="80"/>
  <c r="HZ18" i="80"/>
  <c r="HN19" i="80"/>
  <c r="HO19" i="80"/>
  <c r="HP19" i="80"/>
  <c r="HQ19" i="80"/>
  <c r="HR19" i="80"/>
  <c r="HS19" i="80"/>
  <c r="HT19" i="80"/>
  <c r="HU19" i="80"/>
  <c r="HV19" i="80"/>
  <c r="HW19" i="80"/>
  <c r="HX19" i="80"/>
  <c r="HY19" i="80"/>
  <c r="HZ19" i="80"/>
  <c r="HN20" i="80"/>
  <c r="HO20" i="80"/>
  <c r="HP20" i="80"/>
  <c r="HQ20" i="80"/>
  <c r="HR20" i="80"/>
  <c r="HS20" i="80"/>
  <c r="HT20" i="80"/>
  <c r="HU20" i="80"/>
  <c r="HV20" i="80"/>
  <c r="HW20" i="80"/>
  <c r="HX20" i="80"/>
  <c r="HY20" i="80"/>
  <c r="HZ20" i="80"/>
  <c r="HN21" i="80"/>
  <c r="HO21" i="80"/>
  <c r="HP21" i="80"/>
  <c r="HQ21" i="80"/>
  <c r="HR21" i="80"/>
  <c r="HS21" i="80"/>
  <c r="HT21" i="80"/>
  <c r="HU21" i="80"/>
  <c r="HV21" i="80"/>
  <c r="HW21" i="80"/>
  <c r="HX21" i="80"/>
  <c r="HY21" i="80"/>
  <c r="HZ21" i="80"/>
  <c r="HN22" i="80"/>
  <c r="HO22" i="80"/>
  <c r="HP22" i="80"/>
  <c r="HQ22" i="80"/>
  <c r="HR22" i="80"/>
  <c r="HS22" i="80"/>
  <c r="HT22" i="80"/>
  <c r="HU22" i="80"/>
  <c r="HV22" i="80"/>
  <c r="HW22" i="80"/>
  <c r="HX22" i="80"/>
  <c r="HY22" i="80"/>
  <c r="HZ22" i="80"/>
  <c r="HN23" i="80"/>
  <c r="HO23" i="80"/>
  <c r="HP23" i="80"/>
  <c r="HQ23" i="80"/>
  <c r="HR23" i="80"/>
  <c r="HS23" i="80"/>
  <c r="HT23" i="80"/>
  <c r="HU23" i="80"/>
  <c r="HV23" i="80"/>
  <c r="HW23" i="80"/>
  <c r="HX23" i="80"/>
  <c r="HY23" i="80"/>
  <c r="HZ23" i="80"/>
  <c r="HN24" i="80"/>
  <c r="HO24" i="80"/>
  <c r="HP24" i="80"/>
  <c r="HQ24" i="80"/>
  <c r="HR24" i="80"/>
  <c r="HS24" i="80"/>
  <c r="HT24" i="80"/>
  <c r="HU24" i="80"/>
  <c r="HV24" i="80"/>
  <c r="HW24" i="80"/>
  <c r="HX24" i="80"/>
  <c r="HY24" i="80"/>
  <c r="HZ24" i="80"/>
  <c r="HN25" i="80"/>
  <c r="HO25" i="80"/>
  <c r="HP25" i="80"/>
  <c r="HQ25" i="80"/>
  <c r="HR25" i="80"/>
  <c r="HS25" i="80"/>
  <c r="HT25" i="80"/>
  <c r="HU25" i="80"/>
  <c r="HV25" i="80"/>
  <c r="HW25" i="80"/>
  <c r="HX25" i="80"/>
  <c r="HY25" i="80"/>
  <c r="HZ25" i="80"/>
  <c r="HN26" i="80"/>
  <c r="HO26" i="80"/>
  <c r="HP26" i="80"/>
  <c r="HQ26" i="80"/>
  <c r="HR26" i="80"/>
  <c r="HS26" i="80"/>
  <c r="HT26" i="80"/>
  <c r="HU26" i="80"/>
  <c r="HV26" i="80"/>
  <c r="HW26" i="80"/>
  <c r="HX26" i="80"/>
  <c r="HY26" i="80"/>
  <c r="HZ26" i="80"/>
  <c r="HN27" i="80"/>
  <c r="HO27" i="80"/>
  <c r="HP27" i="80"/>
  <c r="HQ27" i="80"/>
  <c r="HR27" i="80"/>
  <c r="HS27" i="80"/>
  <c r="HT27" i="80"/>
  <c r="HU27" i="80"/>
  <c r="HV27" i="80"/>
  <c r="HW27" i="80"/>
  <c r="HX27" i="80"/>
  <c r="HY27" i="80"/>
  <c r="HZ27" i="80"/>
  <c r="HN28" i="80"/>
  <c r="HO28" i="80"/>
  <c r="HP28" i="80"/>
  <c r="HQ28" i="80"/>
  <c r="HR28" i="80"/>
  <c r="HS28" i="80"/>
  <c r="HT28" i="80"/>
  <c r="HU28" i="80"/>
  <c r="HV28" i="80"/>
  <c r="HW28" i="80"/>
  <c r="HX28" i="80"/>
  <c r="HY28" i="80"/>
  <c r="HZ28" i="80"/>
  <c r="HN29" i="80"/>
  <c r="HO29" i="80"/>
  <c r="HP29" i="80"/>
  <c r="HQ29" i="80"/>
  <c r="HR29" i="80"/>
  <c r="HS29" i="80"/>
  <c r="HT29" i="80"/>
  <c r="HU29" i="80"/>
  <c r="HV29" i="80"/>
  <c r="HW29" i="80"/>
  <c r="HX29" i="80"/>
  <c r="HY29" i="80"/>
  <c r="HZ29" i="80"/>
  <c r="HN30" i="80"/>
  <c r="HO30" i="80"/>
  <c r="HP30" i="80"/>
  <c r="HQ30" i="80"/>
  <c r="HR30" i="80"/>
  <c r="HS30" i="80"/>
  <c r="HT30" i="80"/>
  <c r="HU30" i="80"/>
  <c r="HV30" i="80"/>
  <c r="HW30" i="80"/>
  <c r="HX30" i="80"/>
  <c r="HY30" i="80"/>
  <c r="HZ30" i="80"/>
  <c r="HN31" i="80"/>
  <c r="HO31" i="80"/>
  <c r="HP31" i="80"/>
  <c r="HQ31" i="80"/>
  <c r="HR31" i="80"/>
  <c r="HS31" i="80"/>
  <c r="HT31" i="80"/>
  <c r="HU31" i="80"/>
  <c r="HV31" i="80"/>
  <c r="HW31" i="80"/>
  <c r="HX31" i="80"/>
  <c r="HY31" i="80"/>
  <c r="HZ31" i="80"/>
  <c r="HN32" i="80"/>
  <c r="HO32" i="80"/>
  <c r="HP32" i="80"/>
  <c r="HQ32" i="80"/>
  <c r="HR32" i="80"/>
  <c r="HS32" i="80"/>
  <c r="HT32" i="80"/>
  <c r="HU32" i="80"/>
  <c r="HV32" i="80"/>
  <c r="HW32" i="80"/>
  <c r="HX32" i="80"/>
  <c r="HY32" i="80"/>
  <c r="HZ32" i="80"/>
  <c r="HN33" i="80"/>
  <c r="HO33" i="80"/>
  <c r="HP33" i="80"/>
  <c r="HQ33" i="80"/>
  <c r="HR33" i="80"/>
  <c r="HS33" i="80"/>
  <c r="HT33" i="80"/>
  <c r="HU33" i="80"/>
  <c r="HV33" i="80"/>
  <c r="HW33" i="80"/>
  <c r="HX33" i="80"/>
  <c r="HY33" i="80"/>
  <c r="HZ33" i="80"/>
  <c r="HN34" i="80"/>
  <c r="HO34" i="80"/>
  <c r="HP34" i="80"/>
  <c r="HQ34" i="80"/>
  <c r="HR34" i="80"/>
  <c r="HS34" i="80"/>
  <c r="HT34" i="80"/>
  <c r="HU34" i="80"/>
  <c r="HV34" i="80"/>
  <c r="HW34" i="80"/>
  <c r="HX34" i="80"/>
  <c r="HY34" i="80"/>
  <c r="HZ34" i="80"/>
  <c r="HN35" i="80"/>
  <c r="HO35" i="80"/>
  <c r="HP35" i="80"/>
  <c r="HQ35" i="80"/>
  <c r="HR35" i="80"/>
  <c r="HS35" i="80"/>
  <c r="HT35" i="80"/>
  <c r="HU35" i="80"/>
  <c r="HV35" i="80"/>
  <c r="HW35" i="80"/>
  <c r="HX35" i="80"/>
  <c r="HY35" i="80"/>
  <c r="HZ35" i="80"/>
  <c r="HN36" i="80"/>
  <c r="HO36" i="80"/>
  <c r="HP36" i="80"/>
  <c r="HQ36" i="80"/>
  <c r="HR36" i="80"/>
  <c r="HS36" i="80"/>
  <c r="HT36" i="80"/>
  <c r="HU36" i="80"/>
  <c r="HV36" i="80"/>
  <c r="HW36" i="80"/>
  <c r="HX36" i="80"/>
  <c r="HY36" i="80"/>
  <c r="HZ36" i="80"/>
  <c r="HN37" i="80"/>
  <c r="HO37" i="80"/>
  <c r="HP37" i="80"/>
  <c r="HQ37" i="80"/>
  <c r="HR37" i="80"/>
  <c r="HS37" i="80"/>
  <c r="HT37" i="80"/>
  <c r="HU37" i="80"/>
  <c r="HV37" i="80"/>
  <c r="HW37" i="80"/>
  <c r="HX37" i="80"/>
  <c r="HY37" i="80"/>
  <c r="HZ37" i="80"/>
  <c r="HN38" i="80"/>
  <c r="HO38" i="80"/>
  <c r="HP38" i="80"/>
  <c r="HQ38" i="80"/>
  <c r="HR38" i="80"/>
  <c r="HS38" i="80"/>
  <c r="HT38" i="80"/>
  <c r="HU38" i="80"/>
  <c r="HV38" i="80"/>
  <c r="HW38" i="80"/>
  <c r="HX38" i="80"/>
  <c r="HY38" i="80"/>
  <c r="HZ38" i="80"/>
  <c r="HN39" i="80"/>
  <c r="HO39" i="80"/>
  <c r="HP39" i="80"/>
  <c r="HQ39" i="80"/>
  <c r="HR39" i="80"/>
  <c r="HS39" i="80"/>
  <c r="HT39" i="80"/>
  <c r="HU39" i="80"/>
  <c r="HV39" i="80"/>
  <c r="HW39" i="80"/>
  <c r="HX39" i="80"/>
  <c r="HY39" i="80"/>
  <c r="HZ39" i="80"/>
  <c r="HN40" i="80"/>
  <c r="HO40" i="80"/>
  <c r="HP40" i="80"/>
  <c r="HQ40" i="80"/>
  <c r="HR40" i="80"/>
  <c r="HS40" i="80"/>
  <c r="HT40" i="80"/>
  <c r="HU40" i="80"/>
  <c r="HV40" i="80"/>
  <c r="HW40" i="80"/>
  <c r="HX40" i="80"/>
  <c r="HY40" i="80"/>
  <c r="HZ40" i="80"/>
  <c r="HN41" i="80"/>
  <c r="HO41" i="80"/>
  <c r="HP41" i="80"/>
  <c r="HQ41" i="80"/>
  <c r="HR41" i="80"/>
  <c r="HS41" i="80"/>
  <c r="HT41" i="80"/>
  <c r="HU41" i="80"/>
  <c r="HV41" i="80"/>
  <c r="HW41" i="80"/>
  <c r="HX41" i="80"/>
  <c r="HY41" i="80"/>
  <c r="HZ41" i="80"/>
  <c r="HN42" i="80"/>
  <c r="HO42" i="80"/>
  <c r="HP42" i="80"/>
  <c r="HQ42" i="80"/>
  <c r="HR42" i="80"/>
  <c r="HS42" i="80"/>
  <c r="HT42" i="80"/>
  <c r="HU42" i="80"/>
  <c r="HV42" i="80"/>
  <c r="HW42" i="80"/>
  <c r="HX42" i="80"/>
  <c r="HY42" i="80"/>
  <c r="HZ42" i="80"/>
  <c r="HN43" i="80"/>
  <c r="HO43" i="80"/>
  <c r="HP43" i="80"/>
  <c r="HQ43" i="80"/>
  <c r="HR43" i="80"/>
  <c r="HS43" i="80"/>
  <c r="HT43" i="80"/>
  <c r="HU43" i="80"/>
  <c r="HV43" i="80"/>
  <c r="HW43" i="80"/>
  <c r="HX43" i="80"/>
  <c r="HY43" i="80"/>
  <c r="HZ43" i="80"/>
  <c r="HN44" i="80"/>
  <c r="HO44" i="80"/>
  <c r="HP44" i="80"/>
  <c r="HQ44" i="80"/>
  <c r="HR44" i="80"/>
  <c r="HS44" i="80"/>
  <c r="HT44" i="80"/>
  <c r="HU44" i="80"/>
  <c r="HV44" i="80"/>
  <c r="HW44" i="80"/>
  <c r="HX44" i="80"/>
  <c r="HY44" i="80"/>
  <c r="HZ44" i="80"/>
  <c r="HN45" i="80"/>
  <c r="HO45" i="80"/>
  <c r="HP45" i="80"/>
  <c r="HQ45" i="80"/>
  <c r="HR45" i="80"/>
  <c r="HS45" i="80"/>
  <c r="HT45" i="80"/>
  <c r="HU45" i="80"/>
  <c r="HV45" i="80"/>
  <c r="HW45" i="80"/>
  <c r="HX45" i="80"/>
  <c r="HY45" i="80"/>
  <c r="HZ45" i="80"/>
  <c r="HN46" i="80"/>
  <c r="HO46" i="80"/>
  <c r="HP46" i="80"/>
  <c r="HQ46" i="80"/>
  <c r="HR46" i="80"/>
  <c r="HS46" i="80"/>
  <c r="HT46" i="80"/>
  <c r="HU46" i="80"/>
  <c r="HV46" i="80"/>
  <c r="HW46" i="80"/>
  <c r="HX46" i="80"/>
  <c r="HY46" i="80"/>
  <c r="HZ46" i="80"/>
  <c r="HO9" i="80"/>
  <c r="HO47" i="80" s="1"/>
  <c r="HP9" i="80"/>
  <c r="HQ9" i="80"/>
  <c r="HR9" i="80"/>
  <c r="HS9" i="80"/>
  <c r="HT9" i="80"/>
  <c r="HU9" i="80"/>
  <c r="HV9" i="80"/>
  <c r="HW9" i="80"/>
  <c r="HX9" i="80"/>
  <c r="HY9" i="80"/>
  <c r="HZ9" i="80"/>
  <c r="HN9" i="80"/>
  <c r="HM10" i="80"/>
  <c r="HM11" i="80"/>
  <c r="HM12" i="80"/>
  <c r="HM13" i="80"/>
  <c r="HM14" i="80"/>
  <c r="HM15" i="80"/>
  <c r="HM16" i="80"/>
  <c r="HM17" i="80"/>
  <c r="HM18" i="80"/>
  <c r="HM19" i="80"/>
  <c r="HM20" i="80"/>
  <c r="HM21" i="80"/>
  <c r="HM22" i="80"/>
  <c r="HM23" i="80"/>
  <c r="HM24" i="80"/>
  <c r="HM9" i="80"/>
  <c r="HM46" i="80"/>
  <c r="HM45" i="80"/>
  <c r="HM44" i="80"/>
  <c r="HM43" i="80"/>
  <c r="HM42" i="80"/>
  <c r="HM41" i="80"/>
  <c r="HM40" i="80"/>
  <c r="HM39" i="80"/>
  <c r="HM38" i="80"/>
  <c r="HM37" i="80"/>
  <c r="HM36" i="80"/>
  <c r="HM35" i="80"/>
  <c r="HM34" i="80"/>
  <c r="HM33" i="80"/>
  <c r="HM32" i="80"/>
  <c r="HM31" i="80"/>
  <c r="HM30" i="80"/>
  <c r="HM29" i="80"/>
  <c r="HM28" i="80"/>
  <c r="HM27" i="80"/>
  <c r="HM26" i="80"/>
  <c r="HM25" i="80"/>
  <c r="HR47" i="80" l="1"/>
  <c r="HZ47" i="80"/>
  <c r="HW47" i="80"/>
  <c r="HQ47" i="80"/>
  <c r="HY47" i="80"/>
  <c r="HS47" i="80"/>
  <c r="HT47" i="80"/>
  <c r="HV47" i="80"/>
  <c r="HP47" i="80"/>
  <c r="HN47" i="80"/>
  <c r="HX47" i="80"/>
  <c r="HU47" i="80"/>
  <c r="FT54" i="91"/>
  <c r="FV46" i="91"/>
  <c r="FV47" i="91"/>
  <c r="FV48" i="91"/>
  <c r="FV49" i="91"/>
  <c r="FV50" i="91"/>
  <c r="FV52" i="91"/>
  <c r="FV9" i="91"/>
  <c r="FV10" i="91"/>
  <c r="FV8" i="91"/>
  <c r="IA47" i="80" l="1"/>
  <c r="FT51" i="91"/>
  <c r="FT53" i="91" s="1"/>
  <c r="FU19" i="91"/>
  <c r="FU20" i="91"/>
  <c r="FU21" i="91"/>
  <c r="FU22" i="91"/>
  <c r="FU23" i="91"/>
  <c r="FU24" i="91"/>
  <c r="FU25" i="91"/>
  <c r="FU26" i="91"/>
  <c r="FU27" i="91"/>
  <c r="FU28" i="91"/>
  <c r="FU29" i="91"/>
  <c r="FU30" i="91"/>
  <c r="FU31" i="91"/>
  <c r="FU32" i="91"/>
  <c r="FU33" i="91"/>
  <c r="FU34" i="91"/>
  <c r="FU35" i="91"/>
  <c r="FU36" i="91"/>
  <c r="FU37" i="91"/>
  <c r="FU38" i="91"/>
  <c r="FU39" i="91"/>
  <c r="FU40" i="91"/>
  <c r="FU41" i="91"/>
  <c r="FU42" i="91"/>
  <c r="FU43" i="91"/>
  <c r="FU44" i="91"/>
  <c r="FU45" i="91"/>
  <c r="FU18" i="91"/>
  <c r="FV45" i="91" l="1"/>
  <c r="FV44" i="91"/>
  <c r="FU51" i="91"/>
  <c r="FZ46" i="91" s="1"/>
  <c r="AI13" i="11"/>
  <c r="EN4" i="81"/>
  <c r="EO4" i="81"/>
  <c r="EP4" i="81"/>
  <c r="EQ4" i="81"/>
  <c r="ER4" i="81"/>
  <c r="ES4" i="81"/>
  <c r="ET4" i="81"/>
  <c r="EU4" i="81"/>
  <c r="EV4" i="81"/>
  <c r="EW4" i="81"/>
  <c r="EX4" i="81"/>
  <c r="EY4" i="81"/>
  <c r="EZ4" i="81"/>
  <c r="FA4" i="81"/>
  <c r="FB4" i="81"/>
  <c r="EN5" i="81"/>
  <c r="EO5" i="81"/>
  <c r="EP5" i="81"/>
  <c r="EQ5" i="81"/>
  <c r="ER5" i="81"/>
  <c r="ES5" i="81"/>
  <c r="ET5" i="81"/>
  <c r="EU5" i="81"/>
  <c r="EV5" i="81"/>
  <c r="EW5" i="81"/>
  <c r="EX5" i="81"/>
  <c r="EY5" i="81"/>
  <c r="EZ5" i="81"/>
  <c r="FA5" i="81"/>
  <c r="FB5" i="81"/>
  <c r="EN6" i="81"/>
  <c r="EO6" i="81"/>
  <c r="EP6" i="81"/>
  <c r="EQ6" i="81"/>
  <c r="ER6" i="81"/>
  <c r="ES6" i="81"/>
  <c r="ET6" i="81"/>
  <c r="EU6" i="81"/>
  <c r="EV6" i="81"/>
  <c r="EW6" i="81"/>
  <c r="EX6" i="81"/>
  <c r="EY6" i="81"/>
  <c r="EZ6" i="81"/>
  <c r="FA6" i="81"/>
  <c r="FB6" i="81"/>
  <c r="EN7" i="81"/>
  <c r="EO7" i="81"/>
  <c r="EP7" i="81"/>
  <c r="EQ7" i="81"/>
  <c r="ER7" i="81"/>
  <c r="ES7" i="81"/>
  <c r="ET7" i="81"/>
  <c r="EU7" i="81"/>
  <c r="EV7" i="81"/>
  <c r="EW7" i="81"/>
  <c r="EX7" i="81"/>
  <c r="EY7" i="81"/>
  <c r="EZ7" i="81"/>
  <c r="FA7" i="81"/>
  <c r="FB7" i="81"/>
  <c r="EN8" i="81"/>
  <c r="EO8" i="81"/>
  <c r="EP8" i="81"/>
  <c r="EQ8" i="81"/>
  <c r="ER8" i="81"/>
  <c r="ES8" i="81"/>
  <c r="ET8" i="81"/>
  <c r="EU8" i="81"/>
  <c r="EV8" i="81"/>
  <c r="EW8" i="81"/>
  <c r="EX8" i="81"/>
  <c r="EY8" i="81"/>
  <c r="EZ8" i="81"/>
  <c r="FA8" i="81"/>
  <c r="FB8" i="81"/>
  <c r="EN9" i="81"/>
  <c r="EO9" i="81"/>
  <c r="EP9" i="81"/>
  <c r="EQ9" i="81"/>
  <c r="ER9" i="81"/>
  <c r="ES9" i="81"/>
  <c r="ET9" i="81"/>
  <c r="EU9" i="81"/>
  <c r="EV9" i="81"/>
  <c r="EW9" i="81"/>
  <c r="EX9" i="81"/>
  <c r="EY9" i="81"/>
  <c r="EZ9" i="81"/>
  <c r="FA9" i="81"/>
  <c r="FB9" i="81"/>
  <c r="EN10" i="81"/>
  <c r="EO10" i="81"/>
  <c r="EP10" i="81"/>
  <c r="EQ10" i="81"/>
  <c r="ER10" i="81"/>
  <c r="ES10" i="81"/>
  <c r="ET10" i="81"/>
  <c r="EU10" i="81"/>
  <c r="EV10" i="81"/>
  <c r="EW10" i="81"/>
  <c r="EX10" i="81"/>
  <c r="EY10" i="81"/>
  <c r="EZ10" i="81"/>
  <c r="FA10" i="81"/>
  <c r="FB10" i="81"/>
  <c r="EN11" i="81"/>
  <c r="EO11" i="81"/>
  <c r="EP11" i="81"/>
  <c r="EQ11" i="81"/>
  <c r="ER11" i="81"/>
  <c r="ES11" i="81"/>
  <c r="ET11" i="81"/>
  <c r="EU11" i="81"/>
  <c r="EV11" i="81"/>
  <c r="EW11" i="81"/>
  <c r="EX11" i="81"/>
  <c r="EY11" i="81"/>
  <c r="EZ11" i="81"/>
  <c r="FA11" i="81"/>
  <c r="FB11" i="81"/>
  <c r="EN12" i="81"/>
  <c r="EO12" i="81"/>
  <c r="EP12" i="81"/>
  <c r="EQ12" i="81"/>
  <c r="ER12" i="81"/>
  <c r="ES12" i="81"/>
  <c r="ET12" i="81"/>
  <c r="EU12" i="81"/>
  <c r="EV12" i="81"/>
  <c r="EW12" i="81"/>
  <c r="EX12" i="81"/>
  <c r="EY12" i="81"/>
  <c r="EZ12" i="81"/>
  <c r="FA12" i="81"/>
  <c r="FB12" i="81"/>
  <c r="EN13" i="81"/>
  <c r="EO13" i="81"/>
  <c r="EP13" i="81"/>
  <c r="EQ13" i="81"/>
  <c r="ER13" i="81"/>
  <c r="ES13" i="81"/>
  <c r="ET13" i="81"/>
  <c r="EU13" i="81"/>
  <c r="EV13" i="81"/>
  <c r="EW13" i="81"/>
  <c r="EX13" i="81"/>
  <c r="EY13" i="81"/>
  <c r="EZ13" i="81"/>
  <c r="FA13" i="81"/>
  <c r="FB13" i="81"/>
  <c r="EN14" i="81"/>
  <c r="EO14" i="81"/>
  <c r="EP14" i="81"/>
  <c r="EQ14" i="81"/>
  <c r="ER14" i="81"/>
  <c r="ES14" i="81"/>
  <c r="ET14" i="81"/>
  <c r="EU14" i="81"/>
  <c r="EV14" i="81"/>
  <c r="EW14" i="81"/>
  <c r="EX14" i="81"/>
  <c r="EY14" i="81"/>
  <c r="EZ14" i="81"/>
  <c r="FA14" i="81"/>
  <c r="FB14" i="81"/>
  <c r="EN15" i="81"/>
  <c r="EO15" i="81"/>
  <c r="EP15" i="81"/>
  <c r="EQ15" i="81"/>
  <c r="ER15" i="81"/>
  <c r="ES15" i="81"/>
  <c r="ET15" i="81"/>
  <c r="EU15" i="81"/>
  <c r="EV15" i="81"/>
  <c r="EW15" i="81"/>
  <c r="EX15" i="81"/>
  <c r="EY15" i="81"/>
  <c r="EZ15" i="81"/>
  <c r="FA15" i="81"/>
  <c r="FB15" i="81"/>
  <c r="EN16" i="81"/>
  <c r="EO16" i="81"/>
  <c r="EP16" i="81"/>
  <c r="EQ16" i="81"/>
  <c r="ER16" i="81"/>
  <c r="ES16" i="81"/>
  <c r="ET16" i="81"/>
  <c r="EU16" i="81"/>
  <c r="EV16" i="81"/>
  <c r="EW16" i="81"/>
  <c r="EX16" i="81"/>
  <c r="EY16" i="81"/>
  <c r="EZ16" i="81"/>
  <c r="FA16" i="81"/>
  <c r="FB16" i="81"/>
  <c r="EN17" i="81"/>
  <c r="EO17" i="81"/>
  <c r="EP17" i="81"/>
  <c r="EQ17" i="81"/>
  <c r="ER17" i="81"/>
  <c r="ES17" i="81"/>
  <c r="ET17" i="81"/>
  <c r="EU17" i="81"/>
  <c r="EV17" i="81"/>
  <c r="EW17" i="81"/>
  <c r="EX17" i="81"/>
  <c r="EY17" i="81"/>
  <c r="EZ17" i="81"/>
  <c r="FA17" i="81"/>
  <c r="FB17" i="81"/>
  <c r="EN18" i="81"/>
  <c r="EO18" i="81"/>
  <c r="EP18" i="81"/>
  <c r="EQ18" i="81"/>
  <c r="ER18" i="81"/>
  <c r="ES18" i="81"/>
  <c r="ET18" i="81"/>
  <c r="EU18" i="81"/>
  <c r="EV18" i="81"/>
  <c r="EW18" i="81"/>
  <c r="EX18" i="81"/>
  <c r="EY18" i="81"/>
  <c r="EZ18" i="81"/>
  <c r="FA18" i="81"/>
  <c r="FB18" i="81"/>
  <c r="EN19" i="81"/>
  <c r="EO19" i="81"/>
  <c r="EP19" i="81"/>
  <c r="EQ19" i="81"/>
  <c r="ER19" i="81"/>
  <c r="ES19" i="81"/>
  <c r="ET19" i="81"/>
  <c r="EU19" i="81"/>
  <c r="EV19" i="81"/>
  <c r="EW19" i="81"/>
  <c r="EX19" i="81"/>
  <c r="EY19" i="81"/>
  <c r="EZ19" i="81"/>
  <c r="FA19" i="81"/>
  <c r="FB19" i="81"/>
  <c r="EN20" i="81"/>
  <c r="EO20" i="81"/>
  <c r="EP20" i="81"/>
  <c r="EQ20" i="81"/>
  <c r="ER20" i="81"/>
  <c r="ES20" i="81"/>
  <c r="ET20" i="81"/>
  <c r="EU20" i="81"/>
  <c r="EV20" i="81"/>
  <c r="EW20" i="81"/>
  <c r="EX20" i="81"/>
  <c r="EY20" i="81"/>
  <c r="EZ20" i="81"/>
  <c r="FA20" i="81"/>
  <c r="FB20" i="81"/>
  <c r="EN21" i="81"/>
  <c r="EO21" i="81"/>
  <c r="EP21" i="81"/>
  <c r="EQ21" i="81"/>
  <c r="ER21" i="81"/>
  <c r="ES21" i="81"/>
  <c r="ET21" i="81"/>
  <c r="EU21" i="81"/>
  <c r="EV21" i="81"/>
  <c r="EW21" i="81"/>
  <c r="EX21" i="81"/>
  <c r="EY21" i="81"/>
  <c r="EZ21" i="81"/>
  <c r="FA21" i="81"/>
  <c r="FB21" i="81"/>
  <c r="EN22" i="81"/>
  <c r="EO22" i="81"/>
  <c r="EP22" i="81"/>
  <c r="EQ22" i="81"/>
  <c r="ER22" i="81"/>
  <c r="ES22" i="81"/>
  <c r="ET22" i="81"/>
  <c r="EU22" i="81"/>
  <c r="EV22" i="81"/>
  <c r="EW22" i="81"/>
  <c r="EX22" i="81"/>
  <c r="EY22" i="81"/>
  <c r="EZ22" i="81"/>
  <c r="FA22" i="81"/>
  <c r="FB22" i="81"/>
  <c r="EN23" i="81"/>
  <c r="EO23" i="81"/>
  <c r="EP23" i="81"/>
  <c r="EQ23" i="81"/>
  <c r="ER23" i="81"/>
  <c r="ES23" i="81"/>
  <c r="ET23" i="81"/>
  <c r="EU23" i="81"/>
  <c r="EV23" i="81"/>
  <c r="EW23" i="81"/>
  <c r="EX23" i="81"/>
  <c r="EY23" i="81"/>
  <c r="EZ23" i="81"/>
  <c r="FA23" i="81"/>
  <c r="FB23" i="81"/>
  <c r="EN24" i="81"/>
  <c r="EO24" i="81"/>
  <c r="EP24" i="81"/>
  <c r="EQ24" i="81"/>
  <c r="ER24" i="81"/>
  <c r="ES24" i="81"/>
  <c r="ET24" i="81"/>
  <c r="EU24" i="81"/>
  <c r="EV24" i="81"/>
  <c r="EW24" i="81"/>
  <c r="EX24" i="81"/>
  <c r="EY24" i="81"/>
  <c r="EZ24" i="81"/>
  <c r="FA24" i="81"/>
  <c r="FB24" i="81"/>
  <c r="EN25" i="81"/>
  <c r="EO25" i="81"/>
  <c r="EP25" i="81"/>
  <c r="EQ25" i="81"/>
  <c r="ER25" i="81"/>
  <c r="ES25" i="81"/>
  <c r="ET25" i="81"/>
  <c r="EU25" i="81"/>
  <c r="EV25" i="81"/>
  <c r="EW25" i="81"/>
  <c r="EX25" i="81"/>
  <c r="EY25" i="81"/>
  <c r="EZ25" i="81"/>
  <c r="FA25" i="81"/>
  <c r="FB25" i="81"/>
  <c r="EN26" i="81"/>
  <c r="EO26" i="81"/>
  <c r="EP26" i="81"/>
  <c r="EQ26" i="81"/>
  <c r="ER26" i="81"/>
  <c r="ES26" i="81"/>
  <c r="ET26" i="81"/>
  <c r="EU26" i="81"/>
  <c r="EV26" i="81"/>
  <c r="EW26" i="81"/>
  <c r="EX26" i="81"/>
  <c r="EY26" i="81"/>
  <c r="EZ26" i="81"/>
  <c r="FA26" i="81"/>
  <c r="FB26" i="81"/>
  <c r="EN27" i="81"/>
  <c r="EO27" i="81"/>
  <c r="EP27" i="81"/>
  <c r="EQ27" i="81"/>
  <c r="ER27" i="81"/>
  <c r="ES27" i="81"/>
  <c r="ET27" i="81"/>
  <c r="EU27" i="81"/>
  <c r="EV27" i="81"/>
  <c r="EW27" i="81"/>
  <c r="EX27" i="81"/>
  <c r="EY27" i="81"/>
  <c r="EZ27" i="81"/>
  <c r="FA27" i="81"/>
  <c r="FB27" i="81"/>
  <c r="EN28" i="81"/>
  <c r="EO28" i="81"/>
  <c r="EP28" i="81"/>
  <c r="EQ28" i="81"/>
  <c r="ER28" i="81"/>
  <c r="ES28" i="81"/>
  <c r="ET28" i="81"/>
  <c r="EU28" i="81"/>
  <c r="EV28" i="81"/>
  <c r="EW28" i="81"/>
  <c r="EX28" i="81"/>
  <c r="EY28" i="81"/>
  <c r="EZ28" i="81"/>
  <c r="FA28" i="81"/>
  <c r="FB28" i="81"/>
  <c r="EN29" i="81"/>
  <c r="EO29" i="81"/>
  <c r="EP29" i="81"/>
  <c r="EQ29" i="81"/>
  <c r="ER29" i="81"/>
  <c r="ES29" i="81"/>
  <c r="ET29" i="81"/>
  <c r="EU29" i="81"/>
  <c r="EV29" i="81"/>
  <c r="EW29" i="81"/>
  <c r="EX29" i="81"/>
  <c r="EY29" i="81"/>
  <c r="EZ29" i="81"/>
  <c r="FA29" i="81"/>
  <c r="FB29" i="81"/>
  <c r="EN30" i="81"/>
  <c r="EO30" i="81"/>
  <c r="EP30" i="81"/>
  <c r="EQ30" i="81"/>
  <c r="ER30" i="81"/>
  <c r="ES30" i="81"/>
  <c r="ET30" i="81"/>
  <c r="EU30" i="81"/>
  <c r="EV30" i="81"/>
  <c r="EW30" i="81"/>
  <c r="EX30" i="81"/>
  <c r="EY30" i="81"/>
  <c r="EZ30" i="81"/>
  <c r="FA30" i="81"/>
  <c r="FB30" i="81"/>
  <c r="EN31" i="81"/>
  <c r="EO31" i="81"/>
  <c r="EP31" i="81"/>
  <c r="EQ31" i="81"/>
  <c r="ER31" i="81"/>
  <c r="ES31" i="81"/>
  <c r="ET31" i="81"/>
  <c r="EU31" i="81"/>
  <c r="EV31" i="81"/>
  <c r="EW31" i="81"/>
  <c r="EX31" i="81"/>
  <c r="EY31" i="81"/>
  <c r="EZ31" i="81"/>
  <c r="FA31" i="81"/>
  <c r="FB31" i="81"/>
  <c r="EN32" i="81"/>
  <c r="EO32" i="81"/>
  <c r="EP32" i="81"/>
  <c r="EQ32" i="81"/>
  <c r="ER32" i="81"/>
  <c r="ES32" i="81"/>
  <c r="ET32" i="81"/>
  <c r="EU32" i="81"/>
  <c r="EV32" i="81"/>
  <c r="EW32" i="81"/>
  <c r="EX32" i="81"/>
  <c r="EY32" i="81"/>
  <c r="EZ32" i="81"/>
  <c r="FA32" i="81"/>
  <c r="FB32" i="81"/>
  <c r="EN33" i="81"/>
  <c r="EO33" i="81"/>
  <c r="EP33" i="81"/>
  <c r="EQ33" i="81"/>
  <c r="ER33" i="81"/>
  <c r="ES33" i="81"/>
  <c r="ET33" i="81"/>
  <c r="EU33" i="81"/>
  <c r="EV33" i="81"/>
  <c r="EW33" i="81"/>
  <c r="EX33" i="81"/>
  <c r="EY33" i="81"/>
  <c r="EZ33" i="81"/>
  <c r="FA33" i="81"/>
  <c r="FB33" i="81"/>
  <c r="EN34" i="81"/>
  <c r="EO34" i="81"/>
  <c r="EP34" i="81"/>
  <c r="EQ34" i="81"/>
  <c r="ER34" i="81"/>
  <c r="ES34" i="81"/>
  <c r="ET34" i="81"/>
  <c r="EU34" i="81"/>
  <c r="EV34" i="81"/>
  <c r="EW34" i="81"/>
  <c r="EX34" i="81"/>
  <c r="EY34" i="81"/>
  <c r="EZ34" i="81"/>
  <c r="FA34" i="81"/>
  <c r="FB34" i="81"/>
  <c r="EN35" i="81"/>
  <c r="EO35" i="81"/>
  <c r="EP35" i="81"/>
  <c r="EQ35" i="81"/>
  <c r="ER35" i="81"/>
  <c r="ES35" i="81"/>
  <c r="ET35" i="81"/>
  <c r="EU35" i="81"/>
  <c r="EV35" i="81"/>
  <c r="EW35" i="81"/>
  <c r="EX35" i="81"/>
  <c r="EY35" i="81"/>
  <c r="EZ35" i="81"/>
  <c r="FA35" i="81"/>
  <c r="FB35" i="81"/>
  <c r="EN36" i="81"/>
  <c r="EO36" i="81"/>
  <c r="EP36" i="81"/>
  <c r="EQ36" i="81"/>
  <c r="ER36" i="81"/>
  <c r="ES36" i="81"/>
  <c r="ET36" i="81"/>
  <c r="EU36" i="81"/>
  <c r="EV36" i="81"/>
  <c r="EW36" i="81"/>
  <c r="EX36" i="81"/>
  <c r="EY36" i="81"/>
  <c r="EZ36" i="81"/>
  <c r="FA36" i="81"/>
  <c r="FB36" i="81"/>
  <c r="EN37" i="81"/>
  <c r="EO37" i="81"/>
  <c r="EP37" i="81"/>
  <c r="EQ37" i="81"/>
  <c r="ER37" i="81"/>
  <c r="ES37" i="81"/>
  <c r="ET37" i="81"/>
  <c r="EU37" i="81"/>
  <c r="EV37" i="81"/>
  <c r="EW37" i="81"/>
  <c r="EX37" i="81"/>
  <c r="EY37" i="81"/>
  <c r="EZ37" i="81"/>
  <c r="FA37" i="81"/>
  <c r="FB37" i="81"/>
  <c r="EN38" i="81"/>
  <c r="EO38" i="81"/>
  <c r="EP38" i="81"/>
  <c r="EQ38" i="81"/>
  <c r="ER38" i="81"/>
  <c r="ES38" i="81"/>
  <c r="ET38" i="81"/>
  <c r="EU38" i="81"/>
  <c r="EV38" i="81"/>
  <c r="EW38" i="81"/>
  <c r="EX38" i="81"/>
  <c r="EY38" i="81"/>
  <c r="EZ38" i="81"/>
  <c r="FA38" i="81"/>
  <c r="FB38" i="81"/>
  <c r="EN39" i="81"/>
  <c r="EO39" i="81"/>
  <c r="EP39" i="81"/>
  <c r="EQ39" i="81"/>
  <c r="ER39" i="81"/>
  <c r="ES39" i="81"/>
  <c r="ET39" i="81"/>
  <c r="EU39" i="81"/>
  <c r="EV39" i="81"/>
  <c r="EW39" i="81"/>
  <c r="EX39" i="81"/>
  <c r="EY39" i="81"/>
  <c r="EZ39" i="81"/>
  <c r="FA39" i="81"/>
  <c r="FB39" i="81"/>
  <c r="EN40" i="81"/>
  <c r="EO40" i="81"/>
  <c r="EP40" i="81"/>
  <c r="EQ40" i="81"/>
  <c r="ER40" i="81"/>
  <c r="ES40" i="81"/>
  <c r="ET40" i="81"/>
  <c r="EU40" i="81"/>
  <c r="EV40" i="81"/>
  <c r="EW40" i="81"/>
  <c r="EX40" i="81"/>
  <c r="EY40" i="81"/>
  <c r="EZ40" i="81"/>
  <c r="FA40" i="81"/>
  <c r="FB40" i="81"/>
  <c r="EN41" i="81"/>
  <c r="EO41" i="81"/>
  <c r="EP41" i="81"/>
  <c r="EQ41" i="81"/>
  <c r="ER41" i="81"/>
  <c r="ES41" i="81"/>
  <c r="ET41" i="81"/>
  <c r="EU41" i="81"/>
  <c r="EV41" i="81"/>
  <c r="EW41" i="81"/>
  <c r="EX41" i="81"/>
  <c r="EY41" i="81"/>
  <c r="EZ41" i="81"/>
  <c r="FA41" i="81"/>
  <c r="FB41" i="81"/>
  <c r="EN42" i="81"/>
  <c r="EO42" i="81"/>
  <c r="EP42" i="81"/>
  <c r="EQ42" i="81"/>
  <c r="ER42" i="81"/>
  <c r="ES42" i="81"/>
  <c r="ET42" i="81"/>
  <c r="EU42" i="81"/>
  <c r="EV42" i="81"/>
  <c r="EW42" i="81"/>
  <c r="EX42" i="81"/>
  <c r="EY42" i="81"/>
  <c r="EZ42" i="81"/>
  <c r="FA42" i="81"/>
  <c r="FB42" i="81"/>
  <c r="EN43" i="81"/>
  <c r="EO43" i="81"/>
  <c r="EP43" i="81"/>
  <c r="EQ43" i="81"/>
  <c r="ER43" i="81"/>
  <c r="ES43" i="81"/>
  <c r="ET43" i="81"/>
  <c r="EU43" i="81"/>
  <c r="EV43" i="81"/>
  <c r="EW43" i="81"/>
  <c r="EX43" i="81"/>
  <c r="EY43" i="81"/>
  <c r="EZ43" i="81"/>
  <c r="FA43" i="81"/>
  <c r="FB43" i="81"/>
  <c r="EN44" i="81"/>
  <c r="EO44" i="81"/>
  <c r="EP44" i="81"/>
  <c r="EQ44" i="81"/>
  <c r="ER44" i="81"/>
  <c r="ES44" i="81"/>
  <c r="ET44" i="81"/>
  <c r="EU44" i="81"/>
  <c r="EV44" i="81"/>
  <c r="EW44" i="81"/>
  <c r="EX44" i="81"/>
  <c r="EY44" i="81"/>
  <c r="EZ44" i="81"/>
  <c r="FA44" i="81"/>
  <c r="FB44" i="81"/>
  <c r="EN45" i="81"/>
  <c r="EO45" i="81"/>
  <c r="EP45" i="81"/>
  <c r="EQ45" i="81"/>
  <c r="ER45" i="81"/>
  <c r="ES45" i="81"/>
  <c r="ET45" i="81"/>
  <c r="EU45" i="81"/>
  <c r="EV45" i="81"/>
  <c r="EW45" i="81"/>
  <c r="EX45" i="81"/>
  <c r="EY45" i="81"/>
  <c r="EZ45" i="81"/>
  <c r="FA45" i="81"/>
  <c r="FB45" i="81"/>
  <c r="EN46" i="81"/>
  <c r="EO46" i="81"/>
  <c r="EP46" i="81"/>
  <c r="EQ46" i="81"/>
  <c r="ER46" i="81"/>
  <c r="ES46" i="81"/>
  <c r="ET46" i="81"/>
  <c r="EU46" i="81"/>
  <c r="EV46" i="81"/>
  <c r="EW46" i="81"/>
  <c r="EX46" i="81"/>
  <c r="EY46" i="81"/>
  <c r="EZ46" i="81"/>
  <c r="FA46" i="81"/>
  <c r="FB46" i="81"/>
  <c r="EN47" i="81"/>
  <c r="EO47" i="81"/>
  <c r="EP47" i="81"/>
  <c r="EQ47" i="81"/>
  <c r="ER47" i="81"/>
  <c r="ES47" i="81"/>
  <c r="ET47" i="81"/>
  <c r="EU47" i="81"/>
  <c r="EV47" i="81"/>
  <c r="EW47" i="81"/>
  <c r="EX47" i="81"/>
  <c r="EY47" i="81"/>
  <c r="EZ47" i="81"/>
  <c r="FA47" i="81"/>
  <c r="FB47" i="81"/>
  <c r="EN48" i="81"/>
  <c r="EO48" i="81"/>
  <c r="EP48" i="81"/>
  <c r="EQ48" i="81"/>
  <c r="ER48" i="81"/>
  <c r="ES48" i="81"/>
  <c r="ET48" i="81"/>
  <c r="EU48" i="81"/>
  <c r="EV48" i="81"/>
  <c r="EW48" i="81"/>
  <c r="EX48" i="81"/>
  <c r="EY48" i="81"/>
  <c r="EZ48" i="81"/>
  <c r="FA48" i="81"/>
  <c r="FB48" i="81"/>
  <c r="EO3" i="81"/>
  <c r="EP3" i="81"/>
  <c r="EQ3" i="81"/>
  <c r="ER3" i="81"/>
  <c r="ES3" i="81"/>
  <c r="ET3" i="81"/>
  <c r="EU3" i="81"/>
  <c r="EV3" i="81"/>
  <c r="EW3" i="81"/>
  <c r="EX3" i="81"/>
  <c r="EY3" i="81"/>
  <c r="EZ3" i="81"/>
  <c r="FA3" i="81"/>
  <c r="FB3" i="81"/>
  <c r="EN3" i="81"/>
  <c r="FZ27" i="91" l="1"/>
  <c r="FZ30" i="91"/>
  <c r="FZ43" i="91"/>
  <c r="FZ18" i="91"/>
  <c r="FZ29" i="91"/>
  <c r="FZ32" i="91"/>
  <c r="FZ34" i="91"/>
  <c r="FZ44" i="91"/>
  <c r="FZ37" i="91"/>
  <c r="FZ31" i="91"/>
  <c r="FZ25" i="91"/>
  <c r="FZ20" i="91"/>
  <c r="FZ36" i="91"/>
  <c r="FZ22" i="91"/>
  <c r="FZ38" i="91"/>
  <c r="FZ19" i="91"/>
  <c r="FZ35" i="91"/>
  <c r="FZ33" i="91"/>
  <c r="FZ24" i="91"/>
  <c r="FZ40" i="91"/>
  <c r="FZ26" i="91"/>
  <c r="FZ42" i="91"/>
  <c r="FZ21" i="91"/>
  <c r="FZ23" i="91"/>
  <c r="FZ39" i="91"/>
  <c r="FZ45" i="91"/>
  <c r="FZ28" i="91"/>
  <c r="FZ41" i="91"/>
  <c r="ER51" i="81"/>
  <c r="EZ51" i="81"/>
  <c r="EV51" i="81"/>
  <c r="EX51" i="81"/>
  <c r="ET51" i="81"/>
  <c r="EN51" i="81"/>
  <c r="EU51" i="81"/>
  <c r="FB51" i="81"/>
  <c r="EP51" i="81"/>
  <c r="EY51" i="81"/>
  <c r="EQ51" i="81"/>
  <c r="FA51" i="81"/>
  <c r="EW51" i="81"/>
  <c r="ES51" i="81"/>
  <c r="EO51" i="81"/>
  <c r="FU53" i="91"/>
  <c r="AI17" i="11"/>
  <c r="ES56" i="54"/>
  <c r="EP57" i="54"/>
  <c r="ET57" i="54" s="1"/>
  <c r="EN59" i="54"/>
  <c r="EO10" i="54" s="1"/>
  <c r="EP10" i="54" s="1"/>
  <c r="EL59" i="54"/>
  <c r="EM36" i="54" s="1"/>
  <c r="EL56" i="54"/>
  <c r="EL58" i="54" s="1"/>
  <c r="EN56" i="54"/>
  <c r="EN58" i="54" s="1"/>
  <c r="EJ56" i="54"/>
  <c r="EJ58" i="54" s="1"/>
  <c r="EJ59" i="54"/>
  <c r="EK11" i="54" s="1"/>
  <c r="DR59" i="54"/>
  <c r="DS37" i="54" s="1"/>
  <c r="EK25" i="54" l="1"/>
  <c r="EK24" i="54"/>
  <c r="EO38" i="54"/>
  <c r="ET38" i="54" s="1"/>
  <c r="EO21" i="54"/>
  <c r="EO41" i="54"/>
  <c r="ET41" i="54" s="1"/>
  <c r="EO37" i="54"/>
  <c r="EO24" i="54"/>
  <c r="EO20" i="54"/>
  <c r="EO25" i="54"/>
  <c r="EK20" i="54"/>
  <c r="EO40" i="54"/>
  <c r="EO36" i="54"/>
  <c r="EP36" i="54" s="1"/>
  <c r="EO23" i="54"/>
  <c r="EO9" i="54"/>
  <c r="EP9" i="54" s="1"/>
  <c r="EK26" i="54"/>
  <c r="EK10" i="54"/>
  <c r="ET10" i="54" s="1"/>
  <c r="EO39" i="54"/>
  <c r="ET39" i="54" s="1"/>
  <c r="EO35" i="54"/>
  <c r="EO22" i="54"/>
  <c r="EO8" i="54"/>
  <c r="EK23" i="54"/>
  <c r="EK35" i="54"/>
  <c r="EK19" i="54"/>
  <c r="EO34" i="54"/>
  <c r="EO18" i="54"/>
  <c r="EK37" i="54"/>
  <c r="EK21" i="54"/>
  <c r="EK16" i="54"/>
  <c r="EO30" i="54"/>
  <c r="EK17" i="54"/>
  <c r="EO13" i="54"/>
  <c r="EK34" i="54"/>
  <c r="EK18" i="54"/>
  <c r="EO49" i="54"/>
  <c r="EO33" i="54"/>
  <c r="EO17" i="54"/>
  <c r="EO48" i="54"/>
  <c r="EO47" i="54"/>
  <c r="EO31" i="54"/>
  <c r="EP41" i="54"/>
  <c r="EK13" i="54"/>
  <c r="EK22" i="54"/>
  <c r="EK36" i="54"/>
  <c r="EO19" i="54"/>
  <c r="EO32" i="54"/>
  <c r="EK32" i="54"/>
  <c r="EO15" i="54"/>
  <c r="EK15" i="54"/>
  <c r="EO14" i="54"/>
  <c r="EK30" i="54"/>
  <c r="EO45" i="54"/>
  <c r="EO27" i="54"/>
  <c r="EO11" i="54"/>
  <c r="EP11" i="54" s="1"/>
  <c r="EK9" i="54"/>
  <c r="EO7" i="54"/>
  <c r="EK33" i="54"/>
  <c r="EO16" i="54"/>
  <c r="EK31" i="54"/>
  <c r="EO46" i="54"/>
  <c r="EK14" i="54"/>
  <c r="EO29" i="54"/>
  <c r="EK29" i="54"/>
  <c r="EO44" i="54"/>
  <c r="EO28" i="54"/>
  <c r="EO12" i="54"/>
  <c r="EK28" i="54"/>
  <c r="EK12" i="54"/>
  <c r="EO43" i="54"/>
  <c r="EK27" i="54"/>
  <c r="EO42" i="54"/>
  <c r="EO26" i="54"/>
  <c r="ET26" i="54" s="1"/>
  <c r="ET25" i="54"/>
  <c r="FC51" i="81"/>
  <c r="EM34" i="54"/>
  <c r="EM24" i="54"/>
  <c r="EP24" i="54" s="1"/>
  <c r="EM13" i="54"/>
  <c r="EM12" i="54"/>
  <c r="EM33" i="54"/>
  <c r="EP33" i="54" s="1"/>
  <c r="EM28" i="54"/>
  <c r="EM22" i="54"/>
  <c r="EM17" i="54"/>
  <c r="EM29" i="54"/>
  <c r="EP29" i="54" s="1"/>
  <c r="EM18" i="54"/>
  <c r="EP18" i="54" s="1"/>
  <c r="EM39" i="54"/>
  <c r="EM32" i="54"/>
  <c r="EP32" i="54" s="1"/>
  <c r="EM26" i="54"/>
  <c r="EM21" i="54"/>
  <c r="EM16" i="54"/>
  <c r="EM38" i="54"/>
  <c r="EP38" i="54" s="1"/>
  <c r="EM30" i="54"/>
  <c r="EM25" i="54"/>
  <c r="EP25" i="54" s="1"/>
  <c r="EM20" i="54"/>
  <c r="EM14" i="54"/>
  <c r="EP14" i="54" s="1"/>
  <c r="EM37" i="54"/>
  <c r="EM35" i="54"/>
  <c r="EP35" i="54" s="1"/>
  <c r="EM31" i="54"/>
  <c r="EM27" i="54"/>
  <c r="EM23" i="54"/>
  <c r="EP23" i="54" s="1"/>
  <c r="EM19" i="54"/>
  <c r="EM15" i="54"/>
  <c r="AI74" i="1"/>
  <c r="EP19" i="54" l="1"/>
  <c r="EP28" i="54"/>
  <c r="ET24" i="54"/>
  <c r="EP20" i="54"/>
  <c r="EP22" i="54"/>
  <c r="EP13" i="54"/>
  <c r="ET20" i="54"/>
  <c r="EP21" i="54"/>
  <c r="EP37" i="54"/>
  <c r="EP26" i="54"/>
  <c r="EP8" i="54"/>
  <c r="ET8" i="54"/>
  <c r="EP27" i="54"/>
  <c r="EP17" i="54"/>
  <c r="EP39" i="54"/>
  <c r="EP40" i="54"/>
  <c r="ET40" i="54"/>
  <c r="ET22" i="54"/>
  <c r="ET21" i="54"/>
  <c r="ET28" i="54"/>
  <c r="ET23" i="54"/>
  <c r="ET36" i="54"/>
  <c r="ET16" i="54"/>
  <c r="EP31" i="54"/>
  <c r="EP12" i="54"/>
  <c r="ET34" i="54"/>
  <c r="ET33" i="54"/>
  <c r="ET9" i="54"/>
  <c r="EK56" i="54"/>
  <c r="EQ27" i="54" s="1"/>
  <c r="ET37" i="54"/>
  <c r="ET12" i="54"/>
  <c r="ET35" i="54"/>
  <c r="ET18" i="54"/>
  <c r="EQ32" i="54"/>
  <c r="ET32" i="54"/>
  <c r="ET7" i="54"/>
  <c r="EP7" i="54"/>
  <c r="EO56" i="54"/>
  <c r="EO58" i="54" s="1"/>
  <c r="ET42" i="54"/>
  <c r="EP42" i="54"/>
  <c r="ET27" i="54"/>
  <c r="EP47" i="54"/>
  <c r="ET47" i="54"/>
  <c r="ET45" i="54"/>
  <c r="EP45" i="54"/>
  <c r="EQ19" i="54"/>
  <c r="ET19" i="54"/>
  <c r="ET44" i="54"/>
  <c r="EP44" i="54"/>
  <c r="EQ15" i="54"/>
  <c r="ET15" i="54"/>
  <c r="EP34" i="54"/>
  <c r="EP46" i="54"/>
  <c r="ET46" i="54"/>
  <c r="ET11" i="54"/>
  <c r="ET13" i="54"/>
  <c r="ET43" i="54"/>
  <c r="EP43" i="54"/>
  <c r="EP48" i="54"/>
  <c r="ET48" i="54"/>
  <c r="EQ30" i="54"/>
  <c r="ET30" i="54"/>
  <c r="EP49" i="54"/>
  <c r="ET49" i="54"/>
  <c r="EQ29" i="54"/>
  <c r="ET29" i="54"/>
  <c r="EP30" i="54"/>
  <c r="ET14" i="54"/>
  <c r="EP16" i="54"/>
  <c r="EQ31" i="54"/>
  <c r="ET31" i="54"/>
  <c r="EQ17" i="54"/>
  <c r="ET17" i="54"/>
  <c r="AI82" i="1"/>
  <c r="AI94" i="1" s="1"/>
  <c r="EP15" i="54"/>
  <c r="EM56" i="54"/>
  <c r="EM58" i="54" s="1"/>
  <c r="EQ35" i="54" l="1"/>
  <c r="EQ37" i="54"/>
  <c r="EQ36" i="54"/>
  <c r="EQ18" i="54"/>
  <c r="EQ12" i="54"/>
  <c r="ET56" i="54"/>
  <c r="ET58" i="54" s="1"/>
  <c r="EQ34" i="54"/>
  <c r="EQ16" i="54"/>
  <c r="EQ23" i="54"/>
  <c r="EQ13" i="54"/>
  <c r="EQ28" i="54"/>
  <c r="EQ9" i="54"/>
  <c r="EQ8" i="54"/>
  <c r="EQ40" i="54"/>
  <c r="EQ38" i="54"/>
  <c r="EQ41" i="54"/>
  <c r="EQ42" i="54"/>
  <c r="EQ45" i="54"/>
  <c r="EQ39" i="54"/>
  <c r="EQ43" i="54"/>
  <c r="EQ46" i="54"/>
  <c r="EQ7" i="54"/>
  <c r="EQ44" i="54"/>
  <c r="EQ47" i="54"/>
  <c r="EQ48" i="54"/>
  <c r="EQ49" i="54"/>
  <c r="EQ11" i="54"/>
  <c r="EK58" i="54"/>
  <c r="EQ20" i="54"/>
  <c r="EQ10" i="54"/>
  <c r="EQ26" i="54"/>
  <c r="EQ25" i="54"/>
  <c r="EQ24" i="54"/>
  <c r="EQ21" i="54"/>
  <c r="EQ14" i="54"/>
  <c r="EQ33" i="54"/>
  <c r="EQ22" i="54"/>
  <c r="EP56" i="54"/>
  <c r="ER15" i="54" s="1"/>
  <c r="AI41" i="1"/>
  <c r="AI48" i="1"/>
  <c r="AI18" i="1"/>
  <c r="EQ56" i="54" l="1"/>
  <c r="AG21" i="1"/>
  <c r="EP58" i="54"/>
  <c r="ER48" i="54"/>
  <c r="ER10" i="54"/>
  <c r="ER42" i="54"/>
  <c r="ER46" i="54"/>
  <c r="ER40" i="54"/>
  <c r="ER7" i="54"/>
  <c r="ER45" i="54"/>
  <c r="ER49" i="54"/>
  <c r="ER11" i="54"/>
  <c r="ER43" i="54"/>
  <c r="ER47" i="54"/>
  <c r="ER8" i="54"/>
  <c r="ER44" i="54"/>
  <c r="ER9" i="54"/>
  <c r="ER41" i="54"/>
  <c r="ER36" i="54"/>
  <c r="ER37" i="54"/>
  <c r="ER27" i="54"/>
  <c r="ER31" i="54"/>
  <c r="ER22" i="54"/>
  <c r="ER33" i="54"/>
  <c r="ER35" i="54"/>
  <c r="ER28" i="54"/>
  <c r="ER30" i="54"/>
  <c r="ER14" i="54"/>
  <c r="ER20" i="54"/>
  <c r="ER13" i="54"/>
  <c r="ER38" i="54"/>
  <c r="ER25" i="54"/>
  <c r="ER24" i="54"/>
  <c r="ER29" i="54"/>
  <c r="ER32" i="54"/>
  <c r="ER16" i="54"/>
  <c r="ER23" i="54"/>
  <c r="ER12" i="54"/>
  <c r="ER21" i="54"/>
  <c r="ER34" i="54"/>
  <c r="ER17" i="54"/>
  <c r="ER39" i="54"/>
  <c r="ER26" i="54"/>
  <c r="ER19" i="54"/>
  <c r="ER18" i="54"/>
  <c r="AI56" i="1"/>
  <c r="FQ52" i="91"/>
  <c r="FN51" i="91"/>
  <c r="FN53" i="91" s="1"/>
  <c r="FO51" i="91"/>
  <c r="FO53" i="91" s="1"/>
  <c r="FP51" i="91"/>
  <c r="FM51" i="91"/>
  <c r="FQ12" i="91"/>
  <c r="FQ13" i="91"/>
  <c r="FQ14" i="91"/>
  <c r="FQ15" i="91"/>
  <c r="FQ16" i="91"/>
  <c r="FQ17" i="91"/>
  <c r="FQ18" i="91"/>
  <c r="FQ19" i="91"/>
  <c r="FQ20" i="91"/>
  <c r="FQ21" i="91"/>
  <c r="FQ22" i="91"/>
  <c r="FQ23" i="91"/>
  <c r="FQ24" i="91"/>
  <c r="FQ25" i="91"/>
  <c r="FQ26" i="91"/>
  <c r="FQ27" i="91"/>
  <c r="FQ28" i="91"/>
  <c r="FQ29" i="91"/>
  <c r="FQ30" i="91"/>
  <c r="FQ31" i="91"/>
  <c r="FQ32" i="91"/>
  <c r="FQ33" i="91"/>
  <c r="FQ34" i="91"/>
  <c r="FQ35" i="91"/>
  <c r="FQ36" i="91"/>
  <c r="FQ37" i="91"/>
  <c r="FQ11" i="91"/>
  <c r="AI58" i="1" l="1"/>
  <c r="FY15" i="91"/>
  <c r="FY19" i="91"/>
  <c r="FY23" i="91"/>
  <c r="FY27" i="91"/>
  <c r="FY31" i="91"/>
  <c r="FY35" i="91"/>
  <c r="FY39" i="91"/>
  <c r="FY12" i="91"/>
  <c r="FY16" i="91"/>
  <c r="FY20" i="91"/>
  <c r="FY24" i="91"/>
  <c r="FY28" i="91"/>
  <c r="FY32" i="91"/>
  <c r="FY36" i="91"/>
  <c r="FY40" i="91"/>
  <c r="FY13" i="91"/>
  <c r="FY17" i="91"/>
  <c r="FY21" i="91"/>
  <c r="FY25" i="91"/>
  <c r="FY29" i="91"/>
  <c r="FY33" i="91"/>
  <c r="FY37" i="91"/>
  <c r="FY11" i="91"/>
  <c r="FY18" i="91"/>
  <c r="FY34" i="91"/>
  <c r="FY38" i="91"/>
  <c r="FY30" i="91"/>
  <c r="FY22" i="91"/>
  <c r="FY26" i="91"/>
  <c r="FY14" i="91"/>
  <c r="FM53" i="91"/>
  <c r="FQ54" i="91"/>
  <c r="FR26" i="91" s="1"/>
  <c r="FV26" i="91" s="1"/>
  <c r="FQ51" i="91"/>
  <c r="FQ53" i="91" s="1"/>
  <c r="AI93" i="1"/>
  <c r="ER56" i="54"/>
  <c r="FP53" i="91"/>
  <c r="FR25" i="91"/>
  <c r="FV25" i="91" s="1"/>
  <c r="AI12" i="1"/>
  <c r="FR11" i="91" l="1"/>
  <c r="FV11" i="91" s="1"/>
  <c r="FR39" i="91"/>
  <c r="FV39" i="91" s="1"/>
  <c r="FR13" i="91"/>
  <c r="FV13" i="91" s="1"/>
  <c r="FR23" i="91"/>
  <c r="FV23" i="91" s="1"/>
  <c r="FR34" i="91"/>
  <c r="FV34" i="91" s="1"/>
  <c r="FR29" i="91"/>
  <c r="FV29" i="91" s="1"/>
  <c r="FR28" i="91"/>
  <c r="FV28" i="91" s="1"/>
  <c r="FR14" i="91"/>
  <c r="FV14" i="91" s="1"/>
  <c r="FR35" i="91"/>
  <c r="FV35" i="91" s="1"/>
  <c r="FR31" i="91"/>
  <c r="FV31" i="91" s="1"/>
  <c r="FR36" i="91"/>
  <c r="FV36" i="91" s="1"/>
  <c r="FR19" i="91"/>
  <c r="FV19" i="91" s="1"/>
  <c r="FR33" i="91"/>
  <c r="FV33" i="91" s="1"/>
  <c r="FR38" i="91"/>
  <c r="FV38" i="91" s="1"/>
  <c r="FR40" i="91"/>
  <c r="FV40" i="91" s="1"/>
  <c r="FR18" i="91"/>
  <c r="FV18" i="91" s="1"/>
  <c r="FR16" i="91"/>
  <c r="FV16" i="91" s="1"/>
  <c r="FR12" i="91"/>
  <c r="FV12" i="91" s="1"/>
  <c r="FR27" i="91"/>
  <c r="FV27" i="91" s="1"/>
  <c r="FR24" i="91"/>
  <c r="FV24" i="91" s="1"/>
  <c r="FR15" i="91"/>
  <c r="FV15" i="91" s="1"/>
  <c r="FR42" i="91"/>
  <c r="FV42" i="91" s="1"/>
  <c r="FR43" i="91"/>
  <c r="FV43" i="91" s="1"/>
  <c r="FR30" i="91"/>
  <c r="FV30" i="91" s="1"/>
  <c r="FR22" i="91"/>
  <c r="FV22" i="91" s="1"/>
  <c r="FR21" i="91"/>
  <c r="FV21" i="91" s="1"/>
  <c r="FR17" i="91"/>
  <c r="FV17" i="91" s="1"/>
  <c r="FR32" i="91"/>
  <c r="FV32" i="91" s="1"/>
  <c r="FR37" i="91"/>
  <c r="FV37" i="91" s="1"/>
  <c r="FR20" i="91"/>
  <c r="FV20" i="91" s="1"/>
  <c r="FR41" i="91"/>
  <c r="FV41" i="91" s="1"/>
  <c r="AI27" i="1"/>
  <c r="GD61" i="80"/>
  <c r="GD62" i="80"/>
  <c r="GD63" i="80"/>
  <c r="GD64" i="80"/>
  <c r="GD65" i="80"/>
  <c r="GD66" i="80"/>
  <c r="GD59" i="80"/>
  <c r="GD60" i="80"/>
  <c r="GD58" i="80"/>
  <c r="FR51" i="91" l="1"/>
  <c r="FY50" i="91" s="1"/>
  <c r="AI92" i="1"/>
  <c r="FY51" i="91"/>
  <c r="FY45" i="91"/>
  <c r="EZ9" i="80"/>
  <c r="AG13" i="10"/>
  <c r="AG16" i="10" s="1"/>
  <c r="GD53" i="80"/>
  <c r="GE14" i="80"/>
  <c r="GF14" i="80"/>
  <c r="GG14" i="80"/>
  <c r="GH14" i="80"/>
  <c r="GI14" i="80"/>
  <c r="GJ14" i="80"/>
  <c r="GK14" i="80"/>
  <c r="GL14" i="80"/>
  <c r="GM14" i="80"/>
  <c r="GN14" i="80"/>
  <c r="GO14" i="80"/>
  <c r="GP14" i="80"/>
  <c r="GQ14" i="80"/>
  <c r="GR14" i="80"/>
  <c r="GE15" i="80"/>
  <c r="GF15" i="80"/>
  <c r="GG15" i="80"/>
  <c r="GH15" i="80"/>
  <c r="GI15" i="80"/>
  <c r="GJ15" i="80"/>
  <c r="GK15" i="80"/>
  <c r="GL15" i="80"/>
  <c r="GM15" i="80"/>
  <c r="GN15" i="80"/>
  <c r="GO15" i="80"/>
  <c r="GP15" i="80"/>
  <c r="GQ15" i="80"/>
  <c r="GR15" i="80"/>
  <c r="GE16" i="80"/>
  <c r="GF16" i="80"/>
  <c r="GG16" i="80"/>
  <c r="GH16" i="80"/>
  <c r="GI16" i="80"/>
  <c r="GJ16" i="80"/>
  <c r="GK16" i="80"/>
  <c r="GL16" i="80"/>
  <c r="GM16" i="80"/>
  <c r="GN16" i="80"/>
  <c r="GO16" i="80"/>
  <c r="GP16" i="80"/>
  <c r="GQ16" i="80"/>
  <c r="GR16" i="80"/>
  <c r="GE17" i="80"/>
  <c r="GF17" i="80"/>
  <c r="GG17" i="80"/>
  <c r="GH17" i="80"/>
  <c r="GI17" i="80"/>
  <c r="GJ17" i="80"/>
  <c r="GK17" i="80"/>
  <c r="GL17" i="80"/>
  <c r="GM17" i="80"/>
  <c r="GN17" i="80"/>
  <c r="GO17" i="80"/>
  <c r="GP17" i="80"/>
  <c r="GQ17" i="80"/>
  <c r="GR17" i="80"/>
  <c r="GE18" i="80"/>
  <c r="GF18" i="80"/>
  <c r="GG18" i="80"/>
  <c r="GH18" i="80"/>
  <c r="GI18" i="80"/>
  <c r="GJ18" i="80"/>
  <c r="GK18" i="80"/>
  <c r="GL18" i="80"/>
  <c r="GM18" i="80"/>
  <c r="GN18" i="80"/>
  <c r="GO18" i="80"/>
  <c r="GP18" i="80"/>
  <c r="GQ18" i="80"/>
  <c r="GR18" i="80"/>
  <c r="GE19" i="80"/>
  <c r="GF19" i="80"/>
  <c r="GG19" i="80"/>
  <c r="GH19" i="80"/>
  <c r="GI19" i="80"/>
  <c r="GJ19" i="80"/>
  <c r="GK19" i="80"/>
  <c r="GL19" i="80"/>
  <c r="GM19" i="80"/>
  <c r="GN19" i="80"/>
  <c r="GO19" i="80"/>
  <c r="GP19" i="80"/>
  <c r="GQ19" i="80"/>
  <c r="GR19" i="80"/>
  <c r="GE20" i="80"/>
  <c r="GF20" i="80"/>
  <c r="GG20" i="80"/>
  <c r="GH20" i="80"/>
  <c r="GI20" i="80"/>
  <c r="GJ20" i="80"/>
  <c r="GK20" i="80"/>
  <c r="GL20" i="80"/>
  <c r="GM20" i="80"/>
  <c r="GN20" i="80"/>
  <c r="GO20" i="80"/>
  <c r="GP20" i="80"/>
  <c r="GQ20" i="80"/>
  <c r="GR20" i="80"/>
  <c r="GE21" i="80"/>
  <c r="GF21" i="80"/>
  <c r="GG21" i="80"/>
  <c r="GH21" i="80"/>
  <c r="GI21" i="80"/>
  <c r="GJ21" i="80"/>
  <c r="GK21" i="80"/>
  <c r="GL21" i="80"/>
  <c r="GM21" i="80"/>
  <c r="GN21" i="80"/>
  <c r="GO21" i="80"/>
  <c r="GP21" i="80"/>
  <c r="GQ21" i="80"/>
  <c r="GR21" i="80"/>
  <c r="GE22" i="80"/>
  <c r="GF22" i="80"/>
  <c r="GG22" i="80"/>
  <c r="GH22" i="80"/>
  <c r="GI22" i="80"/>
  <c r="GJ22" i="80"/>
  <c r="GK22" i="80"/>
  <c r="GL22" i="80"/>
  <c r="GM22" i="80"/>
  <c r="GN22" i="80"/>
  <c r="GO22" i="80"/>
  <c r="GP22" i="80"/>
  <c r="GQ22" i="80"/>
  <c r="GR22" i="80"/>
  <c r="GE23" i="80"/>
  <c r="GF23" i="80"/>
  <c r="GG23" i="80"/>
  <c r="GH23" i="80"/>
  <c r="GI23" i="80"/>
  <c r="GJ23" i="80"/>
  <c r="GK23" i="80"/>
  <c r="GL23" i="80"/>
  <c r="GM23" i="80"/>
  <c r="GN23" i="80"/>
  <c r="GO23" i="80"/>
  <c r="GP23" i="80"/>
  <c r="GQ23" i="80"/>
  <c r="GR23" i="80"/>
  <c r="GE24" i="80"/>
  <c r="GF24" i="80"/>
  <c r="GG24" i="80"/>
  <c r="GH24" i="80"/>
  <c r="GI24" i="80"/>
  <c r="GJ24" i="80"/>
  <c r="GK24" i="80"/>
  <c r="GL24" i="80"/>
  <c r="GM24" i="80"/>
  <c r="GN24" i="80"/>
  <c r="GO24" i="80"/>
  <c r="GP24" i="80"/>
  <c r="GQ24" i="80"/>
  <c r="GR24" i="80"/>
  <c r="GE25" i="80"/>
  <c r="GF25" i="80"/>
  <c r="GG25" i="80"/>
  <c r="GH25" i="80"/>
  <c r="GI25" i="80"/>
  <c r="GJ25" i="80"/>
  <c r="GK25" i="80"/>
  <c r="GL25" i="80"/>
  <c r="GM25" i="80"/>
  <c r="GN25" i="80"/>
  <c r="GO25" i="80"/>
  <c r="GP25" i="80"/>
  <c r="GQ25" i="80"/>
  <c r="GR25" i="80"/>
  <c r="GE26" i="80"/>
  <c r="GF26" i="80"/>
  <c r="GG26" i="80"/>
  <c r="GH26" i="80"/>
  <c r="GI26" i="80"/>
  <c r="GJ26" i="80"/>
  <c r="GK26" i="80"/>
  <c r="GL26" i="80"/>
  <c r="GM26" i="80"/>
  <c r="GN26" i="80"/>
  <c r="GO26" i="80"/>
  <c r="GP26" i="80"/>
  <c r="GQ26" i="80"/>
  <c r="GR26" i="80"/>
  <c r="GE27" i="80"/>
  <c r="GF27" i="80"/>
  <c r="GG27" i="80"/>
  <c r="GH27" i="80"/>
  <c r="GI27" i="80"/>
  <c r="GJ27" i="80"/>
  <c r="GK27" i="80"/>
  <c r="GL27" i="80"/>
  <c r="GM27" i="80"/>
  <c r="GN27" i="80"/>
  <c r="GO27" i="80"/>
  <c r="GP27" i="80"/>
  <c r="GQ27" i="80"/>
  <c r="GR27" i="80"/>
  <c r="GE28" i="80"/>
  <c r="GF28" i="80"/>
  <c r="GG28" i="80"/>
  <c r="GH28" i="80"/>
  <c r="GI28" i="80"/>
  <c r="GJ28" i="80"/>
  <c r="GK28" i="80"/>
  <c r="GL28" i="80"/>
  <c r="GM28" i="80"/>
  <c r="GN28" i="80"/>
  <c r="GO28" i="80"/>
  <c r="GP28" i="80"/>
  <c r="GQ28" i="80"/>
  <c r="GR28" i="80"/>
  <c r="GE29" i="80"/>
  <c r="GF29" i="80"/>
  <c r="GG29" i="80"/>
  <c r="GH29" i="80"/>
  <c r="GI29" i="80"/>
  <c r="GJ29" i="80"/>
  <c r="GK29" i="80"/>
  <c r="GL29" i="80"/>
  <c r="GM29" i="80"/>
  <c r="GN29" i="80"/>
  <c r="GO29" i="80"/>
  <c r="GP29" i="80"/>
  <c r="GQ29" i="80"/>
  <c r="GR29" i="80"/>
  <c r="GE30" i="80"/>
  <c r="GF30" i="80"/>
  <c r="GG30" i="80"/>
  <c r="GH30" i="80"/>
  <c r="GI30" i="80"/>
  <c r="GJ30" i="80"/>
  <c r="GK30" i="80"/>
  <c r="GL30" i="80"/>
  <c r="GM30" i="80"/>
  <c r="GN30" i="80"/>
  <c r="GO30" i="80"/>
  <c r="GP30" i="80"/>
  <c r="GQ30" i="80"/>
  <c r="GR30" i="80"/>
  <c r="GE31" i="80"/>
  <c r="GF31" i="80"/>
  <c r="GG31" i="80"/>
  <c r="GH31" i="80"/>
  <c r="GI31" i="80"/>
  <c r="GJ31" i="80"/>
  <c r="GK31" i="80"/>
  <c r="GL31" i="80"/>
  <c r="GM31" i="80"/>
  <c r="GN31" i="80"/>
  <c r="GO31" i="80"/>
  <c r="GP31" i="80"/>
  <c r="GQ31" i="80"/>
  <c r="GR31" i="80"/>
  <c r="GE32" i="80"/>
  <c r="GF32" i="80"/>
  <c r="GG32" i="80"/>
  <c r="GH32" i="80"/>
  <c r="GI32" i="80"/>
  <c r="GJ32" i="80"/>
  <c r="GK32" i="80"/>
  <c r="GL32" i="80"/>
  <c r="GM32" i="80"/>
  <c r="GN32" i="80"/>
  <c r="GO32" i="80"/>
  <c r="GP32" i="80"/>
  <c r="GQ32" i="80"/>
  <c r="GR32" i="80"/>
  <c r="GE33" i="80"/>
  <c r="GF33" i="80"/>
  <c r="GG33" i="80"/>
  <c r="GH33" i="80"/>
  <c r="GI33" i="80"/>
  <c r="GJ33" i="80"/>
  <c r="GK33" i="80"/>
  <c r="GL33" i="80"/>
  <c r="GM33" i="80"/>
  <c r="GN33" i="80"/>
  <c r="GO33" i="80"/>
  <c r="GP33" i="80"/>
  <c r="GQ33" i="80"/>
  <c r="GR33" i="80"/>
  <c r="GE34" i="80"/>
  <c r="GF34" i="80"/>
  <c r="GG34" i="80"/>
  <c r="GH34" i="80"/>
  <c r="GI34" i="80"/>
  <c r="GJ34" i="80"/>
  <c r="GK34" i="80"/>
  <c r="GL34" i="80"/>
  <c r="GM34" i="80"/>
  <c r="GN34" i="80"/>
  <c r="GO34" i="80"/>
  <c r="GP34" i="80"/>
  <c r="GQ34" i="80"/>
  <c r="GR34" i="80"/>
  <c r="GE35" i="80"/>
  <c r="GF35" i="80"/>
  <c r="GG35" i="80"/>
  <c r="GH35" i="80"/>
  <c r="GI35" i="80"/>
  <c r="GJ35" i="80"/>
  <c r="GK35" i="80"/>
  <c r="GL35" i="80"/>
  <c r="GM35" i="80"/>
  <c r="GN35" i="80"/>
  <c r="GO35" i="80"/>
  <c r="GP35" i="80"/>
  <c r="GQ35" i="80"/>
  <c r="GR35" i="80"/>
  <c r="GE36" i="80"/>
  <c r="GF36" i="80"/>
  <c r="GG36" i="80"/>
  <c r="GH36" i="80"/>
  <c r="GI36" i="80"/>
  <c r="GJ36" i="80"/>
  <c r="GK36" i="80"/>
  <c r="GL36" i="80"/>
  <c r="GM36" i="80"/>
  <c r="GN36" i="80"/>
  <c r="GO36" i="80"/>
  <c r="GP36" i="80"/>
  <c r="GQ36" i="80"/>
  <c r="GR36" i="80"/>
  <c r="GE37" i="80"/>
  <c r="GF37" i="80"/>
  <c r="GG37" i="80"/>
  <c r="GH37" i="80"/>
  <c r="GI37" i="80"/>
  <c r="GJ37" i="80"/>
  <c r="GK37" i="80"/>
  <c r="GL37" i="80"/>
  <c r="GM37" i="80"/>
  <c r="GN37" i="80"/>
  <c r="GO37" i="80"/>
  <c r="GP37" i="80"/>
  <c r="GQ37" i="80"/>
  <c r="GR37" i="80"/>
  <c r="GE38" i="80"/>
  <c r="GF38" i="80"/>
  <c r="GG38" i="80"/>
  <c r="GH38" i="80"/>
  <c r="GI38" i="80"/>
  <c r="GJ38" i="80"/>
  <c r="GK38" i="80"/>
  <c r="GL38" i="80"/>
  <c r="GM38" i="80"/>
  <c r="GN38" i="80"/>
  <c r="GO38" i="80"/>
  <c r="GP38" i="80"/>
  <c r="GQ38" i="80"/>
  <c r="GR38" i="80"/>
  <c r="GE39" i="80"/>
  <c r="GF39" i="80"/>
  <c r="GG39" i="80"/>
  <c r="GH39" i="80"/>
  <c r="GI39" i="80"/>
  <c r="GJ39" i="80"/>
  <c r="GK39" i="80"/>
  <c r="GL39" i="80"/>
  <c r="GM39" i="80"/>
  <c r="GN39" i="80"/>
  <c r="GO39" i="80"/>
  <c r="GP39" i="80"/>
  <c r="GQ39" i="80"/>
  <c r="GR39" i="80"/>
  <c r="GE40" i="80"/>
  <c r="GF40" i="80"/>
  <c r="GG40" i="80"/>
  <c r="GH40" i="80"/>
  <c r="GI40" i="80"/>
  <c r="GJ40" i="80"/>
  <c r="GK40" i="80"/>
  <c r="GL40" i="80"/>
  <c r="GM40" i="80"/>
  <c r="GN40" i="80"/>
  <c r="GO40" i="80"/>
  <c r="GP40" i="80"/>
  <c r="GQ40" i="80"/>
  <c r="GR40" i="80"/>
  <c r="GE41" i="80"/>
  <c r="GF41" i="80"/>
  <c r="GG41" i="80"/>
  <c r="GH41" i="80"/>
  <c r="GI41" i="80"/>
  <c r="GJ41" i="80"/>
  <c r="GK41" i="80"/>
  <c r="GL41" i="80"/>
  <c r="GM41" i="80"/>
  <c r="GN41" i="80"/>
  <c r="GO41" i="80"/>
  <c r="GP41" i="80"/>
  <c r="GQ41" i="80"/>
  <c r="GR41" i="80"/>
  <c r="GE42" i="80"/>
  <c r="GF42" i="80"/>
  <c r="GG42" i="80"/>
  <c r="GH42" i="80"/>
  <c r="GI42" i="80"/>
  <c r="GJ42" i="80"/>
  <c r="GK42" i="80"/>
  <c r="GL42" i="80"/>
  <c r="GM42" i="80"/>
  <c r="GN42" i="80"/>
  <c r="GO42" i="80"/>
  <c r="GP42" i="80"/>
  <c r="GQ42" i="80"/>
  <c r="GR42" i="80"/>
  <c r="GE43" i="80"/>
  <c r="GF43" i="80"/>
  <c r="GG43" i="80"/>
  <c r="GH43" i="80"/>
  <c r="GI43" i="80"/>
  <c r="GJ43" i="80"/>
  <c r="GK43" i="80"/>
  <c r="GL43" i="80"/>
  <c r="GM43" i="80"/>
  <c r="GN43" i="80"/>
  <c r="GO43" i="80"/>
  <c r="GP43" i="80"/>
  <c r="GQ43" i="80"/>
  <c r="GR43" i="80"/>
  <c r="GE44" i="80"/>
  <c r="GF44" i="80"/>
  <c r="GG44" i="80"/>
  <c r="GH44" i="80"/>
  <c r="GI44" i="80"/>
  <c r="GJ44" i="80"/>
  <c r="GK44" i="80"/>
  <c r="GL44" i="80"/>
  <c r="GM44" i="80"/>
  <c r="GN44" i="80"/>
  <c r="GO44" i="80"/>
  <c r="GP44" i="80"/>
  <c r="GQ44" i="80"/>
  <c r="GR44" i="80"/>
  <c r="GE45" i="80"/>
  <c r="GF45" i="80"/>
  <c r="GG45" i="80"/>
  <c r="GH45" i="80"/>
  <c r="GI45" i="80"/>
  <c r="GJ45" i="80"/>
  <c r="GK45" i="80"/>
  <c r="GL45" i="80"/>
  <c r="GM45" i="80"/>
  <c r="GN45" i="80"/>
  <c r="GO45" i="80"/>
  <c r="GP45" i="80"/>
  <c r="GQ45" i="80"/>
  <c r="GR45" i="80"/>
  <c r="GE46" i="80"/>
  <c r="GF46" i="80"/>
  <c r="GG46" i="80"/>
  <c r="GH46" i="80"/>
  <c r="GI46" i="80"/>
  <c r="GJ46" i="80"/>
  <c r="GK46" i="80"/>
  <c r="GL46" i="80"/>
  <c r="GM46" i="80"/>
  <c r="GN46" i="80"/>
  <c r="GO46" i="80"/>
  <c r="GP46" i="80"/>
  <c r="GQ46" i="80"/>
  <c r="GR46" i="80"/>
  <c r="GE47" i="80"/>
  <c r="GF47" i="80"/>
  <c r="GG47" i="80"/>
  <c r="GH47" i="80"/>
  <c r="GI47" i="80"/>
  <c r="GJ47" i="80"/>
  <c r="GK47" i="80"/>
  <c r="GL47" i="80"/>
  <c r="GM47" i="80"/>
  <c r="GN47" i="80"/>
  <c r="GO47" i="80"/>
  <c r="GP47" i="80"/>
  <c r="GQ47" i="80"/>
  <c r="GR47" i="80"/>
  <c r="GE48" i="80"/>
  <c r="GF48" i="80"/>
  <c r="GG48" i="80"/>
  <c r="GH48" i="80"/>
  <c r="GI48" i="80"/>
  <c r="GJ48" i="80"/>
  <c r="GK48" i="80"/>
  <c r="GL48" i="80"/>
  <c r="GM48" i="80"/>
  <c r="GN48" i="80"/>
  <c r="GO48" i="80"/>
  <c r="GP48" i="80"/>
  <c r="GQ48" i="80"/>
  <c r="GR48" i="80"/>
  <c r="GE49" i="80"/>
  <c r="GF49" i="80"/>
  <c r="GG49" i="80"/>
  <c r="GH49" i="80"/>
  <c r="GI49" i="80"/>
  <c r="GJ49" i="80"/>
  <c r="GK49" i="80"/>
  <c r="GL49" i="80"/>
  <c r="GM49" i="80"/>
  <c r="GN49" i="80"/>
  <c r="GO49" i="80"/>
  <c r="GP49" i="80"/>
  <c r="GQ49" i="80"/>
  <c r="GR49" i="80"/>
  <c r="GE50" i="80"/>
  <c r="GF50" i="80"/>
  <c r="GG50" i="80"/>
  <c r="GH50" i="80"/>
  <c r="GI50" i="80"/>
  <c r="GJ50" i="80"/>
  <c r="GK50" i="80"/>
  <c r="GL50" i="80"/>
  <c r="GM50" i="80"/>
  <c r="GN50" i="80"/>
  <c r="GO50" i="80"/>
  <c r="GP50" i="80"/>
  <c r="GQ50" i="80"/>
  <c r="GR50" i="80"/>
  <c r="GE51" i="80"/>
  <c r="GF51" i="80"/>
  <c r="GG51" i="80"/>
  <c r="GH51" i="80"/>
  <c r="GI51" i="80"/>
  <c r="GJ51" i="80"/>
  <c r="GK51" i="80"/>
  <c r="GL51" i="80"/>
  <c r="GM51" i="80"/>
  <c r="GN51" i="80"/>
  <c r="GO51" i="80"/>
  <c r="GP51" i="80"/>
  <c r="GQ51" i="80"/>
  <c r="GR51" i="80"/>
  <c r="GE52" i="80"/>
  <c r="GF52" i="80"/>
  <c r="GG52" i="80"/>
  <c r="GH52" i="80"/>
  <c r="GI52" i="80"/>
  <c r="GJ52" i="80"/>
  <c r="GK52" i="80"/>
  <c r="GL52" i="80"/>
  <c r="GM52" i="80"/>
  <c r="GN52" i="80"/>
  <c r="GO52" i="80"/>
  <c r="GP52" i="80"/>
  <c r="GQ52" i="80"/>
  <c r="GR52" i="80"/>
  <c r="GE10" i="80"/>
  <c r="GF10" i="80"/>
  <c r="GG10" i="80"/>
  <c r="GH10" i="80"/>
  <c r="GI10" i="80"/>
  <c r="GJ10" i="80"/>
  <c r="GK10" i="80"/>
  <c r="GL10" i="80"/>
  <c r="GM10" i="80"/>
  <c r="GN10" i="80"/>
  <c r="GO10" i="80"/>
  <c r="GP10" i="80"/>
  <c r="GQ10" i="80"/>
  <c r="GR10" i="80"/>
  <c r="GE11" i="80"/>
  <c r="GF11" i="80"/>
  <c r="GG11" i="80"/>
  <c r="GH11" i="80"/>
  <c r="GI11" i="80"/>
  <c r="GJ11" i="80"/>
  <c r="GK11" i="80"/>
  <c r="GL11" i="80"/>
  <c r="GM11" i="80"/>
  <c r="GN11" i="80"/>
  <c r="GO11" i="80"/>
  <c r="GP11" i="80"/>
  <c r="GQ11" i="80"/>
  <c r="GR11" i="80"/>
  <c r="GE12" i="80"/>
  <c r="GF12" i="80"/>
  <c r="GG12" i="80"/>
  <c r="GH12" i="80"/>
  <c r="GI12" i="80"/>
  <c r="GJ12" i="80"/>
  <c r="GK12" i="80"/>
  <c r="GL12" i="80"/>
  <c r="GM12" i="80"/>
  <c r="GN12" i="80"/>
  <c r="GO12" i="80"/>
  <c r="GP12" i="80"/>
  <c r="GQ12" i="80"/>
  <c r="GR12" i="80"/>
  <c r="GE13" i="80"/>
  <c r="GF13" i="80"/>
  <c r="GG13" i="80"/>
  <c r="GH13" i="80"/>
  <c r="GI13" i="80"/>
  <c r="GJ13" i="80"/>
  <c r="GK13" i="80"/>
  <c r="GL13" i="80"/>
  <c r="GM13" i="80"/>
  <c r="GN13" i="80"/>
  <c r="GO13" i="80"/>
  <c r="GP13" i="80"/>
  <c r="GQ13" i="80"/>
  <c r="GR13" i="80"/>
  <c r="GF9" i="80"/>
  <c r="GG9" i="80"/>
  <c r="GH9" i="80"/>
  <c r="GI9" i="80"/>
  <c r="GJ9" i="80"/>
  <c r="GK9" i="80"/>
  <c r="GL9" i="80"/>
  <c r="GM9" i="80"/>
  <c r="GN9" i="80"/>
  <c r="GO9" i="80"/>
  <c r="GP9" i="80"/>
  <c r="GQ9" i="80"/>
  <c r="GR9" i="80"/>
  <c r="GE9" i="80"/>
  <c r="EX52" i="91"/>
  <c r="EX50" i="91"/>
  <c r="GP53" i="80" l="1"/>
  <c r="GH53" i="80"/>
  <c r="GL53" i="80"/>
  <c r="FY49" i="91"/>
  <c r="FR53" i="91"/>
  <c r="FV51" i="91"/>
  <c r="FY47" i="91"/>
  <c r="FY43" i="91"/>
  <c r="FY44" i="91"/>
  <c r="FY41" i="91"/>
  <c r="FY46" i="91"/>
  <c r="FY48" i="91"/>
  <c r="FY42" i="91"/>
  <c r="AI96" i="1"/>
  <c r="AI98" i="1"/>
  <c r="GR53" i="80"/>
  <c r="GJ53" i="80"/>
  <c r="GN53" i="80"/>
  <c r="GQ53" i="80"/>
  <c r="GM53" i="80"/>
  <c r="GI53" i="80"/>
  <c r="GO53" i="80"/>
  <c r="GK53" i="80"/>
  <c r="GG53" i="80"/>
  <c r="GF53" i="80"/>
  <c r="GE53" i="80"/>
  <c r="FA43" i="80"/>
  <c r="FB43" i="80"/>
  <c r="FC43" i="80"/>
  <c r="FD43" i="80"/>
  <c r="FE43" i="80"/>
  <c r="FF43" i="80"/>
  <c r="FG43" i="80"/>
  <c r="FH43" i="80"/>
  <c r="FI43" i="80"/>
  <c r="FJ43" i="80"/>
  <c r="EZ44" i="80"/>
  <c r="FA44" i="80"/>
  <c r="FB44" i="80"/>
  <c r="FC44" i="80"/>
  <c r="FD44" i="80"/>
  <c r="FE44" i="80"/>
  <c r="FF44" i="80"/>
  <c r="FG44" i="80"/>
  <c r="FH44" i="80"/>
  <c r="FI44" i="80"/>
  <c r="FJ44" i="80"/>
  <c r="EZ45" i="80"/>
  <c r="FA45" i="80"/>
  <c r="FB45" i="80"/>
  <c r="FC45" i="80"/>
  <c r="FD45" i="80"/>
  <c r="FE45" i="80"/>
  <c r="FF45" i="80"/>
  <c r="FG45" i="80"/>
  <c r="FH45" i="80"/>
  <c r="FI45" i="80"/>
  <c r="FJ45" i="80"/>
  <c r="EZ46" i="80"/>
  <c r="FA46" i="80"/>
  <c r="FB46" i="80"/>
  <c r="FC46" i="80"/>
  <c r="FD46" i="80"/>
  <c r="FE46" i="80"/>
  <c r="FF46" i="80"/>
  <c r="FG46" i="80"/>
  <c r="FH46" i="80"/>
  <c r="FI46" i="80"/>
  <c r="FJ46" i="80"/>
  <c r="EZ47" i="80"/>
  <c r="FA47" i="80"/>
  <c r="FB47" i="80"/>
  <c r="FC47" i="80"/>
  <c r="FD47" i="80"/>
  <c r="FE47" i="80"/>
  <c r="FF47" i="80"/>
  <c r="FG47" i="80"/>
  <c r="FH47" i="80"/>
  <c r="FI47" i="80"/>
  <c r="FJ47" i="80"/>
  <c r="EZ10" i="80"/>
  <c r="FA10" i="80"/>
  <c r="FB10" i="80"/>
  <c r="FC10" i="80"/>
  <c r="FD10" i="80"/>
  <c r="FE10" i="80"/>
  <c r="FF10" i="80"/>
  <c r="FG10" i="80"/>
  <c r="FH10" i="80"/>
  <c r="FI10" i="80"/>
  <c r="FJ10" i="80"/>
  <c r="EZ11" i="80"/>
  <c r="FA11" i="80"/>
  <c r="FB11" i="80"/>
  <c r="FC11" i="80"/>
  <c r="FD11" i="80"/>
  <c r="FE11" i="80"/>
  <c r="FF11" i="80"/>
  <c r="FG11" i="80"/>
  <c r="FH11" i="80"/>
  <c r="FI11" i="80"/>
  <c r="FJ11" i="80"/>
  <c r="EZ12" i="80"/>
  <c r="FA12" i="80"/>
  <c r="FB12" i="80"/>
  <c r="FC12" i="80"/>
  <c r="FD12" i="80"/>
  <c r="FE12" i="80"/>
  <c r="FF12" i="80"/>
  <c r="FG12" i="80"/>
  <c r="FH12" i="80"/>
  <c r="FI12" i="80"/>
  <c r="FJ12" i="80"/>
  <c r="EZ13" i="80"/>
  <c r="FA13" i="80"/>
  <c r="FB13" i="80"/>
  <c r="FC13" i="80"/>
  <c r="FD13" i="80"/>
  <c r="FE13" i="80"/>
  <c r="FF13" i="80"/>
  <c r="FG13" i="80"/>
  <c r="FH13" i="80"/>
  <c r="FI13" i="80"/>
  <c r="FJ13" i="80"/>
  <c r="EZ14" i="80"/>
  <c r="FA14" i="80"/>
  <c r="FB14" i="80"/>
  <c r="FC14" i="80"/>
  <c r="FD14" i="80"/>
  <c r="FE14" i="80"/>
  <c r="FF14" i="80"/>
  <c r="FG14" i="80"/>
  <c r="FH14" i="80"/>
  <c r="FI14" i="80"/>
  <c r="FJ14" i="80"/>
  <c r="EZ15" i="80"/>
  <c r="FA15" i="80"/>
  <c r="FB15" i="80"/>
  <c r="FC15" i="80"/>
  <c r="FD15" i="80"/>
  <c r="FE15" i="80"/>
  <c r="FF15" i="80"/>
  <c r="FG15" i="80"/>
  <c r="FH15" i="80"/>
  <c r="FI15" i="80"/>
  <c r="FJ15" i="80"/>
  <c r="EZ16" i="80"/>
  <c r="FA16" i="80"/>
  <c r="FB16" i="80"/>
  <c r="FC16" i="80"/>
  <c r="FD16" i="80"/>
  <c r="FE16" i="80"/>
  <c r="FF16" i="80"/>
  <c r="FG16" i="80"/>
  <c r="FH16" i="80"/>
  <c r="FI16" i="80"/>
  <c r="FJ16" i="80"/>
  <c r="EZ17" i="80"/>
  <c r="FA17" i="80"/>
  <c r="FB17" i="80"/>
  <c r="FC17" i="80"/>
  <c r="FD17" i="80"/>
  <c r="FE17" i="80"/>
  <c r="FF17" i="80"/>
  <c r="FG17" i="80"/>
  <c r="FH17" i="80"/>
  <c r="FI17" i="80"/>
  <c r="FJ17" i="80"/>
  <c r="EZ18" i="80"/>
  <c r="FA18" i="80"/>
  <c r="FB18" i="80"/>
  <c r="FC18" i="80"/>
  <c r="FD18" i="80"/>
  <c r="FE18" i="80"/>
  <c r="FF18" i="80"/>
  <c r="FG18" i="80"/>
  <c r="FH18" i="80"/>
  <c r="FI18" i="80"/>
  <c r="FJ18" i="80"/>
  <c r="EZ19" i="80"/>
  <c r="FA19" i="80"/>
  <c r="FB19" i="80"/>
  <c r="FC19" i="80"/>
  <c r="FD19" i="80"/>
  <c r="FE19" i="80"/>
  <c r="FF19" i="80"/>
  <c r="FG19" i="80"/>
  <c r="FH19" i="80"/>
  <c r="FI19" i="80"/>
  <c r="FJ19" i="80"/>
  <c r="EZ20" i="80"/>
  <c r="FA20" i="80"/>
  <c r="FB20" i="80"/>
  <c r="FC20" i="80"/>
  <c r="FD20" i="80"/>
  <c r="FE20" i="80"/>
  <c r="FF20" i="80"/>
  <c r="FG20" i="80"/>
  <c r="FH20" i="80"/>
  <c r="FI20" i="80"/>
  <c r="FJ20" i="80"/>
  <c r="EZ21" i="80"/>
  <c r="FA21" i="80"/>
  <c r="FB21" i="80"/>
  <c r="FC21" i="80"/>
  <c r="FD21" i="80"/>
  <c r="FE21" i="80"/>
  <c r="FF21" i="80"/>
  <c r="FG21" i="80"/>
  <c r="FH21" i="80"/>
  <c r="FI21" i="80"/>
  <c r="FJ21" i="80"/>
  <c r="EZ22" i="80"/>
  <c r="FA22" i="80"/>
  <c r="FB22" i="80"/>
  <c r="FC22" i="80"/>
  <c r="FD22" i="80"/>
  <c r="FE22" i="80"/>
  <c r="FF22" i="80"/>
  <c r="FG22" i="80"/>
  <c r="FH22" i="80"/>
  <c r="FI22" i="80"/>
  <c r="FJ22" i="80"/>
  <c r="EZ23" i="80"/>
  <c r="FA23" i="80"/>
  <c r="FB23" i="80"/>
  <c r="FC23" i="80"/>
  <c r="FD23" i="80"/>
  <c r="FE23" i="80"/>
  <c r="FF23" i="80"/>
  <c r="FG23" i="80"/>
  <c r="FH23" i="80"/>
  <c r="FI23" i="80"/>
  <c r="FJ23" i="80"/>
  <c r="EZ24" i="80"/>
  <c r="FA24" i="80"/>
  <c r="FB24" i="80"/>
  <c r="FC24" i="80"/>
  <c r="FD24" i="80"/>
  <c r="FE24" i="80"/>
  <c r="FF24" i="80"/>
  <c r="FG24" i="80"/>
  <c r="FH24" i="80"/>
  <c r="FI24" i="80"/>
  <c r="FJ24" i="80"/>
  <c r="EZ25" i="80"/>
  <c r="FA25" i="80"/>
  <c r="FB25" i="80"/>
  <c r="FC25" i="80"/>
  <c r="FD25" i="80"/>
  <c r="FE25" i="80"/>
  <c r="FF25" i="80"/>
  <c r="FG25" i="80"/>
  <c r="FH25" i="80"/>
  <c r="FI25" i="80"/>
  <c r="FJ25" i="80"/>
  <c r="EZ26" i="80"/>
  <c r="FA26" i="80"/>
  <c r="FB26" i="80"/>
  <c r="FC26" i="80"/>
  <c r="FD26" i="80"/>
  <c r="FE26" i="80"/>
  <c r="FF26" i="80"/>
  <c r="FG26" i="80"/>
  <c r="FH26" i="80"/>
  <c r="FI26" i="80"/>
  <c r="FJ26" i="80"/>
  <c r="EZ27" i="80"/>
  <c r="FA27" i="80"/>
  <c r="FB27" i="80"/>
  <c r="FC27" i="80"/>
  <c r="FD27" i="80"/>
  <c r="FE27" i="80"/>
  <c r="FF27" i="80"/>
  <c r="FG27" i="80"/>
  <c r="FH27" i="80"/>
  <c r="FI27" i="80"/>
  <c r="FJ27" i="80"/>
  <c r="EZ28" i="80"/>
  <c r="FA28" i="80"/>
  <c r="FB28" i="80"/>
  <c r="FC28" i="80"/>
  <c r="FD28" i="80"/>
  <c r="FE28" i="80"/>
  <c r="FF28" i="80"/>
  <c r="FG28" i="80"/>
  <c r="FH28" i="80"/>
  <c r="FI28" i="80"/>
  <c r="FJ28" i="80"/>
  <c r="EZ29" i="80"/>
  <c r="FA29" i="80"/>
  <c r="FB29" i="80"/>
  <c r="FC29" i="80"/>
  <c r="FD29" i="80"/>
  <c r="FE29" i="80"/>
  <c r="FF29" i="80"/>
  <c r="FG29" i="80"/>
  <c r="FH29" i="80"/>
  <c r="FI29" i="80"/>
  <c r="FJ29" i="80"/>
  <c r="EZ30" i="80"/>
  <c r="FA30" i="80"/>
  <c r="FB30" i="80"/>
  <c r="FC30" i="80"/>
  <c r="FD30" i="80"/>
  <c r="FE30" i="80"/>
  <c r="FF30" i="80"/>
  <c r="FG30" i="80"/>
  <c r="FH30" i="80"/>
  <c r="FI30" i="80"/>
  <c r="FJ30" i="80"/>
  <c r="EZ31" i="80"/>
  <c r="FA31" i="80"/>
  <c r="FB31" i="80"/>
  <c r="FC31" i="80"/>
  <c r="FD31" i="80"/>
  <c r="FE31" i="80"/>
  <c r="FF31" i="80"/>
  <c r="FG31" i="80"/>
  <c r="FH31" i="80"/>
  <c r="FI31" i="80"/>
  <c r="FJ31" i="80"/>
  <c r="EZ32" i="80"/>
  <c r="FA32" i="80"/>
  <c r="FB32" i="80"/>
  <c r="FC32" i="80"/>
  <c r="FD32" i="80"/>
  <c r="FE32" i="80"/>
  <c r="FF32" i="80"/>
  <c r="FG32" i="80"/>
  <c r="FH32" i="80"/>
  <c r="FI32" i="80"/>
  <c r="FJ32" i="80"/>
  <c r="EZ33" i="80"/>
  <c r="FA33" i="80"/>
  <c r="FB33" i="80"/>
  <c r="FC33" i="80"/>
  <c r="FD33" i="80"/>
  <c r="FE33" i="80"/>
  <c r="FF33" i="80"/>
  <c r="FG33" i="80"/>
  <c r="FH33" i="80"/>
  <c r="FI33" i="80"/>
  <c r="FJ33" i="80"/>
  <c r="EZ34" i="80"/>
  <c r="FA34" i="80"/>
  <c r="FB34" i="80"/>
  <c r="FC34" i="80"/>
  <c r="FD34" i="80"/>
  <c r="FE34" i="80"/>
  <c r="FF34" i="80"/>
  <c r="FG34" i="80"/>
  <c r="FH34" i="80"/>
  <c r="FI34" i="80"/>
  <c r="FJ34" i="80"/>
  <c r="EZ35" i="80"/>
  <c r="FA35" i="80"/>
  <c r="FB35" i="80"/>
  <c r="FC35" i="80"/>
  <c r="FD35" i="80"/>
  <c r="FE35" i="80"/>
  <c r="FF35" i="80"/>
  <c r="FG35" i="80"/>
  <c r="FH35" i="80"/>
  <c r="FI35" i="80"/>
  <c r="FJ35" i="80"/>
  <c r="EZ36" i="80"/>
  <c r="FA36" i="80"/>
  <c r="FB36" i="80"/>
  <c r="FC36" i="80"/>
  <c r="FD36" i="80"/>
  <c r="FE36" i="80"/>
  <c r="FF36" i="80"/>
  <c r="FG36" i="80"/>
  <c r="FH36" i="80"/>
  <c r="FI36" i="80"/>
  <c r="FJ36" i="80"/>
  <c r="EZ37" i="80"/>
  <c r="FA37" i="80"/>
  <c r="FB37" i="80"/>
  <c r="FC37" i="80"/>
  <c r="FD37" i="80"/>
  <c r="FE37" i="80"/>
  <c r="FF37" i="80"/>
  <c r="FG37" i="80"/>
  <c r="FH37" i="80"/>
  <c r="FI37" i="80"/>
  <c r="FJ37" i="80"/>
  <c r="EZ38" i="80"/>
  <c r="FA38" i="80"/>
  <c r="FB38" i="80"/>
  <c r="FC38" i="80"/>
  <c r="FD38" i="80"/>
  <c r="FE38" i="80"/>
  <c r="FF38" i="80"/>
  <c r="FG38" i="80"/>
  <c r="FH38" i="80"/>
  <c r="FI38" i="80"/>
  <c r="FJ38" i="80"/>
  <c r="EZ39" i="80"/>
  <c r="FA39" i="80"/>
  <c r="FB39" i="80"/>
  <c r="FC39" i="80"/>
  <c r="FD39" i="80"/>
  <c r="FE39" i="80"/>
  <c r="FF39" i="80"/>
  <c r="FG39" i="80"/>
  <c r="FH39" i="80"/>
  <c r="FI39" i="80"/>
  <c r="FJ39" i="80"/>
  <c r="EZ40" i="80"/>
  <c r="FA40" i="80"/>
  <c r="FB40" i="80"/>
  <c r="FC40" i="80"/>
  <c r="FD40" i="80"/>
  <c r="FE40" i="80"/>
  <c r="FF40" i="80"/>
  <c r="FG40" i="80"/>
  <c r="FH40" i="80"/>
  <c r="FI40" i="80"/>
  <c r="FJ40" i="80"/>
  <c r="EZ41" i="80"/>
  <c r="FA41" i="80"/>
  <c r="FB41" i="80"/>
  <c r="FC41" i="80"/>
  <c r="FD41" i="80"/>
  <c r="FE41" i="80"/>
  <c r="FF41" i="80"/>
  <c r="FG41" i="80"/>
  <c r="FH41" i="80"/>
  <c r="FI41" i="80"/>
  <c r="FJ41" i="80"/>
  <c r="EZ42" i="80"/>
  <c r="FA42" i="80"/>
  <c r="FB42" i="80"/>
  <c r="FC42" i="80"/>
  <c r="FD42" i="80"/>
  <c r="FE42" i="80"/>
  <c r="FF42" i="80"/>
  <c r="FG42" i="80"/>
  <c r="FH42" i="80"/>
  <c r="FI42" i="80"/>
  <c r="FJ42" i="80"/>
  <c r="EZ43" i="80"/>
  <c r="FA9" i="80"/>
  <c r="FB9" i="80"/>
  <c r="FC9" i="80"/>
  <c r="FD9" i="80"/>
  <c r="FE9" i="80"/>
  <c r="FF9" i="80"/>
  <c r="FG9" i="80"/>
  <c r="FH9" i="80"/>
  <c r="FI9" i="80"/>
  <c r="FJ9" i="80"/>
  <c r="AI99" i="1" l="1"/>
  <c r="GS53" i="80"/>
  <c r="FC48" i="80"/>
  <c r="EZ48" i="80"/>
  <c r="FG48" i="80"/>
  <c r="FJ48" i="80"/>
  <c r="FB48" i="80"/>
  <c r="FF48" i="80"/>
  <c r="FH48" i="80"/>
  <c r="FD48" i="80"/>
  <c r="FI48" i="80"/>
  <c r="FE48" i="80"/>
  <c r="FA48" i="80"/>
  <c r="FK48" i="80" l="1"/>
  <c r="U15" i="3"/>
  <c r="Y15" i="3"/>
  <c r="AG15" i="3"/>
  <c r="H14" i="2" l="1"/>
  <c r="S49" i="11" l="1"/>
  <c r="U47" i="11"/>
  <c r="V46" i="11"/>
  <c r="W45" i="11"/>
  <c r="P52" i="11"/>
  <c r="AH13" i="11"/>
  <c r="AH17" i="11" s="1"/>
  <c r="DY57" i="54"/>
  <c r="DD4" i="81" l="1"/>
  <c r="DE4" i="81"/>
  <c r="DF4" i="81"/>
  <c r="DG4" i="81"/>
  <c r="DH4" i="81"/>
  <c r="DI4" i="81"/>
  <c r="DJ4" i="81"/>
  <c r="DK4" i="81"/>
  <c r="DL4" i="81"/>
  <c r="DM4" i="81"/>
  <c r="DN4" i="81"/>
  <c r="DO4" i="81"/>
  <c r="DP4" i="81"/>
  <c r="DQ4" i="81"/>
  <c r="DR4" i="81"/>
  <c r="DD5" i="81"/>
  <c r="DE5" i="81"/>
  <c r="DF5" i="81"/>
  <c r="DG5" i="81"/>
  <c r="DH5" i="81"/>
  <c r="DI5" i="81"/>
  <c r="DJ5" i="81"/>
  <c r="DK5" i="81"/>
  <c r="DL5" i="81"/>
  <c r="DM5" i="81"/>
  <c r="DN5" i="81"/>
  <c r="DO5" i="81"/>
  <c r="DP5" i="81"/>
  <c r="DQ5" i="81"/>
  <c r="DR5" i="81"/>
  <c r="DD6" i="81"/>
  <c r="DE6" i="81"/>
  <c r="DF6" i="81"/>
  <c r="DG6" i="81"/>
  <c r="DH6" i="81"/>
  <c r="DI6" i="81"/>
  <c r="DJ6" i="81"/>
  <c r="DK6" i="81"/>
  <c r="DL6" i="81"/>
  <c r="DM6" i="81"/>
  <c r="DN6" i="81"/>
  <c r="DO6" i="81"/>
  <c r="DP6" i="81"/>
  <c r="DQ6" i="81"/>
  <c r="DR6" i="81"/>
  <c r="DD7" i="81"/>
  <c r="DE7" i="81"/>
  <c r="DF7" i="81"/>
  <c r="DG7" i="81"/>
  <c r="DH7" i="81"/>
  <c r="DI7" i="81"/>
  <c r="DJ7" i="81"/>
  <c r="DK7" i="81"/>
  <c r="DL7" i="81"/>
  <c r="DM7" i="81"/>
  <c r="DN7" i="81"/>
  <c r="DO7" i="81"/>
  <c r="DP7" i="81"/>
  <c r="DQ7" i="81"/>
  <c r="DR7" i="81"/>
  <c r="DD8" i="81"/>
  <c r="DE8" i="81"/>
  <c r="DF8" i="81"/>
  <c r="DG8" i="81"/>
  <c r="DH8" i="81"/>
  <c r="DI8" i="81"/>
  <c r="DJ8" i="81"/>
  <c r="DK8" i="81"/>
  <c r="DL8" i="81"/>
  <c r="DM8" i="81"/>
  <c r="DN8" i="81"/>
  <c r="DO8" i="81"/>
  <c r="DP8" i="81"/>
  <c r="DQ8" i="81"/>
  <c r="DR8" i="81"/>
  <c r="DD9" i="81"/>
  <c r="DE9" i="81"/>
  <c r="DF9" i="81"/>
  <c r="DG9" i="81"/>
  <c r="DH9" i="81"/>
  <c r="DI9" i="81"/>
  <c r="DJ9" i="81"/>
  <c r="DK9" i="81"/>
  <c r="DL9" i="81"/>
  <c r="DM9" i="81"/>
  <c r="DN9" i="81"/>
  <c r="DO9" i="81"/>
  <c r="DP9" i="81"/>
  <c r="DQ9" i="81"/>
  <c r="DR9" i="81"/>
  <c r="DD10" i="81"/>
  <c r="DE10" i="81"/>
  <c r="DF10" i="81"/>
  <c r="DG10" i="81"/>
  <c r="DH10" i="81"/>
  <c r="DI10" i="81"/>
  <c r="DJ10" i="81"/>
  <c r="DK10" i="81"/>
  <c r="DL10" i="81"/>
  <c r="DM10" i="81"/>
  <c r="DN10" i="81"/>
  <c r="DO10" i="81"/>
  <c r="DP10" i="81"/>
  <c r="DQ10" i="81"/>
  <c r="DR10" i="81"/>
  <c r="DD11" i="81"/>
  <c r="DE11" i="81"/>
  <c r="DF11" i="81"/>
  <c r="DG11" i="81"/>
  <c r="DH11" i="81"/>
  <c r="DI11" i="81"/>
  <c r="DJ11" i="81"/>
  <c r="DK11" i="81"/>
  <c r="DL11" i="81"/>
  <c r="DM11" i="81"/>
  <c r="DN11" i="81"/>
  <c r="DO11" i="81"/>
  <c r="DP11" i="81"/>
  <c r="DQ11" i="81"/>
  <c r="DR11" i="81"/>
  <c r="DD12" i="81"/>
  <c r="DE12" i="81"/>
  <c r="DF12" i="81"/>
  <c r="DG12" i="81"/>
  <c r="DH12" i="81"/>
  <c r="DI12" i="81"/>
  <c r="DJ12" i="81"/>
  <c r="DK12" i="81"/>
  <c r="DL12" i="81"/>
  <c r="DM12" i="81"/>
  <c r="DN12" i="81"/>
  <c r="DO12" i="81"/>
  <c r="DP12" i="81"/>
  <c r="DQ12" i="81"/>
  <c r="DR12" i="81"/>
  <c r="DD13" i="81"/>
  <c r="DE13" i="81"/>
  <c r="DF13" i="81"/>
  <c r="DG13" i="81"/>
  <c r="DH13" i="81"/>
  <c r="DI13" i="81"/>
  <c r="DJ13" i="81"/>
  <c r="DK13" i="81"/>
  <c r="DL13" i="81"/>
  <c r="DM13" i="81"/>
  <c r="DN13" i="81"/>
  <c r="DO13" i="81"/>
  <c r="DP13" i="81"/>
  <c r="DQ13" i="81"/>
  <c r="DR13" i="81"/>
  <c r="DD14" i="81"/>
  <c r="DE14" i="81"/>
  <c r="DF14" i="81"/>
  <c r="DG14" i="81"/>
  <c r="DH14" i="81"/>
  <c r="DI14" i="81"/>
  <c r="DJ14" i="81"/>
  <c r="DK14" i="81"/>
  <c r="DL14" i="81"/>
  <c r="DM14" i="81"/>
  <c r="DN14" i="81"/>
  <c r="DO14" i="81"/>
  <c r="DP14" i="81"/>
  <c r="DQ14" i="81"/>
  <c r="DR14" i="81"/>
  <c r="DD15" i="81"/>
  <c r="DE15" i="81"/>
  <c r="DF15" i="81"/>
  <c r="DG15" i="81"/>
  <c r="DH15" i="81"/>
  <c r="DI15" i="81"/>
  <c r="DJ15" i="81"/>
  <c r="DK15" i="81"/>
  <c r="DL15" i="81"/>
  <c r="DM15" i="81"/>
  <c r="DN15" i="81"/>
  <c r="DO15" i="81"/>
  <c r="DP15" i="81"/>
  <c r="DQ15" i="81"/>
  <c r="DR15" i="81"/>
  <c r="DD16" i="81"/>
  <c r="DE16" i="81"/>
  <c r="DF16" i="81"/>
  <c r="DG16" i="81"/>
  <c r="DH16" i="81"/>
  <c r="DI16" i="81"/>
  <c r="DJ16" i="81"/>
  <c r="DK16" i="81"/>
  <c r="DL16" i="81"/>
  <c r="DM16" i="81"/>
  <c r="DN16" i="81"/>
  <c r="DO16" i="81"/>
  <c r="DP16" i="81"/>
  <c r="DQ16" i="81"/>
  <c r="DR16" i="81"/>
  <c r="DD17" i="81"/>
  <c r="DE17" i="81"/>
  <c r="DF17" i="81"/>
  <c r="DG17" i="81"/>
  <c r="DH17" i="81"/>
  <c r="DI17" i="81"/>
  <c r="DJ17" i="81"/>
  <c r="DK17" i="81"/>
  <c r="DL17" i="81"/>
  <c r="DM17" i="81"/>
  <c r="DN17" i="81"/>
  <c r="DO17" i="81"/>
  <c r="DP17" i="81"/>
  <c r="DQ17" i="81"/>
  <c r="DR17" i="81"/>
  <c r="DD18" i="81"/>
  <c r="DE18" i="81"/>
  <c r="DF18" i="81"/>
  <c r="DG18" i="81"/>
  <c r="DH18" i="81"/>
  <c r="DI18" i="81"/>
  <c r="DJ18" i="81"/>
  <c r="DK18" i="81"/>
  <c r="DL18" i="81"/>
  <c r="DM18" i="81"/>
  <c r="DN18" i="81"/>
  <c r="DO18" i="81"/>
  <c r="DP18" i="81"/>
  <c r="DQ18" i="81"/>
  <c r="DR18" i="81"/>
  <c r="DD19" i="81"/>
  <c r="DE19" i="81"/>
  <c r="DF19" i="81"/>
  <c r="DG19" i="81"/>
  <c r="DH19" i="81"/>
  <c r="DI19" i="81"/>
  <c r="DJ19" i="81"/>
  <c r="DK19" i="81"/>
  <c r="DL19" i="81"/>
  <c r="DM19" i="81"/>
  <c r="DN19" i="81"/>
  <c r="DO19" i="81"/>
  <c r="DP19" i="81"/>
  <c r="DQ19" i="81"/>
  <c r="DR19" i="81"/>
  <c r="DD20" i="81"/>
  <c r="DE20" i="81"/>
  <c r="DF20" i="81"/>
  <c r="DG20" i="81"/>
  <c r="DH20" i="81"/>
  <c r="DI20" i="81"/>
  <c r="DJ20" i="81"/>
  <c r="DK20" i="81"/>
  <c r="DL20" i="81"/>
  <c r="DM20" i="81"/>
  <c r="DN20" i="81"/>
  <c r="DO20" i="81"/>
  <c r="DP20" i="81"/>
  <c r="DQ20" i="81"/>
  <c r="DR20" i="81"/>
  <c r="DD21" i="81"/>
  <c r="DE21" i="81"/>
  <c r="DF21" i="81"/>
  <c r="DG21" i="81"/>
  <c r="DH21" i="81"/>
  <c r="DI21" i="81"/>
  <c r="DJ21" i="81"/>
  <c r="DK21" i="81"/>
  <c r="DL21" i="81"/>
  <c r="DM21" i="81"/>
  <c r="DN21" i="81"/>
  <c r="DO21" i="81"/>
  <c r="DP21" i="81"/>
  <c r="DQ21" i="81"/>
  <c r="DR21" i="81"/>
  <c r="DD22" i="81"/>
  <c r="DE22" i="81"/>
  <c r="DF22" i="81"/>
  <c r="DG22" i="81"/>
  <c r="DH22" i="81"/>
  <c r="DI22" i="81"/>
  <c r="DJ22" i="81"/>
  <c r="DK22" i="81"/>
  <c r="DL22" i="81"/>
  <c r="DM22" i="81"/>
  <c r="DN22" i="81"/>
  <c r="DO22" i="81"/>
  <c r="DP22" i="81"/>
  <c r="DQ22" i="81"/>
  <c r="DR22" i="81"/>
  <c r="DD23" i="81"/>
  <c r="DE23" i="81"/>
  <c r="DF23" i="81"/>
  <c r="DG23" i="81"/>
  <c r="DH23" i="81"/>
  <c r="DI23" i="81"/>
  <c r="DJ23" i="81"/>
  <c r="DK23" i="81"/>
  <c r="DL23" i="81"/>
  <c r="DM23" i="81"/>
  <c r="DN23" i="81"/>
  <c r="DO23" i="81"/>
  <c r="DP23" i="81"/>
  <c r="DQ23" i="81"/>
  <c r="DR23" i="81"/>
  <c r="DD24" i="81"/>
  <c r="DE24" i="81"/>
  <c r="DF24" i="81"/>
  <c r="DG24" i="81"/>
  <c r="DH24" i="81"/>
  <c r="DI24" i="81"/>
  <c r="DJ24" i="81"/>
  <c r="DK24" i="81"/>
  <c r="DL24" i="81"/>
  <c r="DM24" i="81"/>
  <c r="DN24" i="81"/>
  <c r="DO24" i="81"/>
  <c r="DP24" i="81"/>
  <c r="DQ24" i="81"/>
  <c r="DR24" i="81"/>
  <c r="DD25" i="81"/>
  <c r="DE25" i="81"/>
  <c r="DF25" i="81"/>
  <c r="DG25" i="81"/>
  <c r="DH25" i="81"/>
  <c r="DI25" i="81"/>
  <c r="DJ25" i="81"/>
  <c r="DK25" i="81"/>
  <c r="DL25" i="81"/>
  <c r="DM25" i="81"/>
  <c r="DN25" i="81"/>
  <c r="DO25" i="81"/>
  <c r="DP25" i="81"/>
  <c r="DQ25" i="81"/>
  <c r="DR25" i="81"/>
  <c r="DD26" i="81"/>
  <c r="DE26" i="81"/>
  <c r="DF26" i="81"/>
  <c r="DG26" i="81"/>
  <c r="DH26" i="81"/>
  <c r="DI26" i="81"/>
  <c r="DJ26" i="81"/>
  <c r="DK26" i="81"/>
  <c r="DL26" i="81"/>
  <c r="DM26" i="81"/>
  <c r="DN26" i="81"/>
  <c r="DO26" i="81"/>
  <c r="DP26" i="81"/>
  <c r="DQ26" i="81"/>
  <c r="DR26" i="81"/>
  <c r="DD27" i="81"/>
  <c r="DE27" i="81"/>
  <c r="DF27" i="81"/>
  <c r="DG27" i="81"/>
  <c r="DH27" i="81"/>
  <c r="DI27" i="81"/>
  <c r="DJ27" i="81"/>
  <c r="DK27" i="81"/>
  <c r="DL27" i="81"/>
  <c r="DM27" i="81"/>
  <c r="DN27" i="81"/>
  <c r="DO27" i="81"/>
  <c r="DP27" i="81"/>
  <c r="DQ27" i="81"/>
  <c r="DR27" i="81"/>
  <c r="DD28" i="81"/>
  <c r="DE28" i="81"/>
  <c r="DF28" i="81"/>
  <c r="DG28" i="81"/>
  <c r="DH28" i="81"/>
  <c r="DI28" i="81"/>
  <c r="DJ28" i="81"/>
  <c r="DK28" i="81"/>
  <c r="DL28" i="81"/>
  <c r="DM28" i="81"/>
  <c r="DN28" i="81"/>
  <c r="DO28" i="81"/>
  <c r="DP28" i="81"/>
  <c r="DQ28" i="81"/>
  <c r="DR28" i="81"/>
  <c r="DD29" i="81"/>
  <c r="DE29" i="81"/>
  <c r="DF29" i="81"/>
  <c r="DG29" i="81"/>
  <c r="DH29" i="81"/>
  <c r="DI29" i="81"/>
  <c r="DJ29" i="81"/>
  <c r="DK29" i="81"/>
  <c r="DL29" i="81"/>
  <c r="DM29" i="81"/>
  <c r="DN29" i="81"/>
  <c r="DO29" i="81"/>
  <c r="DP29" i="81"/>
  <c r="DQ29" i="81"/>
  <c r="DR29" i="81"/>
  <c r="DD30" i="81"/>
  <c r="DE30" i="81"/>
  <c r="DF30" i="81"/>
  <c r="DG30" i="81"/>
  <c r="DH30" i="81"/>
  <c r="DI30" i="81"/>
  <c r="DJ30" i="81"/>
  <c r="DK30" i="81"/>
  <c r="DL30" i="81"/>
  <c r="DM30" i="81"/>
  <c r="DN30" i="81"/>
  <c r="DO30" i="81"/>
  <c r="DP30" i="81"/>
  <c r="DQ30" i="81"/>
  <c r="DR30" i="81"/>
  <c r="DD31" i="81"/>
  <c r="DE31" i="81"/>
  <c r="DF31" i="81"/>
  <c r="DG31" i="81"/>
  <c r="DH31" i="81"/>
  <c r="DI31" i="81"/>
  <c r="DJ31" i="81"/>
  <c r="DK31" i="81"/>
  <c r="DL31" i="81"/>
  <c r="DM31" i="81"/>
  <c r="DN31" i="81"/>
  <c r="DO31" i="81"/>
  <c r="DP31" i="81"/>
  <c r="DQ31" i="81"/>
  <c r="DR31" i="81"/>
  <c r="DD32" i="81"/>
  <c r="DE32" i="81"/>
  <c r="DF32" i="81"/>
  <c r="DG32" i="81"/>
  <c r="DH32" i="81"/>
  <c r="DI32" i="81"/>
  <c r="DJ32" i="81"/>
  <c r="DK32" i="81"/>
  <c r="DL32" i="81"/>
  <c r="DM32" i="81"/>
  <c r="DN32" i="81"/>
  <c r="DO32" i="81"/>
  <c r="DP32" i="81"/>
  <c r="DQ32" i="81"/>
  <c r="DR32" i="81"/>
  <c r="DD33" i="81"/>
  <c r="DE33" i="81"/>
  <c r="DF33" i="81"/>
  <c r="DG33" i="81"/>
  <c r="DH33" i="81"/>
  <c r="DI33" i="81"/>
  <c r="DJ33" i="81"/>
  <c r="DK33" i="81"/>
  <c r="DL33" i="81"/>
  <c r="DM33" i="81"/>
  <c r="DN33" i="81"/>
  <c r="DO33" i="81"/>
  <c r="DP33" i="81"/>
  <c r="DQ33" i="81"/>
  <c r="DR33" i="81"/>
  <c r="DD34" i="81"/>
  <c r="DE34" i="81"/>
  <c r="DF34" i="81"/>
  <c r="DG34" i="81"/>
  <c r="DH34" i="81"/>
  <c r="DI34" i="81"/>
  <c r="DJ34" i="81"/>
  <c r="DK34" i="81"/>
  <c r="DL34" i="81"/>
  <c r="DM34" i="81"/>
  <c r="DN34" i="81"/>
  <c r="DO34" i="81"/>
  <c r="DP34" i="81"/>
  <c r="DQ34" i="81"/>
  <c r="DR34" i="81"/>
  <c r="DD35" i="81"/>
  <c r="DE35" i="81"/>
  <c r="DF35" i="81"/>
  <c r="DG35" i="81"/>
  <c r="DH35" i="81"/>
  <c r="DI35" i="81"/>
  <c r="DJ35" i="81"/>
  <c r="DK35" i="81"/>
  <c r="DL35" i="81"/>
  <c r="DM35" i="81"/>
  <c r="DN35" i="81"/>
  <c r="DO35" i="81"/>
  <c r="DP35" i="81"/>
  <c r="DQ35" i="81"/>
  <c r="DR35" i="81"/>
  <c r="DD36" i="81"/>
  <c r="DE36" i="81"/>
  <c r="DF36" i="81"/>
  <c r="DG36" i="81"/>
  <c r="DH36" i="81"/>
  <c r="DI36" i="81"/>
  <c r="DJ36" i="81"/>
  <c r="DK36" i="81"/>
  <c r="DL36" i="81"/>
  <c r="DM36" i="81"/>
  <c r="DN36" i="81"/>
  <c r="DO36" i="81"/>
  <c r="DP36" i="81"/>
  <c r="DQ36" i="81"/>
  <c r="DR36" i="81"/>
  <c r="DD37" i="81"/>
  <c r="DE37" i="81"/>
  <c r="DF37" i="81"/>
  <c r="DG37" i="81"/>
  <c r="DH37" i="81"/>
  <c r="DI37" i="81"/>
  <c r="DJ37" i="81"/>
  <c r="DK37" i="81"/>
  <c r="DL37" i="81"/>
  <c r="DM37" i="81"/>
  <c r="DN37" i="81"/>
  <c r="DO37" i="81"/>
  <c r="DP37" i="81"/>
  <c r="DQ37" i="81"/>
  <c r="DR37" i="81"/>
  <c r="DD38" i="81"/>
  <c r="DE38" i="81"/>
  <c r="DF38" i="81"/>
  <c r="DG38" i="81"/>
  <c r="DH38" i="81"/>
  <c r="DI38" i="81"/>
  <c r="DJ38" i="81"/>
  <c r="DK38" i="81"/>
  <c r="DL38" i="81"/>
  <c r="DM38" i="81"/>
  <c r="DN38" i="81"/>
  <c r="DO38" i="81"/>
  <c r="DP38" i="81"/>
  <c r="DQ38" i="81"/>
  <c r="DR38" i="81"/>
  <c r="DD39" i="81"/>
  <c r="DE39" i="81"/>
  <c r="DF39" i="81"/>
  <c r="DG39" i="81"/>
  <c r="DH39" i="81"/>
  <c r="DI39" i="81"/>
  <c r="DJ39" i="81"/>
  <c r="DK39" i="81"/>
  <c r="DL39" i="81"/>
  <c r="DM39" i="81"/>
  <c r="DN39" i="81"/>
  <c r="DO39" i="81"/>
  <c r="DP39" i="81"/>
  <c r="DQ39" i="81"/>
  <c r="DR39" i="81"/>
  <c r="DD40" i="81"/>
  <c r="DE40" i="81"/>
  <c r="DF40" i="81"/>
  <c r="DG40" i="81"/>
  <c r="DH40" i="81"/>
  <c r="DI40" i="81"/>
  <c r="DJ40" i="81"/>
  <c r="DK40" i="81"/>
  <c r="DL40" i="81"/>
  <c r="DM40" i="81"/>
  <c r="DN40" i="81"/>
  <c r="DO40" i="81"/>
  <c r="DP40" i="81"/>
  <c r="DQ40" i="81"/>
  <c r="DR40" i="81"/>
  <c r="DD41" i="81"/>
  <c r="DE41" i="81"/>
  <c r="DF41" i="81"/>
  <c r="DG41" i="81"/>
  <c r="DH41" i="81"/>
  <c r="DI41" i="81"/>
  <c r="DJ41" i="81"/>
  <c r="DK41" i="81"/>
  <c r="DL41" i="81"/>
  <c r="DM41" i="81"/>
  <c r="DN41" i="81"/>
  <c r="DO41" i="81"/>
  <c r="DP41" i="81"/>
  <c r="DQ41" i="81"/>
  <c r="DR41" i="81"/>
  <c r="DD42" i="81"/>
  <c r="DE42" i="81"/>
  <c r="DF42" i="81"/>
  <c r="DG42" i="81"/>
  <c r="DH42" i="81"/>
  <c r="DI42" i="81"/>
  <c r="DJ42" i="81"/>
  <c r="DK42" i="81"/>
  <c r="DL42" i="81"/>
  <c r="DM42" i="81"/>
  <c r="DN42" i="81"/>
  <c r="DO42" i="81"/>
  <c r="DP42" i="81"/>
  <c r="DQ42" i="81"/>
  <c r="DR42" i="81"/>
  <c r="DD43" i="81"/>
  <c r="DE43" i="81"/>
  <c r="DF43" i="81"/>
  <c r="DG43" i="81"/>
  <c r="DH43" i="81"/>
  <c r="DI43" i="81"/>
  <c r="DJ43" i="81"/>
  <c r="DK43" i="81"/>
  <c r="DL43" i="81"/>
  <c r="DM43" i="81"/>
  <c r="DN43" i="81"/>
  <c r="DO43" i="81"/>
  <c r="DP43" i="81"/>
  <c r="DQ43" i="81"/>
  <c r="DR43" i="81"/>
  <c r="DD44" i="81"/>
  <c r="DE44" i="81"/>
  <c r="DF44" i="81"/>
  <c r="DG44" i="81"/>
  <c r="DH44" i="81"/>
  <c r="DI44" i="81"/>
  <c r="DJ44" i="81"/>
  <c r="DK44" i="81"/>
  <c r="DL44" i="81"/>
  <c r="DM44" i="81"/>
  <c r="DN44" i="81"/>
  <c r="DO44" i="81"/>
  <c r="DP44" i="81"/>
  <c r="DQ44" i="81"/>
  <c r="DR44" i="81"/>
  <c r="DD45" i="81"/>
  <c r="DE45" i="81"/>
  <c r="DF45" i="81"/>
  <c r="DG45" i="81"/>
  <c r="DH45" i="81"/>
  <c r="DI45" i="81"/>
  <c r="DJ45" i="81"/>
  <c r="DK45" i="81"/>
  <c r="DL45" i="81"/>
  <c r="DM45" i="81"/>
  <c r="DN45" i="81"/>
  <c r="DO45" i="81"/>
  <c r="DP45" i="81"/>
  <c r="DQ45" i="81"/>
  <c r="DR45" i="81"/>
  <c r="DD46" i="81"/>
  <c r="DE46" i="81"/>
  <c r="DF46" i="81"/>
  <c r="DG46" i="81"/>
  <c r="DH46" i="81"/>
  <c r="DI46" i="81"/>
  <c r="DJ46" i="81"/>
  <c r="DK46" i="81"/>
  <c r="DL46" i="81"/>
  <c r="DM46" i="81"/>
  <c r="DN46" i="81"/>
  <c r="DO46" i="81"/>
  <c r="DP46" i="81"/>
  <c r="DQ46" i="81"/>
  <c r="DR46" i="81"/>
  <c r="DE3" i="81"/>
  <c r="DF3" i="81"/>
  <c r="DG3" i="81"/>
  <c r="DH3" i="81"/>
  <c r="DI3" i="81"/>
  <c r="DJ3" i="81"/>
  <c r="DK3" i="81"/>
  <c r="DL3" i="81"/>
  <c r="DM3" i="81"/>
  <c r="DN3" i="81"/>
  <c r="DO3" i="81"/>
  <c r="DP3" i="81"/>
  <c r="DQ3" i="81"/>
  <c r="DR3" i="81"/>
  <c r="DD3" i="81"/>
  <c r="DT56" i="54"/>
  <c r="DR47" i="81" l="1"/>
  <c r="DF47" i="81"/>
  <c r="DN47" i="81"/>
  <c r="DJ47" i="81"/>
  <c r="DQ47" i="81"/>
  <c r="DM47" i="81"/>
  <c r="DI47" i="81"/>
  <c r="DE47" i="81"/>
  <c r="DL47" i="81"/>
  <c r="DH47" i="81"/>
  <c r="DP47" i="81"/>
  <c r="DD47" i="81"/>
  <c r="DO47" i="81"/>
  <c r="DK47" i="81"/>
  <c r="DG47" i="81"/>
  <c r="AH15" i="3" l="1"/>
  <c r="AH17" i="3"/>
  <c r="AG17" i="3" l="1"/>
  <c r="AI14" i="2" l="1"/>
  <c r="DU55" i="54"/>
  <c r="DY55" i="54" s="1"/>
  <c r="DU54" i="54"/>
  <c r="DY54" i="54" s="1"/>
  <c r="DU53" i="54"/>
  <c r="DY53" i="54" s="1"/>
  <c r="DU52" i="54"/>
  <c r="DY52" i="54" s="1"/>
  <c r="DU51" i="54"/>
  <c r="DY51" i="54" s="1"/>
  <c r="DU50" i="54"/>
  <c r="DY50" i="54" s="1"/>
  <c r="DU49" i="54"/>
  <c r="DY49" i="54" s="1"/>
  <c r="DU48" i="54"/>
  <c r="DY48" i="54" s="1"/>
  <c r="DU47" i="54"/>
  <c r="DY47" i="54" s="1"/>
  <c r="DU46" i="54"/>
  <c r="DY46" i="54" s="1"/>
  <c r="DU37" i="54"/>
  <c r="DY37" i="54" s="1"/>
  <c r="DS9" i="54"/>
  <c r="DS10" i="54"/>
  <c r="DU10" i="54" s="1"/>
  <c r="DY10" i="54" s="1"/>
  <c r="DS11" i="54"/>
  <c r="DU11" i="54" s="1"/>
  <c r="DY11" i="54" s="1"/>
  <c r="DS12" i="54"/>
  <c r="DU12" i="54" s="1"/>
  <c r="DY12" i="54" s="1"/>
  <c r="DS13" i="54"/>
  <c r="DU13" i="54" s="1"/>
  <c r="DY13" i="54" s="1"/>
  <c r="DS14" i="54"/>
  <c r="DU14" i="54" s="1"/>
  <c r="DY14" i="54" s="1"/>
  <c r="DS15" i="54"/>
  <c r="DU15" i="54" s="1"/>
  <c r="DY15" i="54" s="1"/>
  <c r="DS16" i="54"/>
  <c r="DU16" i="54" s="1"/>
  <c r="DY16" i="54" s="1"/>
  <c r="DS17" i="54"/>
  <c r="DU17" i="54" s="1"/>
  <c r="DY17" i="54" s="1"/>
  <c r="DS18" i="54"/>
  <c r="DU18" i="54" s="1"/>
  <c r="DY18" i="54" s="1"/>
  <c r="DS19" i="54"/>
  <c r="DU19" i="54" s="1"/>
  <c r="DY19" i="54" s="1"/>
  <c r="DS20" i="54"/>
  <c r="DU20" i="54" s="1"/>
  <c r="DY20" i="54" s="1"/>
  <c r="DS21" i="54"/>
  <c r="DU21" i="54" s="1"/>
  <c r="DY21" i="54" s="1"/>
  <c r="DS22" i="54"/>
  <c r="DU22" i="54" s="1"/>
  <c r="DY22" i="54" s="1"/>
  <c r="DS23" i="54"/>
  <c r="DU23" i="54" s="1"/>
  <c r="DY23" i="54" s="1"/>
  <c r="DS24" i="54"/>
  <c r="DU24" i="54" s="1"/>
  <c r="DY24" i="54" s="1"/>
  <c r="DS25" i="54"/>
  <c r="DU25" i="54" s="1"/>
  <c r="DY25" i="54" s="1"/>
  <c r="DS26" i="54"/>
  <c r="DU26" i="54" s="1"/>
  <c r="DY26" i="54" s="1"/>
  <c r="DS27" i="54"/>
  <c r="DU27" i="54" s="1"/>
  <c r="DY27" i="54" s="1"/>
  <c r="DS28" i="54"/>
  <c r="DU28" i="54" s="1"/>
  <c r="DY28" i="54" s="1"/>
  <c r="DS29" i="54"/>
  <c r="DU29" i="54" s="1"/>
  <c r="DY29" i="54" s="1"/>
  <c r="DS30" i="54"/>
  <c r="DU30" i="54" s="1"/>
  <c r="DY30" i="54" s="1"/>
  <c r="DS31" i="54"/>
  <c r="DU31" i="54" s="1"/>
  <c r="DY31" i="54" s="1"/>
  <c r="DS32" i="54"/>
  <c r="DU32" i="54" s="1"/>
  <c r="DY32" i="54" s="1"/>
  <c r="DS33" i="54"/>
  <c r="DU33" i="54" s="1"/>
  <c r="DY33" i="54" s="1"/>
  <c r="DS34" i="54"/>
  <c r="DU34" i="54" s="1"/>
  <c r="DY34" i="54" s="1"/>
  <c r="DS35" i="54"/>
  <c r="DU35" i="54" s="1"/>
  <c r="DY35" i="54" s="1"/>
  <c r="DS36" i="54"/>
  <c r="DU36" i="54" s="1"/>
  <c r="DY36" i="54" s="1"/>
  <c r="DS38" i="54"/>
  <c r="DU38" i="54" s="1"/>
  <c r="DY38" i="54" s="1"/>
  <c r="DS39" i="54"/>
  <c r="DU39" i="54" s="1"/>
  <c r="DY39" i="54" s="1"/>
  <c r="DS40" i="54"/>
  <c r="DU40" i="54" s="1"/>
  <c r="DY40" i="54" s="1"/>
  <c r="DS41" i="54"/>
  <c r="DU41" i="54" s="1"/>
  <c r="DY41" i="54" s="1"/>
  <c r="DS42" i="54"/>
  <c r="DU42" i="54" s="1"/>
  <c r="DY42" i="54" s="1"/>
  <c r="DS43" i="54"/>
  <c r="DU43" i="54" s="1"/>
  <c r="DY43" i="54" s="1"/>
  <c r="DS44" i="54"/>
  <c r="DU44" i="54" s="1"/>
  <c r="DY44" i="54" s="1"/>
  <c r="DS45" i="54"/>
  <c r="DU45" i="54" s="1"/>
  <c r="DY45" i="54" s="1"/>
  <c r="DS8" i="54"/>
  <c r="DU8" i="54" s="1"/>
  <c r="DY8" i="54" s="1"/>
  <c r="DR56" i="54"/>
  <c r="DR58" i="54" s="1"/>
  <c r="DS56" i="54" l="1"/>
  <c r="DS58" i="54" s="1"/>
  <c r="DU9" i="54"/>
  <c r="DY9" i="54" s="1"/>
  <c r="DT58" i="54"/>
  <c r="DT59" i="54"/>
  <c r="DU56" i="54" l="1"/>
  <c r="DW25" i="54" l="1"/>
  <c r="DU58" i="54"/>
  <c r="DW50" i="54"/>
  <c r="DW43" i="54"/>
  <c r="DW28" i="54"/>
  <c r="DW47" i="54"/>
  <c r="DW19" i="54"/>
  <c r="DW33" i="54"/>
  <c r="DW32" i="54"/>
  <c r="DW45" i="54"/>
  <c r="DW13" i="54"/>
  <c r="DW26" i="54"/>
  <c r="DW8" i="54"/>
  <c r="DW14" i="54"/>
  <c r="DW17" i="54"/>
  <c r="DW18" i="54"/>
  <c r="DW35" i="54"/>
  <c r="DW20" i="54"/>
  <c r="DW53" i="54"/>
  <c r="DW44" i="54"/>
  <c r="DW9" i="54"/>
  <c r="DW49" i="54"/>
  <c r="DW27" i="54"/>
  <c r="DW48" i="54"/>
  <c r="DW23" i="54"/>
  <c r="DW31" i="54"/>
  <c r="DW29" i="54"/>
  <c r="DW54" i="54"/>
  <c r="DW37" i="54"/>
  <c r="DW51" i="54"/>
  <c r="DW46" i="54"/>
  <c r="DW16" i="54"/>
  <c r="DW22" i="54"/>
  <c r="DW55" i="54"/>
  <c r="DW52" i="54"/>
  <c r="DW34" i="54"/>
  <c r="DW21" i="54"/>
  <c r="DW10" i="54"/>
  <c r="DW12" i="54"/>
  <c r="DW15" i="54"/>
  <c r="DW38" i="54"/>
  <c r="DW30" i="54"/>
  <c r="DW36" i="54"/>
  <c r="DW40" i="54"/>
  <c r="DW11" i="54"/>
  <c r="DW41" i="54"/>
  <c r="DW24" i="54"/>
  <c r="DW42" i="54"/>
  <c r="DW39" i="54"/>
  <c r="DQ56" i="54" l="1"/>
  <c r="DY56" i="54" l="1"/>
  <c r="DY58" i="54" s="1"/>
  <c r="DQ58" i="54"/>
  <c r="DV39" i="54"/>
  <c r="DV23" i="54"/>
  <c r="DV27" i="54"/>
  <c r="DV31" i="54"/>
  <c r="DV35" i="54"/>
  <c r="DV44" i="54"/>
  <c r="DV48" i="54"/>
  <c r="DV52" i="54"/>
  <c r="DV9" i="54"/>
  <c r="DV13" i="54"/>
  <c r="DV17" i="54"/>
  <c r="DV21" i="54"/>
  <c r="DV41" i="54"/>
  <c r="DV29" i="54"/>
  <c r="DV33" i="54"/>
  <c r="DV46" i="54"/>
  <c r="DV11" i="54"/>
  <c r="DV19" i="54"/>
  <c r="DV22" i="54"/>
  <c r="DV26" i="54"/>
  <c r="DV30" i="54"/>
  <c r="DV34" i="54"/>
  <c r="DV43" i="54"/>
  <c r="DV47" i="54"/>
  <c r="DV55" i="54"/>
  <c r="DV16" i="54"/>
  <c r="DV40" i="54"/>
  <c r="DV24" i="54"/>
  <c r="DV28" i="54"/>
  <c r="DV32" i="54"/>
  <c r="DV36" i="54"/>
  <c r="DV45" i="54"/>
  <c r="DV49" i="54"/>
  <c r="DV53" i="54"/>
  <c r="DV10" i="54"/>
  <c r="DV14" i="54"/>
  <c r="DV18" i="54"/>
  <c r="DV8" i="54"/>
  <c r="DV37" i="54"/>
  <c r="DV25" i="54"/>
  <c r="DV42" i="54"/>
  <c r="DV50" i="54"/>
  <c r="DV54" i="54"/>
  <c r="DV15" i="54"/>
  <c r="DV38" i="54"/>
  <c r="DV51" i="54"/>
  <c r="DV12" i="54"/>
  <c r="DV20" i="54"/>
  <c r="EV55" i="91" l="1"/>
  <c r="EW14" i="91" s="1"/>
  <c r="EX14" i="91" s="1"/>
  <c r="EU55" i="91"/>
  <c r="EV51" i="91"/>
  <c r="EV53" i="91" s="1"/>
  <c r="EW45" i="91" l="1"/>
  <c r="EX45" i="91" s="1"/>
  <c r="EW29" i="91"/>
  <c r="EX29" i="91" s="1"/>
  <c r="EW41" i="91"/>
  <c r="EX41" i="91" s="1"/>
  <c r="EW25" i="91"/>
  <c r="EX25" i="91" s="1"/>
  <c r="EW12" i="91"/>
  <c r="EX12" i="91" s="1"/>
  <c r="EW37" i="91"/>
  <c r="EX37" i="91" s="1"/>
  <c r="EW21" i="91"/>
  <c r="EX21" i="91" s="1"/>
  <c r="EW49" i="91"/>
  <c r="EX49" i="91" s="1"/>
  <c r="EW33" i="91"/>
  <c r="EX33" i="91" s="1"/>
  <c r="EW17" i="91"/>
  <c r="EX17" i="91" s="1"/>
  <c r="EW11" i="91"/>
  <c r="EX11" i="91" s="1"/>
  <c r="EW48" i="91"/>
  <c r="EX48" i="91" s="1"/>
  <c r="EW44" i="91"/>
  <c r="EX44" i="91" s="1"/>
  <c r="EW40" i="91"/>
  <c r="EX40" i="91" s="1"/>
  <c r="EW36" i="91"/>
  <c r="EX36" i="91" s="1"/>
  <c r="EW32" i="91"/>
  <c r="EX32" i="91" s="1"/>
  <c r="EW28" i="91"/>
  <c r="EX28" i="91" s="1"/>
  <c r="EW24" i="91"/>
  <c r="EX24" i="91" s="1"/>
  <c r="EW20" i="91"/>
  <c r="EX20" i="91" s="1"/>
  <c r="EW16" i="91"/>
  <c r="EX16" i="91" s="1"/>
  <c r="EW8" i="91"/>
  <c r="EX8" i="91" s="1"/>
  <c r="EW10" i="91"/>
  <c r="EX10" i="91" s="1"/>
  <c r="EW47" i="91"/>
  <c r="EX47" i="91" s="1"/>
  <c r="EW43" i="91"/>
  <c r="EX43" i="91" s="1"/>
  <c r="EW39" i="91"/>
  <c r="EX39" i="91" s="1"/>
  <c r="EW35" i="91"/>
  <c r="EX35" i="91" s="1"/>
  <c r="EW31" i="91"/>
  <c r="EX31" i="91" s="1"/>
  <c r="EW27" i="91"/>
  <c r="EX27" i="91" s="1"/>
  <c r="EW23" i="91"/>
  <c r="EX23" i="91" s="1"/>
  <c r="EW19" i="91"/>
  <c r="EX19" i="91" s="1"/>
  <c r="EW15" i="91"/>
  <c r="EX15" i="91" s="1"/>
  <c r="EW13" i="91"/>
  <c r="EX13" i="91" s="1"/>
  <c r="EW9" i="91"/>
  <c r="EX9" i="91" s="1"/>
  <c r="EW46" i="91"/>
  <c r="EX46" i="91" s="1"/>
  <c r="EW42" i="91"/>
  <c r="EX42" i="91" s="1"/>
  <c r="EW38" i="91"/>
  <c r="EX38" i="91" s="1"/>
  <c r="EW34" i="91"/>
  <c r="EX34" i="91" s="1"/>
  <c r="EW30" i="91"/>
  <c r="EX30" i="91" s="1"/>
  <c r="EW26" i="91"/>
  <c r="EX26" i="91" s="1"/>
  <c r="EW22" i="91"/>
  <c r="EX22" i="91" s="1"/>
  <c r="EW18" i="91"/>
  <c r="EX18" i="91" s="1"/>
  <c r="ET52" i="91"/>
  <c r="EU51" i="91"/>
  <c r="EU53" i="91" s="1"/>
  <c r="EX51" i="91" l="1"/>
  <c r="FA15" i="91" s="1"/>
  <c r="EQ51" i="91"/>
  <c r="EQ53" i="91" s="1"/>
  <c r="ER15" i="91"/>
  <c r="ER16" i="91"/>
  <c r="ER17" i="91"/>
  <c r="ER18" i="91"/>
  <c r="ER19" i="91"/>
  <c r="ER20" i="91"/>
  <c r="ER21" i="91"/>
  <c r="ER22" i="91"/>
  <c r="ER23" i="91"/>
  <c r="ER24" i="91"/>
  <c r="ER25" i="91"/>
  <c r="ER26" i="91"/>
  <c r="ER27" i="91"/>
  <c r="ER28" i="91"/>
  <c r="ER29" i="91"/>
  <c r="ER30" i="91"/>
  <c r="ER31" i="91"/>
  <c r="ER32" i="91"/>
  <c r="ER33" i="91"/>
  <c r="ER34" i="91"/>
  <c r="ER35" i="91"/>
  <c r="ER36" i="91"/>
  <c r="ER37" i="91"/>
  <c r="ER38" i="91"/>
  <c r="ER39" i="91"/>
  <c r="ER40" i="91"/>
  <c r="ER41" i="91"/>
  <c r="ER42" i="91"/>
  <c r="ER43" i="91"/>
  <c r="ER44" i="91"/>
  <c r="ER45" i="91"/>
  <c r="ER46" i="91"/>
  <c r="ER47" i="91"/>
  <c r="ER48" i="91"/>
  <c r="ER49" i="91"/>
  <c r="ER50" i="91"/>
  <c r="ER52" i="91"/>
  <c r="ER55" i="91" s="1"/>
  <c r="ER9" i="91"/>
  <c r="ER10" i="91"/>
  <c r="ER11" i="91"/>
  <c r="ER12" i="91"/>
  <c r="ER13" i="91"/>
  <c r="ER14" i="91"/>
  <c r="ER8" i="91"/>
  <c r="DV14" i="91"/>
  <c r="DV41" i="91"/>
  <c r="DV16" i="91"/>
  <c r="FA43" i="91" l="1"/>
  <c r="FA41" i="91"/>
  <c r="FA25" i="91"/>
  <c r="FA27" i="91"/>
  <c r="FA30" i="91"/>
  <c r="FA44" i="91"/>
  <c r="FA37" i="91"/>
  <c r="FA34" i="91"/>
  <c r="FA48" i="91"/>
  <c r="FA13" i="91"/>
  <c r="FA36" i="91"/>
  <c r="FA39" i="91"/>
  <c r="FA10" i="91"/>
  <c r="FA33" i="91"/>
  <c r="FA32" i="91"/>
  <c r="FA22" i="91"/>
  <c r="FA31" i="91"/>
  <c r="FA23" i="91"/>
  <c r="FA11" i="91"/>
  <c r="FA47" i="91"/>
  <c r="FA17" i="91"/>
  <c r="FA35" i="91"/>
  <c r="FA20" i="91"/>
  <c r="FA45" i="91"/>
  <c r="FA28" i="91"/>
  <c r="FA9" i="91"/>
  <c r="FA26" i="91"/>
  <c r="FA40" i="91"/>
  <c r="FA19" i="91"/>
  <c r="EX53" i="91"/>
  <c r="FA14" i="91"/>
  <c r="FA16" i="91"/>
  <c r="FA38" i="91"/>
  <c r="FA21" i="91"/>
  <c r="FA12" i="91"/>
  <c r="FA8" i="91"/>
  <c r="FA18" i="91"/>
  <c r="FA29" i="91"/>
  <c r="FA24" i="91"/>
  <c r="FA46" i="91"/>
  <c r="FA42" i="91"/>
  <c r="FA49" i="91"/>
  <c r="ES8" i="91"/>
  <c r="ET8" i="91" s="1"/>
  <c r="EW51" i="91"/>
  <c r="EP51" i="91"/>
  <c r="EP53" i="91" s="1"/>
  <c r="EO51" i="91"/>
  <c r="EN51" i="91"/>
  <c r="EY25" i="91" l="1"/>
  <c r="EY29" i="91"/>
  <c r="EY33" i="91"/>
  <c r="EY9" i="91"/>
  <c r="EY13" i="91"/>
  <c r="EY17" i="91"/>
  <c r="EY21" i="91"/>
  <c r="EY38" i="91"/>
  <c r="EY26" i="91"/>
  <c r="EY30" i="91"/>
  <c r="EY34" i="91"/>
  <c r="EY10" i="91"/>
  <c r="EY14" i="91"/>
  <c r="EY18" i="91"/>
  <c r="EY22" i="91"/>
  <c r="EY37" i="91"/>
  <c r="EY27" i="91"/>
  <c r="EY31" i="91"/>
  <c r="EY35" i="91"/>
  <c r="EY11" i="91"/>
  <c r="EY15" i="91"/>
  <c r="EY19" i="91"/>
  <c r="EY23" i="91"/>
  <c r="EY24" i="91"/>
  <c r="EY12" i="91"/>
  <c r="EY8" i="91"/>
  <c r="EY28" i="91"/>
  <c r="EY16" i="91"/>
  <c r="EY32" i="91"/>
  <c r="EY20" i="91"/>
  <c r="EY36" i="91"/>
  <c r="FA51" i="91"/>
  <c r="EO53" i="91"/>
  <c r="EW53" i="91"/>
  <c r="EY47" i="91"/>
  <c r="EY43" i="91"/>
  <c r="EY39" i="91"/>
  <c r="EY45" i="91"/>
  <c r="EY44" i="91"/>
  <c r="EY46" i="91"/>
  <c r="EY42" i="91"/>
  <c r="EY49" i="91"/>
  <c r="EY41" i="91"/>
  <c r="EY48" i="91"/>
  <c r="EY40" i="91"/>
  <c r="ER51" i="91"/>
  <c r="EN53" i="91"/>
  <c r="EZ13" i="91" l="1"/>
  <c r="EZ12" i="91"/>
  <c r="EZ35" i="91"/>
  <c r="EZ19" i="91"/>
  <c r="EZ20" i="91"/>
  <c r="EZ30" i="91"/>
  <c r="EZ32" i="91"/>
  <c r="EZ42" i="91"/>
  <c r="EZ45" i="91"/>
  <c r="EZ29" i="91"/>
  <c r="EZ16" i="91"/>
  <c r="EZ23" i="91"/>
  <c r="EZ34" i="91"/>
  <c r="EZ44" i="91"/>
  <c r="EZ49" i="91"/>
  <c r="EZ40" i="91"/>
  <c r="EZ47" i="91"/>
  <c r="EZ31" i="91"/>
  <c r="EZ15" i="91"/>
  <c r="EZ8" i="91"/>
  <c r="EZ26" i="91"/>
  <c r="EZ24" i="91"/>
  <c r="EZ14" i="91"/>
  <c r="EZ41" i="91"/>
  <c r="EZ25" i="91"/>
  <c r="EZ39" i="91"/>
  <c r="EZ18" i="91"/>
  <c r="EZ46" i="91"/>
  <c r="EZ17" i="91"/>
  <c r="EZ28" i="91"/>
  <c r="EZ43" i="91"/>
  <c r="EZ27" i="91"/>
  <c r="EZ48" i="91"/>
  <c r="EZ38" i="91"/>
  <c r="EZ22" i="91"/>
  <c r="EZ9" i="91"/>
  <c r="EZ11" i="91"/>
  <c r="EZ10" i="91"/>
  <c r="EZ37" i="91"/>
  <c r="EZ21" i="91"/>
  <c r="EZ36" i="91"/>
  <c r="EZ33" i="91"/>
  <c r="EY51" i="91"/>
  <c r="ER53" i="91"/>
  <c r="CB27" i="79"/>
  <c r="EZ51" i="91" l="1"/>
  <c r="CB46" i="79"/>
  <c r="CA51" i="79" l="1"/>
  <c r="CA52" i="79"/>
  <c r="CA53" i="79"/>
  <c r="CA55" i="79"/>
  <c r="BR68" i="79" l="1"/>
  <c r="CB68" i="79"/>
  <c r="CA50" i="79"/>
  <c r="CA49" i="79"/>
  <c r="CA48" i="79"/>
  <c r="CA41" i="79"/>
  <c r="CA40" i="79"/>
  <c r="CA39" i="79"/>
  <c r="CA38" i="79"/>
  <c r="CA21" i="79"/>
  <c r="CA20" i="79"/>
  <c r="CA19" i="79"/>
  <c r="CA18" i="79"/>
  <c r="CA13" i="79"/>
  <c r="CA12" i="79"/>
  <c r="CA11" i="79"/>
  <c r="CA10" i="79"/>
  <c r="CA8" i="79"/>
  <c r="CA7" i="79"/>
  <c r="CA6" i="79"/>
  <c r="CA22" i="79"/>
  <c r="CB11" i="79" l="1"/>
  <c r="CB19" i="79"/>
  <c r="AH52" i="1"/>
  <c r="AN52" i="1" s="1"/>
  <c r="AP52" i="1" s="1"/>
  <c r="AG74" i="1" l="1"/>
  <c r="AH74" i="1"/>
  <c r="AN74" i="1" s="1"/>
  <c r="AP74" i="1" s="1"/>
  <c r="AH48" i="1"/>
  <c r="AN48" i="1" s="1"/>
  <c r="AP48" i="1" s="1"/>
  <c r="AH18" i="1"/>
  <c r="AN18" i="1" s="1"/>
  <c r="AP18" i="1" s="1"/>
  <c r="AH82" i="1" l="1"/>
  <c r="AN82" i="1" s="1"/>
  <c r="AP82" i="1" s="1"/>
  <c r="AH94" i="1" l="1"/>
  <c r="AN94" i="1" s="1"/>
  <c r="AP94" i="1" s="1"/>
  <c r="CB81" i="79"/>
  <c r="CA33" i="79" l="1"/>
  <c r="BX32" i="79"/>
  <c r="BW32" i="79"/>
  <c r="CA30" i="79"/>
  <c r="CA25" i="79"/>
  <c r="CA24" i="79"/>
  <c r="CA23" i="79"/>
  <c r="CB48" i="79" l="1"/>
  <c r="CB31" i="79"/>
  <c r="CA29" i="79"/>
  <c r="CB23" i="79"/>
  <c r="AH41" i="1"/>
  <c r="AN41" i="1" s="1"/>
  <c r="AP41" i="1" s="1"/>
  <c r="AH12" i="1"/>
  <c r="AN12" i="1" s="1"/>
  <c r="AP12" i="1" s="1"/>
  <c r="AH27" i="1" l="1"/>
  <c r="AN27" i="1" s="1"/>
  <c r="AP27" i="1" s="1"/>
  <c r="AH56" i="1"/>
  <c r="AN56" i="1" s="1"/>
  <c r="AP56" i="1" s="1"/>
  <c r="D17" i="11"/>
  <c r="E17" i="11"/>
  <c r="F17" i="11"/>
  <c r="G17" i="11"/>
  <c r="H17" i="11"/>
  <c r="I17" i="11"/>
  <c r="J17" i="11"/>
  <c r="L17" i="11"/>
  <c r="M17" i="11"/>
  <c r="N17" i="11"/>
  <c r="O17" i="11"/>
  <c r="Y17" i="11"/>
  <c r="Z17" i="11"/>
  <c r="AA17" i="11"/>
  <c r="AB17" i="11"/>
  <c r="AC17" i="11"/>
  <c r="C17" i="11"/>
  <c r="AF13" i="10"/>
  <c r="AH92" i="1" l="1"/>
  <c r="AN92" i="1" s="1"/>
  <c r="AP92" i="1" s="1"/>
  <c r="AH93" i="1"/>
  <c r="AN93" i="1" s="1"/>
  <c r="AP93" i="1" s="1"/>
  <c r="AH58" i="1"/>
  <c r="AG13" i="11"/>
  <c r="AG17" i="11" s="1"/>
  <c r="AG55" i="1"/>
  <c r="AH98" i="1" l="1"/>
  <c r="AN98" i="1" s="1"/>
  <c r="AP98" i="1" s="1"/>
  <c r="AH96" i="1"/>
  <c r="AN96" i="1" s="1"/>
  <c r="AP96" i="1" s="1"/>
  <c r="AG18" i="1"/>
  <c r="AH99" i="1" l="1"/>
  <c r="AN99" i="1" s="1"/>
  <c r="AP99" i="1" s="1"/>
  <c r="AG52" i="1"/>
  <c r="AF16" i="10" l="1"/>
  <c r="D16" i="10"/>
  <c r="E16" i="10"/>
  <c r="F16" i="10"/>
  <c r="G16" i="10"/>
  <c r="H16" i="10"/>
  <c r="I16" i="10"/>
  <c r="J16" i="10"/>
  <c r="K16" i="10"/>
  <c r="L16" i="10"/>
  <c r="N16" i="10"/>
  <c r="O16" i="10"/>
  <c r="P16" i="10"/>
  <c r="R16" i="10"/>
  <c r="S16" i="10"/>
  <c r="T16" i="10"/>
  <c r="AE13" i="10"/>
  <c r="AE16" i="10" s="1"/>
  <c r="DE54" i="54"/>
  <c r="DF12" i="54" s="1"/>
  <c r="DE52" i="54"/>
  <c r="DG11" i="54" s="1"/>
  <c r="DZ55" i="91"/>
  <c r="DZ19" i="91" s="1"/>
  <c r="DY51" i="91"/>
  <c r="DX52" i="91"/>
  <c r="DV15" i="91"/>
  <c r="DV17" i="91"/>
  <c r="DV18" i="91"/>
  <c r="DV19" i="91"/>
  <c r="DV20" i="91"/>
  <c r="DV21" i="91"/>
  <c r="DV22" i="91"/>
  <c r="DV23" i="91"/>
  <c r="DV24" i="91"/>
  <c r="DV25" i="91"/>
  <c r="DV26" i="91"/>
  <c r="DV27" i="91"/>
  <c r="DV28" i="91"/>
  <c r="DV29" i="91"/>
  <c r="DV30" i="91"/>
  <c r="DV31" i="91"/>
  <c r="DV32" i="91"/>
  <c r="DV33" i="91"/>
  <c r="DV34" i="91"/>
  <c r="DV35" i="91"/>
  <c r="DV36" i="91"/>
  <c r="DV37" i="91"/>
  <c r="DV38" i="91"/>
  <c r="DV39" i="91"/>
  <c r="DV40" i="91"/>
  <c r="DV42" i="91"/>
  <c r="DV43" i="91"/>
  <c r="DV44" i="91"/>
  <c r="DV45" i="91"/>
  <c r="DV46" i="91"/>
  <c r="DV47" i="91"/>
  <c r="DV48" i="91"/>
  <c r="DV49" i="91"/>
  <c r="DV50" i="91"/>
  <c r="DV52" i="91"/>
  <c r="DV55" i="91" s="1"/>
  <c r="DW12" i="91" s="1"/>
  <c r="DX12" i="91" s="1"/>
  <c r="DU51" i="91"/>
  <c r="DT51" i="91"/>
  <c r="DT53" i="91" s="1"/>
  <c r="DS51" i="91"/>
  <c r="DR51" i="91"/>
  <c r="DR53" i="91" s="1"/>
  <c r="EB23" i="91" l="1"/>
  <c r="EB27" i="91"/>
  <c r="EB31" i="91"/>
  <c r="EB35" i="91"/>
  <c r="EB39" i="91"/>
  <c r="EB43" i="91"/>
  <c r="EB47" i="91"/>
  <c r="EB12" i="91"/>
  <c r="EB16" i="91"/>
  <c r="EB20" i="91"/>
  <c r="EB24" i="91"/>
  <c r="EB28" i="91"/>
  <c r="EB32" i="91"/>
  <c r="EB36" i="91"/>
  <c r="EB40" i="91"/>
  <c r="EB44" i="91"/>
  <c r="EB9" i="91"/>
  <c r="EB13" i="91"/>
  <c r="EB17" i="91"/>
  <c r="EB21" i="91"/>
  <c r="EB48" i="91"/>
  <c r="EB25" i="91"/>
  <c r="EB29" i="91"/>
  <c r="EB33" i="91"/>
  <c r="EB37" i="91"/>
  <c r="EB41" i="91"/>
  <c r="EB45" i="91"/>
  <c r="EB10" i="91"/>
  <c r="EB14" i="91"/>
  <c r="EB18" i="91"/>
  <c r="EB22" i="91"/>
  <c r="EB30" i="91"/>
  <c r="EB46" i="91"/>
  <c r="EB8" i="91"/>
  <c r="EB42" i="91"/>
  <c r="EB34" i="91"/>
  <c r="EB11" i="91"/>
  <c r="EB19" i="91"/>
  <c r="EB49" i="91"/>
  <c r="EB38" i="91"/>
  <c r="EB15" i="91"/>
  <c r="EB26" i="91"/>
  <c r="EC28" i="91"/>
  <c r="EC32" i="91"/>
  <c r="EC36" i="91"/>
  <c r="EC40" i="91"/>
  <c r="EC44" i="91"/>
  <c r="EC48" i="91"/>
  <c r="EC11" i="91"/>
  <c r="EC15" i="91"/>
  <c r="EC19" i="91"/>
  <c r="EC23" i="91"/>
  <c r="EC27" i="91"/>
  <c r="EC31" i="91"/>
  <c r="EC47" i="91"/>
  <c r="EC18" i="91"/>
  <c r="EC29" i="91"/>
  <c r="EC33" i="91"/>
  <c r="EC37" i="91"/>
  <c r="EC41" i="91"/>
  <c r="EC45" i="91"/>
  <c r="EC49" i="91"/>
  <c r="EC12" i="91"/>
  <c r="EC16" i="91"/>
  <c r="EC20" i="91"/>
  <c r="EC24" i="91"/>
  <c r="EC8" i="91"/>
  <c r="EC39" i="91"/>
  <c r="EC14" i="91"/>
  <c r="EC30" i="91"/>
  <c r="EC34" i="91"/>
  <c r="EC38" i="91"/>
  <c r="EC42" i="91"/>
  <c r="EC46" i="91"/>
  <c r="EC9" i="91"/>
  <c r="EC13" i="91"/>
  <c r="EC17" i="91"/>
  <c r="EC21" i="91"/>
  <c r="EC25" i="91"/>
  <c r="EC35" i="91"/>
  <c r="EC43" i="91"/>
  <c r="EC10" i="91"/>
  <c r="EC22" i="91"/>
  <c r="EC26" i="91"/>
  <c r="DS53" i="91"/>
  <c r="EA9" i="91"/>
  <c r="EA13" i="91"/>
  <c r="EA17" i="91"/>
  <c r="EA21" i="91"/>
  <c r="EA25" i="91"/>
  <c r="EA29" i="91"/>
  <c r="EA33" i="91"/>
  <c r="EA37" i="91"/>
  <c r="EA41" i="91"/>
  <c r="EA45" i="91"/>
  <c r="EA49" i="91"/>
  <c r="EA10" i="91"/>
  <c r="EA14" i="91"/>
  <c r="EA18" i="91"/>
  <c r="EA22" i="91"/>
  <c r="EA26" i="91"/>
  <c r="EA30" i="91"/>
  <c r="EA34" i="91"/>
  <c r="EA38" i="91"/>
  <c r="EA42" i="91"/>
  <c r="EA46" i="91"/>
  <c r="EA8" i="91"/>
  <c r="EA11" i="91"/>
  <c r="EA15" i="91"/>
  <c r="EA19" i="91"/>
  <c r="EA23" i="91"/>
  <c r="EA27" i="91"/>
  <c r="EA31" i="91"/>
  <c r="EA35" i="91"/>
  <c r="EA39" i="91"/>
  <c r="EA43" i="91"/>
  <c r="EA47" i="91"/>
  <c r="EA24" i="91"/>
  <c r="EA40" i="91"/>
  <c r="EA20" i="91"/>
  <c r="EA12" i="91"/>
  <c r="EA28" i="91"/>
  <c r="EA44" i="91"/>
  <c r="EA16" i="91"/>
  <c r="EA32" i="91"/>
  <c r="EA48" i="91"/>
  <c r="EA36" i="91"/>
  <c r="DG45" i="54"/>
  <c r="DG21" i="54"/>
  <c r="DG50" i="54"/>
  <c r="DG42" i="54"/>
  <c r="DG34" i="54"/>
  <c r="DG26" i="54"/>
  <c r="DG18" i="54"/>
  <c r="DG10" i="54"/>
  <c r="DG29" i="54"/>
  <c r="DG49" i="54"/>
  <c r="DG41" i="54"/>
  <c r="DG33" i="54"/>
  <c r="DG25" i="54"/>
  <c r="DG17" i="54"/>
  <c r="DG9" i="54"/>
  <c r="DG37" i="54"/>
  <c r="DG13" i="54"/>
  <c r="DG46" i="54"/>
  <c r="DG38" i="54"/>
  <c r="DG30" i="54"/>
  <c r="DG22" i="54"/>
  <c r="DG14" i="54"/>
  <c r="DU53" i="91"/>
  <c r="EB50" i="91"/>
  <c r="DG48" i="54"/>
  <c r="DG44" i="54"/>
  <c r="DG40" i="54"/>
  <c r="DG36" i="54"/>
  <c r="DG32" i="54"/>
  <c r="DG28" i="54"/>
  <c r="DG24" i="54"/>
  <c r="DG20" i="54"/>
  <c r="DG16" i="54"/>
  <c r="DG12" i="54"/>
  <c r="DY53" i="91"/>
  <c r="DV51" i="91"/>
  <c r="DV53" i="91" s="1"/>
  <c r="EA50" i="91"/>
  <c r="EC50" i="91"/>
  <c r="DG8" i="54"/>
  <c r="DG47" i="54"/>
  <c r="DG43" i="54"/>
  <c r="DG39" i="54"/>
  <c r="DG35" i="54"/>
  <c r="DG31" i="54"/>
  <c r="DG27" i="54"/>
  <c r="DG23" i="54"/>
  <c r="DG19" i="54"/>
  <c r="DG15" i="54"/>
  <c r="DZ33" i="91"/>
  <c r="DZ49" i="91"/>
  <c r="DZ17" i="91"/>
  <c r="DZ41" i="91"/>
  <c r="DZ15" i="91"/>
  <c r="DZ25" i="91"/>
  <c r="DZ10" i="91"/>
  <c r="DZ44" i="91"/>
  <c r="DZ36" i="91"/>
  <c r="DZ28" i="91"/>
  <c r="DZ20" i="91"/>
  <c r="DZ11" i="91"/>
  <c r="DZ45" i="91"/>
  <c r="DZ37" i="91"/>
  <c r="DZ29" i="91"/>
  <c r="DZ21" i="91"/>
  <c r="DZ14" i="91"/>
  <c r="DZ48" i="91"/>
  <c r="DZ40" i="91"/>
  <c r="DZ32" i="91"/>
  <c r="DZ24" i="91"/>
  <c r="DZ16" i="91"/>
  <c r="DZ8" i="91"/>
  <c r="DZ12" i="91"/>
  <c r="DZ50" i="91"/>
  <c r="DZ46" i="91"/>
  <c r="DZ42" i="91"/>
  <c r="DZ38" i="91"/>
  <c r="DZ34" i="91"/>
  <c r="DZ30" i="91"/>
  <c r="DZ26" i="91"/>
  <c r="DZ22" i="91"/>
  <c r="DZ18" i="91"/>
  <c r="DZ13" i="91"/>
  <c r="DZ9" i="91"/>
  <c r="DZ47" i="91"/>
  <c r="DZ43" i="91"/>
  <c r="DZ39" i="91"/>
  <c r="DZ35" i="91"/>
  <c r="DZ31" i="91"/>
  <c r="DZ27" i="91"/>
  <c r="DZ23" i="91"/>
  <c r="DF30" i="54"/>
  <c r="DF14" i="54"/>
  <c r="DF39" i="54"/>
  <c r="DF23" i="54"/>
  <c r="DF8" i="54"/>
  <c r="DF43" i="54"/>
  <c r="DF35" i="54"/>
  <c r="DF27" i="54"/>
  <c r="DF19" i="54"/>
  <c r="DF11" i="54"/>
  <c r="DF46" i="54"/>
  <c r="DF38" i="54"/>
  <c r="DF22" i="54"/>
  <c r="DF47" i="54"/>
  <c r="DF31" i="54"/>
  <c r="DF15" i="54"/>
  <c r="DF50" i="54"/>
  <c r="DF42" i="54"/>
  <c r="DF34" i="54"/>
  <c r="DF26" i="54"/>
  <c r="DF18" i="54"/>
  <c r="DF10" i="54"/>
  <c r="DF49" i="54"/>
  <c r="DF45" i="54"/>
  <c r="DF41" i="54"/>
  <c r="DF37" i="54"/>
  <c r="DF33" i="54"/>
  <c r="DF29" i="54"/>
  <c r="DF25" i="54"/>
  <c r="DF21" i="54"/>
  <c r="DF17" i="54"/>
  <c r="DF13" i="54"/>
  <c r="DF9" i="54"/>
  <c r="DF48" i="54"/>
  <c r="DF44" i="54"/>
  <c r="DF40" i="54"/>
  <c r="DF36" i="54"/>
  <c r="DF32" i="54"/>
  <c r="DF28" i="54"/>
  <c r="DF24" i="54"/>
  <c r="DF20" i="54"/>
  <c r="DF16" i="54"/>
  <c r="DW50" i="91"/>
  <c r="DX50" i="91" s="1"/>
  <c r="DW46" i="91"/>
  <c r="DX46" i="91" s="1"/>
  <c r="DW42" i="91"/>
  <c r="DX42" i="91" s="1"/>
  <c r="DW38" i="91"/>
  <c r="DX38" i="91" s="1"/>
  <c r="DW34" i="91"/>
  <c r="DX34" i="91" s="1"/>
  <c r="DW30" i="91"/>
  <c r="DX30" i="91" s="1"/>
  <c r="DW26" i="91"/>
  <c r="DX26" i="91" s="1"/>
  <c r="DW22" i="91"/>
  <c r="DX22" i="91" s="1"/>
  <c r="DW18" i="91"/>
  <c r="DX18" i="91" s="1"/>
  <c r="DW14" i="91"/>
  <c r="DX14" i="91" s="1"/>
  <c r="DW10" i="91"/>
  <c r="DX10" i="91" s="1"/>
  <c r="DW49" i="91"/>
  <c r="DX49" i="91" s="1"/>
  <c r="DW45" i="91"/>
  <c r="DX45" i="91" s="1"/>
  <c r="DW41" i="91"/>
  <c r="DX41" i="91" s="1"/>
  <c r="DW37" i="91"/>
  <c r="DX37" i="91" s="1"/>
  <c r="DW33" i="91"/>
  <c r="DX33" i="91" s="1"/>
  <c r="DW29" i="91"/>
  <c r="DX29" i="91" s="1"/>
  <c r="DW25" i="91"/>
  <c r="DX25" i="91" s="1"/>
  <c r="DW21" i="91"/>
  <c r="DX21" i="91" s="1"/>
  <c r="DW17" i="91"/>
  <c r="DX17" i="91" s="1"/>
  <c r="DW13" i="91"/>
  <c r="DX13" i="91" s="1"/>
  <c r="DW9" i="91"/>
  <c r="DX9" i="91" s="1"/>
  <c r="DW8" i="91"/>
  <c r="DW47" i="91"/>
  <c r="DX47" i="91" s="1"/>
  <c r="DW43" i="91"/>
  <c r="DX43" i="91" s="1"/>
  <c r="DW39" i="91"/>
  <c r="DX39" i="91" s="1"/>
  <c r="DW35" i="91"/>
  <c r="DX35" i="91" s="1"/>
  <c r="DW31" i="91"/>
  <c r="DX31" i="91" s="1"/>
  <c r="DW27" i="91"/>
  <c r="DX27" i="91" s="1"/>
  <c r="DW23" i="91"/>
  <c r="DX23" i="91" s="1"/>
  <c r="DW19" i="91"/>
  <c r="DX19" i="91" s="1"/>
  <c r="DW15" i="91"/>
  <c r="DX15" i="91" s="1"/>
  <c r="DW11" i="91"/>
  <c r="DX11" i="91" s="1"/>
  <c r="DW48" i="91"/>
  <c r="DX48" i="91" s="1"/>
  <c r="DW44" i="91"/>
  <c r="DX44" i="91" s="1"/>
  <c r="DW40" i="91"/>
  <c r="DX40" i="91" s="1"/>
  <c r="DW36" i="91"/>
  <c r="DX36" i="91" s="1"/>
  <c r="DW32" i="91"/>
  <c r="DX32" i="91" s="1"/>
  <c r="DW28" i="91"/>
  <c r="DX28" i="91" s="1"/>
  <c r="DW24" i="91"/>
  <c r="DX24" i="91" s="1"/>
  <c r="DW20" i="91"/>
  <c r="DX20" i="91" s="1"/>
  <c r="DW16" i="91"/>
  <c r="DX16" i="91" s="1"/>
  <c r="DG52" i="54" l="1"/>
  <c r="DZ51" i="91"/>
  <c r="DZ53" i="91" s="1"/>
  <c r="DF52" i="54"/>
  <c r="DW51" i="91"/>
  <c r="DW53" i="91" s="1"/>
  <c r="DX8" i="91"/>
  <c r="DX51" i="91" s="1"/>
  <c r="DX53" i="91" s="1"/>
  <c r="AG48" i="1" l="1"/>
  <c r="AG41" i="1"/>
  <c r="AG56" i="1" l="1"/>
  <c r="AG82" i="1"/>
  <c r="AG58" i="1" l="1"/>
  <c r="AG94" i="1"/>
  <c r="AG93" i="1"/>
  <c r="BR48" i="79"/>
  <c r="BQ33" i="79"/>
  <c r="BQ32" i="79"/>
  <c r="BQ31" i="79"/>
  <c r="BQ30" i="79"/>
  <c r="BQ26" i="79"/>
  <c r="BQ27" i="79"/>
  <c r="BQ28" i="79"/>
  <c r="BQ29" i="79"/>
  <c r="BR31" i="79" l="1"/>
  <c r="BQ9" i="79"/>
  <c r="BQ11" i="79"/>
  <c r="BR11" i="79" s="1"/>
  <c r="BQ12" i="79"/>
  <c r="BQ13" i="79"/>
  <c r="BQ15" i="79"/>
  <c r="BQ16" i="79"/>
  <c r="BQ17" i="79"/>
  <c r="BQ18" i="79"/>
  <c r="BQ19" i="79"/>
  <c r="BQ20" i="79"/>
  <c r="BQ21" i="79"/>
  <c r="BQ22" i="79"/>
  <c r="BQ23" i="79"/>
  <c r="BQ24" i="79"/>
  <c r="BQ25" i="79"/>
  <c r="BQ7" i="79"/>
  <c r="BQ8" i="79"/>
  <c r="AG12" i="1"/>
  <c r="AG27" i="1" l="1"/>
  <c r="BR23" i="79"/>
  <c r="BR19" i="79"/>
  <c r="AG92" i="1"/>
  <c r="AG98" i="1" l="1"/>
  <c r="AG96" i="1"/>
  <c r="AF13" i="11"/>
  <c r="AF17" i="11" s="1"/>
  <c r="CF28" i="81"/>
  <c r="CE28" i="81"/>
  <c r="CG21" i="81"/>
  <c r="CG22" i="81"/>
  <c r="CG23" i="81"/>
  <c r="CG24" i="81"/>
  <c r="CG25" i="81"/>
  <c r="CG26" i="81"/>
  <c r="CG27" i="81"/>
  <c r="CB28" i="81"/>
  <c r="CB29" i="81"/>
  <c r="CB30" i="81"/>
  <c r="CB31" i="81"/>
  <c r="CB32" i="81"/>
  <c r="CB33" i="81"/>
  <c r="CB34" i="81"/>
  <c r="CG20" i="81"/>
  <c r="BH52" i="81"/>
  <c r="BI52" i="81"/>
  <c r="BJ52" i="81"/>
  <c r="BK52" i="81"/>
  <c r="BL52" i="81"/>
  <c r="BM52" i="81"/>
  <c r="BN52" i="81"/>
  <c r="BO52" i="81"/>
  <c r="BP52" i="81"/>
  <c r="BQ52" i="81"/>
  <c r="BR52" i="81"/>
  <c r="BS52" i="81"/>
  <c r="BT52" i="81"/>
  <c r="BU52" i="81"/>
  <c r="BV52" i="81"/>
  <c r="BH20" i="81"/>
  <c r="BI20" i="81"/>
  <c r="BJ20" i="81"/>
  <c r="BK20" i="81"/>
  <c r="BL20" i="81"/>
  <c r="BM20" i="81"/>
  <c r="BN20" i="81"/>
  <c r="BO20" i="81"/>
  <c r="BP20" i="81"/>
  <c r="BQ20" i="81"/>
  <c r="BR20" i="81"/>
  <c r="BS20" i="81"/>
  <c r="BT20" i="81"/>
  <c r="BU20" i="81"/>
  <c r="BV20" i="81"/>
  <c r="BH21" i="81"/>
  <c r="BI21" i="81"/>
  <c r="BJ21" i="81"/>
  <c r="BK21" i="81"/>
  <c r="BL21" i="81"/>
  <c r="BM21" i="81"/>
  <c r="BN21" i="81"/>
  <c r="BO21" i="81"/>
  <c r="BP21" i="81"/>
  <c r="BQ21" i="81"/>
  <c r="BR21" i="81"/>
  <c r="BS21" i="81"/>
  <c r="BT21" i="81"/>
  <c r="BU21" i="81"/>
  <c r="BV21" i="81"/>
  <c r="BH22" i="81"/>
  <c r="BI22" i="81"/>
  <c r="BJ22" i="81"/>
  <c r="BK22" i="81"/>
  <c r="BL22" i="81"/>
  <c r="BM22" i="81"/>
  <c r="BN22" i="81"/>
  <c r="BO22" i="81"/>
  <c r="BP22" i="81"/>
  <c r="BQ22" i="81"/>
  <c r="BR22" i="81"/>
  <c r="BS22" i="81"/>
  <c r="BT22" i="81"/>
  <c r="BU22" i="81"/>
  <c r="BV22" i="81"/>
  <c r="BH23" i="81"/>
  <c r="BI23" i="81"/>
  <c r="BJ23" i="81"/>
  <c r="BK23" i="81"/>
  <c r="BL23" i="81"/>
  <c r="BM23" i="81"/>
  <c r="BN23" i="81"/>
  <c r="BO23" i="81"/>
  <c r="BP23" i="81"/>
  <c r="BQ23" i="81"/>
  <c r="BR23" i="81"/>
  <c r="BS23" i="81"/>
  <c r="BT23" i="81"/>
  <c r="BU23" i="81"/>
  <c r="BV23" i="81"/>
  <c r="BH24" i="81"/>
  <c r="BI24" i="81"/>
  <c r="BJ24" i="81"/>
  <c r="BK24" i="81"/>
  <c r="BL24" i="81"/>
  <c r="BM24" i="81"/>
  <c r="BN24" i="81"/>
  <c r="BO24" i="81"/>
  <c r="BP24" i="81"/>
  <c r="BQ24" i="81"/>
  <c r="BR24" i="81"/>
  <c r="BS24" i="81"/>
  <c r="BT24" i="81"/>
  <c r="BU24" i="81"/>
  <c r="BV24" i="81"/>
  <c r="BH25" i="81"/>
  <c r="BI25" i="81"/>
  <c r="BJ25" i="81"/>
  <c r="BK25" i="81"/>
  <c r="BL25" i="81"/>
  <c r="BM25" i="81"/>
  <c r="BN25" i="81"/>
  <c r="BO25" i="81"/>
  <c r="BP25" i="81"/>
  <c r="BQ25" i="81"/>
  <c r="BR25" i="81"/>
  <c r="BS25" i="81"/>
  <c r="BT25" i="81"/>
  <c r="BU25" i="81"/>
  <c r="BV25" i="81"/>
  <c r="BH26" i="81"/>
  <c r="BI26" i="81"/>
  <c r="BJ26" i="81"/>
  <c r="BK26" i="81"/>
  <c r="BL26" i="81"/>
  <c r="BM26" i="81"/>
  <c r="BN26" i="81"/>
  <c r="BO26" i="81"/>
  <c r="BP26" i="81"/>
  <c r="BQ26" i="81"/>
  <c r="BR26" i="81"/>
  <c r="BS26" i="81"/>
  <c r="BT26" i="81"/>
  <c r="BU26" i="81"/>
  <c r="BV26" i="81"/>
  <c r="BH27" i="81"/>
  <c r="BI27" i="81"/>
  <c r="BJ27" i="81"/>
  <c r="BK27" i="81"/>
  <c r="BL27" i="81"/>
  <c r="BM27" i="81"/>
  <c r="BN27" i="81"/>
  <c r="BO27" i="81"/>
  <c r="BP27" i="81"/>
  <c r="BQ27" i="81"/>
  <c r="BR27" i="81"/>
  <c r="BS27" i="81"/>
  <c r="BT27" i="81"/>
  <c r="BU27" i="81"/>
  <c r="BV27" i="81"/>
  <c r="BH28" i="81"/>
  <c r="BI28" i="81"/>
  <c r="BJ28" i="81"/>
  <c r="BK28" i="81"/>
  <c r="BL28" i="81"/>
  <c r="BM28" i="81"/>
  <c r="BN28" i="81"/>
  <c r="BO28" i="81"/>
  <c r="BP28" i="81"/>
  <c r="BQ28" i="81"/>
  <c r="BR28" i="81"/>
  <c r="BS28" i="81"/>
  <c r="BT28" i="81"/>
  <c r="BU28" i="81"/>
  <c r="BV28" i="81"/>
  <c r="BH29" i="81"/>
  <c r="BI29" i="81"/>
  <c r="BJ29" i="81"/>
  <c r="BK29" i="81"/>
  <c r="BL29" i="81"/>
  <c r="BM29" i="81"/>
  <c r="BN29" i="81"/>
  <c r="BO29" i="81"/>
  <c r="BP29" i="81"/>
  <c r="BQ29" i="81"/>
  <c r="BR29" i="81"/>
  <c r="BS29" i="81"/>
  <c r="BT29" i="81"/>
  <c r="BU29" i="81"/>
  <c r="BV29" i="81"/>
  <c r="BH30" i="81"/>
  <c r="BI30" i="81"/>
  <c r="BJ30" i="81"/>
  <c r="BK30" i="81"/>
  <c r="BL30" i="81"/>
  <c r="BM30" i="81"/>
  <c r="BN30" i="81"/>
  <c r="BO30" i="81"/>
  <c r="BP30" i="81"/>
  <c r="BQ30" i="81"/>
  <c r="BR30" i="81"/>
  <c r="BS30" i="81"/>
  <c r="BT30" i="81"/>
  <c r="BU30" i="81"/>
  <c r="BV30" i="81"/>
  <c r="BH31" i="81"/>
  <c r="BI31" i="81"/>
  <c r="BJ31" i="81"/>
  <c r="BK31" i="81"/>
  <c r="BL31" i="81"/>
  <c r="BM31" i="81"/>
  <c r="BN31" i="81"/>
  <c r="BO31" i="81"/>
  <c r="BP31" i="81"/>
  <c r="BQ31" i="81"/>
  <c r="BR31" i="81"/>
  <c r="BS31" i="81"/>
  <c r="BT31" i="81"/>
  <c r="BU31" i="81"/>
  <c r="BV31" i="81"/>
  <c r="BH32" i="81"/>
  <c r="BI32" i="81"/>
  <c r="BJ32" i="81"/>
  <c r="BK32" i="81"/>
  <c r="BL32" i="81"/>
  <c r="BM32" i="81"/>
  <c r="BN32" i="81"/>
  <c r="BO32" i="81"/>
  <c r="BP32" i="81"/>
  <c r="BQ32" i="81"/>
  <c r="BR32" i="81"/>
  <c r="BS32" i="81"/>
  <c r="BT32" i="81"/>
  <c r="BU32" i="81"/>
  <c r="BV32" i="81"/>
  <c r="BH33" i="81"/>
  <c r="BI33" i="81"/>
  <c r="BJ33" i="81"/>
  <c r="BK33" i="81"/>
  <c r="BL33" i="81"/>
  <c r="BM33" i="81"/>
  <c r="BN33" i="81"/>
  <c r="BO33" i="81"/>
  <c r="BP33" i="81"/>
  <c r="BQ33" i="81"/>
  <c r="BR33" i="81"/>
  <c r="BS33" i="81"/>
  <c r="BT33" i="81"/>
  <c r="BU33" i="81"/>
  <c r="BV33" i="81"/>
  <c r="BH34" i="81"/>
  <c r="BI34" i="81"/>
  <c r="BJ34" i="81"/>
  <c r="BK34" i="81"/>
  <c r="BL34" i="81"/>
  <c r="BM34" i="81"/>
  <c r="BN34" i="81"/>
  <c r="BO34" i="81"/>
  <c r="BP34" i="81"/>
  <c r="BQ34" i="81"/>
  <c r="BR34" i="81"/>
  <c r="BS34" i="81"/>
  <c r="BT34" i="81"/>
  <c r="BU34" i="81"/>
  <c r="BV34" i="81"/>
  <c r="BH35" i="81"/>
  <c r="BI35" i="81"/>
  <c r="BJ35" i="81"/>
  <c r="BK35" i="81"/>
  <c r="BL35" i="81"/>
  <c r="BM35" i="81"/>
  <c r="BN35" i="81"/>
  <c r="BO35" i="81"/>
  <c r="BP35" i="81"/>
  <c r="BQ35" i="81"/>
  <c r="BR35" i="81"/>
  <c r="BS35" i="81"/>
  <c r="BT35" i="81"/>
  <c r="BU35" i="81"/>
  <c r="BV35" i="81"/>
  <c r="BH36" i="81"/>
  <c r="BI36" i="81"/>
  <c r="BJ36" i="81"/>
  <c r="BK36" i="81"/>
  <c r="BL36" i="81"/>
  <c r="BM36" i="81"/>
  <c r="BN36" i="81"/>
  <c r="BO36" i="81"/>
  <c r="BP36" i="81"/>
  <c r="BQ36" i="81"/>
  <c r="BR36" i="81"/>
  <c r="BS36" i="81"/>
  <c r="BT36" i="81"/>
  <c r="BU36" i="81"/>
  <c r="BV36" i="81"/>
  <c r="BH37" i="81"/>
  <c r="BI37" i="81"/>
  <c r="BJ37" i="81"/>
  <c r="BK37" i="81"/>
  <c r="BL37" i="81"/>
  <c r="BM37" i="81"/>
  <c r="BN37" i="81"/>
  <c r="BO37" i="81"/>
  <c r="BP37" i="81"/>
  <c r="BQ37" i="81"/>
  <c r="BR37" i="81"/>
  <c r="BS37" i="81"/>
  <c r="BT37" i="81"/>
  <c r="BU37" i="81"/>
  <c r="BV37" i="81"/>
  <c r="BH38" i="81"/>
  <c r="BI38" i="81"/>
  <c r="BJ38" i="81"/>
  <c r="BK38" i="81"/>
  <c r="BL38" i="81"/>
  <c r="BM38" i="81"/>
  <c r="BN38" i="81"/>
  <c r="BO38" i="81"/>
  <c r="BP38" i="81"/>
  <c r="BQ38" i="81"/>
  <c r="BR38" i="81"/>
  <c r="BS38" i="81"/>
  <c r="BT38" i="81"/>
  <c r="BU38" i="81"/>
  <c r="BV38" i="81"/>
  <c r="BH39" i="81"/>
  <c r="BI39" i="81"/>
  <c r="BJ39" i="81"/>
  <c r="BK39" i="81"/>
  <c r="BL39" i="81"/>
  <c r="BM39" i="81"/>
  <c r="BN39" i="81"/>
  <c r="BO39" i="81"/>
  <c r="BP39" i="81"/>
  <c r="BQ39" i="81"/>
  <c r="BR39" i="81"/>
  <c r="BS39" i="81"/>
  <c r="BT39" i="81"/>
  <c r="BU39" i="81"/>
  <c r="BV39" i="81"/>
  <c r="BH40" i="81"/>
  <c r="BI40" i="81"/>
  <c r="BJ40" i="81"/>
  <c r="BK40" i="81"/>
  <c r="BL40" i="81"/>
  <c r="BM40" i="81"/>
  <c r="BN40" i="81"/>
  <c r="BO40" i="81"/>
  <c r="BP40" i="81"/>
  <c r="BQ40" i="81"/>
  <c r="BR40" i="81"/>
  <c r="BS40" i="81"/>
  <c r="BT40" i="81"/>
  <c r="BU40" i="81"/>
  <c r="BV40" i="81"/>
  <c r="BH41" i="81"/>
  <c r="BI41" i="81"/>
  <c r="BJ41" i="81"/>
  <c r="BK41" i="81"/>
  <c r="BL41" i="81"/>
  <c r="BM41" i="81"/>
  <c r="BN41" i="81"/>
  <c r="BO41" i="81"/>
  <c r="BP41" i="81"/>
  <c r="BQ41" i="81"/>
  <c r="BR41" i="81"/>
  <c r="BS41" i="81"/>
  <c r="BT41" i="81"/>
  <c r="BU41" i="81"/>
  <c r="BV41" i="81"/>
  <c r="BH42" i="81"/>
  <c r="BI42" i="81"/>
  <c r="BJ42" i="81"/>
  <c r="BK42" i="81"/>
  <c r="BL42" i="81"/>
  <c r="BM42" i="81"/>
  <c r="BN42" i="81"/>
  <c r="BO42" i="81"/>
  <c r="BP42" i="81"/>
  <c r="BQ42" i="81"/>
  <c r="BR42" i="81"/>
  <c r="BS42" i="81"/>
  <c r="BT42" i="81"/>
  <c r="BU42" i="81"/>
  <c r="BV42" i="81"/>
  <c r="BH43" i="81"/>
  <c r="BI43" i="81"/>
  <c r="BJ43" i="81"/>
  <c r="BK43" i="81"/>
  <c r="BL43" i="81"/>
  <c r="BM43" i="81"/>
  <c r="BN43" i="81"/>
  <c r="BO43" i="81"/>
  <c r="BP43" i="81"/>
  <c r="BQ43" i="81"/>
  <c r="BR43" i="81"/>
  <c r="BS43" i="81"/>
  <c r="BT43" i="81"/>
  <c r="BU43" i="81"/>
  <c r="BV43" i="81"/>
  <c r="BH44" i="81"/>
  <c r="BI44" i="81"/>
  <c r="BJ44" i="81"/>
  <c r="BK44" i="81"/>
  <c r="BL44" i="81"/>
  <c r="BM44" i="81"/>
  <c r="BN44" i="81"/>
  <c r="BO44" i="81"/>
  <c r="BP44" i="81"/>
  <c r="BQ44" i="81"/>
  <c r="BR44" i="81"/>
  <c r="BS44" i="81"/>
  <c r="BT44" i="81"/>
  <c r="BU44" i="81"/>
  <c r="BV44" i="81"/>
  <c r="BH45" i="81"/>
  <c r="BI45" i="81"/>
  <c r="BJ45" i="81"/>
  <c r="BK45" i="81"/>
  <c r="BL45" i="81"/>
  <c r="BM45" i="81"/>
  <c r="BN45" i="81"/>
  <c r="BO45" i="81"/>
  <c r="BP45" i="81"/>
  <c r="BQ45" i="81"/>
  <c r="BR45" i="81"/>
  <c r="BS45" i="81"/>
  <c r="BT45" i="81"/>
  <c r="BU45" i="81"/>
  <c r="BV45" i="81"/>
  <c r="BH46" i="81"/>
  <c r="BI46" i="81"/>
  <c r="BJ46" i="81"/>
  <c r="BK46" i="81"/>
  <c r="BL46" i="81"/>
  <c r="BM46" i="81"/>
  <c r="BN46" i="81"/>
  <c r="BO46" i="81"/>
  <c r="BP46" i="81"/>
  <c r="BQ46" i="81"/>
  <c r="BR46" i="81"/>
  <c r="BS46" i="81"/>
  <c r="BT46" i="81"/>
  <c r="BU46" i="81"/>
  <c r="BV46" i="81"/>
  <c r="BH47" i="81"/>
  <c r="BI47" i="81"/>
  <c r="BJ47" i="81"/>
  <c r="BK47" i="81"/>
  <c r="BL47" i="81"/>
  <c r="BM47" i="81"/>
  <c r="BN47" i="81"/>
  <c r="BO47" i="81"/>
  <c r="BP47" i="81"/>
  <c r="BQ47" i="81"/>
  <c r="BR47" i="81"/>
  <c r="BS47" i="81"/>
  <c r="BT47" i="81"/>
  <c r="BU47" i="81"/>
  <c r="BV47" i="81"/>
  <c r="BH48" i="81"/>
  <c r="BI48" i="81"/>
  <c r="BJ48" i="81"/>
  <c r="BK48" i="81"/>
  <c r="BL48" i="81"/>
  <c r="BM48" i="81"/>
  <c r="BN48" i="81"/>
  <c r="BO48" i="81"/>
  <c r="BP48" i="81"/>
  <c r="BQ48" i="81"/>
  <c r="BR48" i="81"/>
  <c r="BS48" i="81"/>
  <c r="BT48" i="81"/>
  <c r="BU48" i="81"/>
  <c r="BV48" i="81"/>
  <c r="BH49" i="81"/>
  <c r="BI49" i="81"/>
  <c r="BJ49" i="81"/>
  <c r="BK49" i="81"/>
  <c r="BL49" i="81"/>
  <c r="BM49" i="81"/>
  <c r="BN49" i="81"/>
  <c r="BO49" i="81"/>
  <c r="BP49" i="81"/>
  <c r="BQ49" i="81"/>
  <c r="BR49" i="81"/>
  <c r="BS49" i="81"/>
  <c r="BT49" i="81"/>
  <c r="BU49" i="81"/>
  <c r="BV49" i="81"/>
  <c r="BH50" i="81"/>
  <c r="BI50" i="81"/>
  <c r="BJ50" i="81"/>
  <c r="BK50" i="81"/>
  <c r="BL50" i="81"/>
  <c r="BM50" i="81"/>
  <c r="BN50" i="81"/>
  <c r="BO50" i="81"/>
  <c r="BP50" i="81"/>
  <c r="BQ50" i="81"/>
  <c r="BR50" i="81"/>
  <c r="BS50" i="81"/>
  <c r="BT50" i="81"/>
  <c r="BU50" i="81"/>
  <c r="BV50" i="81"/>
  <c r="BH51" i="81"/>
  <c r="BI51" i="81"/>
  <c r="BJ51" i="81"/>
  <c r="BK51" i="81"/>
  <c r="BL51" i="81"/>
  <c r="BM51" i="81"/>
  <c r="BN51" i="81"/>
  <c r="BO51" i="81"/>
  <c r="BP51" i="81"/>
  <c r="BQ51" i="81"/>
  <c r="BR51" i="81"/>
  <c r="BS51" i="81"/>
  <c r="BT51" i="81"/>
  <c r="BU51" i="81"/>
  <c r="BV51" i="81"/>
  <c r="BI19" i="81"/>
  <c r="BJ19" i="81"/>
  <c r="BK19" i="81"/>
  <c r="BL19" i="81"/>
  <c r="BM19" i="81"/>
  <c r="BN19" i="81"/>
  <c r="BO19" i="81"/>
  <c r="BP19" i="81"/>
  <c r="BQ19" i="81"/>
  <c r="BR19" i="81"/>
  <c r="BS19" i="81"/>
  <c r="BT19" i="81"/>
  <c r="BU19" i="81"/>
  <c r="BV19" i="81"/>
  <c r="BH19" i="81"/>
  <c r="R25" i="81"/>
  <c r="S25" i="81"/>
  <c r="T25" i="81"/>
  <c r="U25" i="81"/>
  <c r="V25" i="81"/>
  <c r="W25" i="81"/>
  <c r="X25" i="81"/>
  <c r="Y25" i="81"/>
  <c r="Z25" i="81"/>
  <c r="AA25" i="81"/>
  <c r="AB25" i="81"/>
  <c r="S5" i="81"/>
  <c r="T5" i="81"/>
  <c r="U5" i="81"/>
  <c r="V5" i="81"/>
  <c r="W5" i="81"/>
  <c r="X5" i="81"/>
  <c r="Y5" i="81"/>
  <c r="Z5" i="81"/>
  <c r="AA5" i="81"/>
  <c r="AB5" i="81"/>
  <c r="S6" i="81"/>
  <c r="T6" i="81"/>
  <c r="U6" i="81"/>
  <c r="V6" i="81"/>
  <c r="W6" i="81"/>
  <c r="X6" i="81"/>
  <c r="Y6" i="81"/>
  <c r="Z6" i="81"/>
  <c r="AA6" i="81"/>
  <c r="AB6" i="81"/>
  <c r="S7" i="81"/>
  <c r="T7" i="81"/>
  <c r="U7" i="81"/>
  <c r="V7" i="81"/>
  <c r="W7" i="81"/>
  <c r="X7" i="81"/>
  <c r="Y7" i="81"/>
  <c r="Z7" i="81"/>
  <c r="AA7" i="81"/>
  <c r="AB7" i="81"/>
  <c r="S8" i="81"/>
  <c r="T8" i="81"/>
  <c r="U8" i="81"/>
  <c r="V8" i="81"/>
  <c r="W8" i="81"/>
  <c r="X8" i="81"/>
  <c r="Y8" i="81"/>
  <c r="Z8" i="81"/>
  <c r="AA8" i="81"/>
  <c r="AB8" i="81"/>
  <c r="S9" i="81"/>
  <c r="T9" i="81"/>
  <c r="U9" i="81"/>
  <c r="V9" i="81"/>
  <c r="W9" i="81"/>
  <c r="X9" i="81"/>
  <c r="Y9" i="81"/>
  <c r="Z9" i="81"/>
  <c r="AA9" i="81"/>
  <c r="AB9" i="81"/>
  <c r="S10" i="81"/>
  <c r="T10" i="81"/>
  <c r="U10" i="81"/>
  <c r="V10" i="81"/>
  <c r="W10" i="81"/>
  <c r="X10" i="81"/>
  <c r="Y10" i="81"/>
  <c r="Z10" i="81"/>
  <c r="AA10" i="81"/>
  <c r="AB10" i="81"/>
  <c r="S11" i="81"/>
  <c r="T11" i="81"/>
  <c r="U11" i="81"/>
  <c r="V11" i="81"/>
  <c r="W11" i="81"/>
  <c r="X11" i="81"/>
  <c r="Y11" i="81"/>
  <c r="Z11" i="81"/>
  <c r="AA11" i="81"/>
  <c r="AB11" i="81"/>
  <c r="S12" i="81"/>
  <c r="T12" i="81"/>
  <c r="U12" i="81"/>
  <c r="V12" i="81"/>
  <c r="W12" i="81"/>
  <c r="X12" i="81"/>
  <c r="Y12" i="81"/>
  <c r="Z12" i="81"/>
  <c r="AA12" i="81"/>
  <c r="AB12" i="81"/>
  <c r="S13" i="81"/>
  <c r="T13" i="81"/>
  <c r="U13" i="81"/>
  <c r="V13" i="81"/>
  <c r="W13" i="81"/>
  <c r="X13" i="81"/>
  <c r="Y13" i="81"/>
  <c r="Z13" i="81"/>
  <c r="AA13" i="81"/>
  <c r="AB13" i="81"/>
  <c r="T14" i="81"/>
  <c r="U14" i="81"/>
  <c r="V14" i="81"/>
  <c r="W14" i="81"/>
  <c r="X14" i="81"/>
  <c r="Y14" i="81"/>
  <c r="Z14" i="81"/>
  <c r="AA14" i="81"/>
  <c r="AB14" i="81"/>
  <c r="S15" i="81"/>
  <c r="T15" i="81"/>
  <c r="U15" i="81"/>
  <c r="V15" i="81"/>
  <c r="W15" i="81"/>
  <c r="X15" i="81"/>
  <c r="Y15" i="81"/>
  <c r="Z15" i="81"/>
  <c r="AA15" i="81"/>
  <c r="AB15" i="81"/>
  <c r="S16" i="81"/>
  <c r="T16" i="81"/>
  <c r="U16" i="81"/>
  <c r="V16" i="81"/>
  <c r="W16" i="81"/>
  <c r="X16" i="81"/>
  <c r="Y16" i="81"/>
  <c r="Z16" i="81"/>
  <c r="AA16" i="81"/>
  <c r="AB16" i="81"/>
  <c r="S17" i="81"/>
  <c r="T17" i="81"/>
  <c r="U17" i="81"/>
  <c r="V17" i="81"/>
  <c r="W17" i="81"/>
  <c r="X17" i="81"/>
  <c r="Y17" i="81"/>
  <c r="Z17" i="81"/>
  <c r="AA17" i="81"/>
  <c r="AB17" i="81"/>
  <c r="S18" i="81"/>
  <c r="T18" i="81"/>
  <c r="U18" i="81"/>
  <c r="V18" i="81"/>
  <c r="W18" i="81"/>
  <c r="X18" i="81"/>
  <c r="Y18" i="81"/>
  <c r="Z18" i="81"/>
  <c r="AA18" i="81"/>
  <c r="AB18" i="81"/>
  <c r="S19" i="81"/>
  <c r="T19" i="81"/>
  <c r="U19" i="81"/>
  <c r="V19" i="81"/>
  <c r="W19" i="81"/>
  <c r="X19" i="81"/>
  <c r="Y19" i="81"/>
  <c r="Z19" i="81"/>
  <c r="AA19" i="81"/>
  <c r="AB19" i="81"/>
  <c r="S20" i="81"/>
  <c r="T20" i="81"/>
  <c r="U20" i="81"/>
  <c r="V20" i="81"/>
  <c r="W20" i="81"/>
  <c r="X20" i="81"/>
  <c r="Y20" i="81"/>
  <c r="Z20" i="81"/>
  <c r="AA20" i="81"/>
  <c r="AB20" i="81"/>
  <c r="S21" i="81"/>
  <c r="T21" i="81"/>
  <c r="U21" i="81"/>
  <c r="V21" i="81"/>
  <c r="W21" i="81"/>
  <c r="X21" i="81"/>
  <c r="Y21" i="81"/>
  <c r="Z21" i="81"/>
  <c r="AA21" i="81"/>
  <c r="AB21" i="81"/>
  <c r="S22" i="81"/>
  <c r="T22" i="81"/>
  <c r="U22" i="81"/>
  <c r="V22" i="81"/>
  <c r="W22" i="81"/>
  <c r="X22" i="81"/>
  <c r="Y22" i="81"/>
  <c r="Z22" i="81"/>
  <c r="AA22" i="81"/>
  <c r="AB22" i="81"/>
  <c r="S23" i="81"/>
  <c r="T23" i="81"/>
  <c r="U23" i="81"/>
  <c r="V23" i="81"/>
  <c r="W23" i="81"/>
  <c r="X23" i="81"/>
  <c r="Y23" i="81"/>
  <c r="Z23" i="81"/>
  <c r="AA23" i="81"/>
  <c r="AB23" i="81"/>
  <c r="S24" i="81"/>
  <c r="T24" i="81"/>
  <c r="U24" i="81"/>
  <c r="V24" i="81"/>
  <c r="W24" i="81"/>
  <c r="X24" i="81"/>
  <c r="Y24" i="81"/>
  <c r="Z24" i="81"/>
  <c r="AA24" i="81"/>
  <c r="AB24" i="81"/>
  <c r="R6" i="81"/>
  <c r="R7" i="81"/>
  <c r="R8" i="81"/>
  <c r="R9" i="81"/>
  <c r="R10" i="81"/>
  <c r="R11" i="81"/>
  <c r="R12" i="81"/>
  <c r="R13" i="81"/>
  <c r="R14" i="81"/>
  <c r="R15" i="81"/>
  <c r="R16" i="81"/>
  <c r="R17" i="81"/>
  <c r="R18" i="81"/>
  <c r="R19" i="81"/>
  <c r="R20" i="81"/>
  <c r="R21" i="81"/>
  <c r="R22" i="81"/>
  <c r="R23" i="81"/>
  <c r="R24" i="81"/>
  <c r="R5" i="81"/>
  <c r="R26" i="81"/>
  <c r="S26" i="81"/>
  <c r="T26" i="81"/>
  <c r="U26" i="81"/>
  <c r="V26" i="81"/>
  <c r="W26" i="81"/>
  <c r="X26" i="81"/>
  <c r="Y26" i="81"/>
  <c r="Z26" i="81"/>
  <c r="AA26" i="81"/>
  <c r="AB26" i="81"/>
  <c r="R27" i="81"/>
  <c r="S27" i="81"/>
  <c r="T27" i="81"/>
  <c r="U27" i="81"/>
  <c r="V27" i="81"/>
  <c r="W27" i="81"/>
  <c r="X27" i="81"/>
  <c r="Y27" i="81"/>
  <c r="Z27" i="81"/>
  <c r="AA27" i="81"/>
  <c r="AB27" i="81"/>
  <c r="R28" i="81"/>
  <c r="S28" i="81"/>
  <c r="T28" i="81"/>
  <c r="U28" i="81"/>
  <c r="V28" i="81"/>
  <c r="W28" i="81"/>
  <c r="X28" i="81"/>
  <c r="Y28" i="81"/>
  <c r="Z28" i="81"/>
  <c r="AA28" i="81"/>
  <c r="AB28" i="81"/>
  <c r="R29" i="81"/>
  <c r="S29" i="81"/>
  <c r="T29" i="81"/>
  <c r="U29" i="81"/>
  <c r="V29" i="81"/>
  <c r="W29" i="81"/>
  <c r="X29" i="81"/>
  <c r="Y29" i="81"/>
  <c r="Z29" i="81"/>
  <c r="AA29" i="81"/>
  <c r="AB29" i="81"/>
  <c r="R30" i="81"/>
  <c r="S30" i="81"/>
  <c r="T30" i="81"/>
  <c r="U30" i="81"/>
  <c r="V30" i="81"/>
  <c r="W30" i="81"/>
  <c r="X30" i="81"/>
  <c r="Y30" i="81"/>
  <c r="Z30" i="81"/>
  <c r="AA30" i="81"/>
  <c r="AB30" i="81"/>
  <c r="R31" i="81"/>
  <c r="S31" i="81"/>
  <c r="T31" i="81"/>
  <c r="U31" i="81"/>
  <c r="V31" i="81"/>
  <c r="W31" i="81"/>
  <c r="X31" i="81"/>
  <c r="Y31" i="81"/>
  <c r="Z31" i="81"/>
  <c r="AA31" i="81"/>
  <c r="AB31" i="81"/>
  <c r="R32" i="81"/>
  <c r="S32" i="81"/>
  <c r="T32" i="81"/>
  <c r="U32" i="81"/>
  <c r="V32" i="81"/>
  <c r="W32" i="81"/>
  <c r="X32" i="81"/>
  <c r="Y32" i="81"/>
  <c r="Z32" i="81"/>
  <c r="AA32" i="81"/>
  <c r="AB32" i="81"/>
  <c r="R33" i="81"/>
  <c r="S33" i="81"/>
  <c r="T33" i="81"/>
  <c r="U33" i="81"/>
  <c r="V33" i="81"/>
  <c r="W33" i="81"/>
  <c r="X33" i="81"/>
  <c r="Y33" i="81"/>
  <c r="Z33" i="81"/>
  <c r="AA33" i="81"/>
  <c r="AB33" i="81"/>
  <c r="R34" i="81"/>
  <c r="S34" i="81"/>
  <c r="T34" i="81"/>
  <c r="U34" i="81"/>
  <c r="V34" i="81"/>
  <c r="W34" i="81"/>
  <c r="X34" i="81"/>
  <c r="Y34" i="81"/>
  <c r="Z34" i="81"/>
  <c r="AA34" i="81"/>
  <c r="AB34" i="81"/>
  <c r="R35" i="81"/>
  <c r="S35" i="81"/>
  <c r="T35" i="81"/>
  <c r="U35" i="81"/>
  <c r="V35" i="81"/>
  <c r="W35" i="81"/>
  <c r="X35" i="81"/>
  <c r="Y35" i="81"/>
  <c r="Z35" i="81"/>
  <c r="AA35" i="81"/>
  <c r="AB35" i="81"/>
  <c r="R36" i="81"/>
  <c r="S36" i="81"/>
  <c r="T36" i="81"/>
  <c r="U36" i="81"/>
  <c r="V36" i="81"/>
  <c r="W36" i="81"/>
  <c r="X36" i="81"/>
  <c r="Y36" i="81"/>
  <c r="Z36" i="81"/>
  <c r="AA36" i="81"/>
  <c r="AB36" i="81"/>
  <c r="R37" i="81"/>
  <c r="S37" i="81"/>
  <c r="T37" i="81"/>
  <c r="U37" i="81"/>
  <c r="V37" i="81"/>
  <c r="W37" i="81"/>
  <c r="X37" i="81"/>
  <c r="Y37" i="81"/>
  <c r="Z37" i="81"/>
  <c r="AA37" i="81"/>
  <c r="AB37" i="81"/>
  <c r="R38" i="81"/>
  <c r="S38" i="81"/>
  <c r="T38" i="81"/>
  <c r="U38" i="81"/>
  <c r="V38" i="81"/>
  <c r="W38" i="81"/>
  <c r="X38" i="81"/>
  <c r="Y38" i="81"/>
  <c r="Z38" i="81"/>
  <c r="AA38" i="81"/>
  <c r="AB38" i="81"/>
  <c r="R39" i="81"/>
  <c r="S39" i="81"/>
  <c r="T39" i="81"/>
  <c r="U39" i="81"/>
  <c r="V39" i="81"/>
  <c r="W39" i="81"/>
  <c r="X39" i="81"/>
  <c r="Y39" i="81"/>
  <c r="Z39" i="81"/>
  <c r="AA39" i="81"/>
  <c r="AB39" i="81"/>
  <c r="R40" i="81"/>
  <c r="S40" i="81"/>
  <c r="T40" i="81"/>
  <c r="U40" i="81"/>
  <c r="V40" i="81"/>
  <c r="W40" i="81"/>
  <c r="X40" i="81"/>
  <c r="Y40" i="81"/>
  <c r="Z40" i="81"/>
  <c r="AA40" i="81"/>
  <c r="AB40" i="81"/>
  <c r="R41" i="81"/>
  <c r="S41" i="81"/>
  <c r="T41" i="81"/>
  <c r="U41" i="81"/>
  <c r="V41" i="81"/>
  <c r="W41" i="81"/>
  <c r="X41" i="81"/>
  <c r="Y41" i="81"/>
  <c r="Z41" i="81"/>
  <c r="AA41" i="81"/>
  <c r="AB41" i="81"/>
  <c r="R42" i="81"/>
  <c r="S42" i="81"/>
  <c r="T42" i="81"/>
  <c r="U42" i="81"/>
  <c r="V42" i="81"/>
  <c r="W42" i="81"/>
  <c r="X42" i="81"/>
  <c r="Y42" i="81"/>
  <c r="Z42" i="81"/>
  <c r="AA42" i="81"/>
  <c r="AB42" i="81"/>
  <c r="R43" i="81"/>
  <c r="S43" i="81"/>
  <c r="T43" i="81"/>
  <c r="U43" i="81"/>
  <c r="V43" i="81"/>
  <c r="W43" i="81"/>
  <c r="X43" i="81"/>
  <c r="Y43" i="81"/>
  <c r="Z43" i="81"/>
  <c r="AA43" i="81"/>
  <c r="AB43" i="81"/>
  <c r="R44" i="81"/>
  <c r="S44" i="81"/>
  <c r="T44" i="81"/>
  <c r="U44" i="81"/>
  <c r="V44" i="81"/>
  <c r="W44" i="81"/>
  <c r="X44" i="81"/>
  <c r="Y44" i="81"/>
  <c r="Z44" i="81"/>
  <c r="AA44" i="81"/>
  <c r="AB44" i="81"/>
  <c r="R45" i="81"/>
  <c r="S45" i="81"/>
  <c r="T45" i="81"/>
  <c r="U45" i="81"/>
  <c r="V45" i="81"/>
  <c r="W45" i="81"/>
  <c r="X45" i="81"/>
  <c r="Y45" i="81"/>
  <c r="Z45" i="81"/>
  <c r="AA45" i="81"/>
  <c r="AB45" i="81"/>
  <c r="AB46" i="81"/>
  <c r="AA46" i="81"/>
  <c r="Z46" i="81"/>
  <c r="Y46" i="81"/>
  <c r="X46" i="81"/>
  <c r="W46" i="81"/>
  <c r="V46" i="81"/>
  <c r="U46" i="81"/>
  <c r="T46" i="81"/>
  <c r="S46" i="81"/>
  <c r="R46" i="81"/>
  <c r="E50" i="81"/>
  <c r="B47" i="81"/>
  <c r="B49" i="81" s="1"/>
  <c r="BU53" i="81" l="1"/>
  <c r="BM53" i="81"/>
  <c r="BQ53" i="81"/>
  <c r="BI53" i="81"/>
  <c r="BT53" i="81"/>
  <c r="BP53" i="81"/>
  <c r="BL53" i="81"/>
  <c r="BV53" i="81"/>
  <c r="BR53" i="81"/>
  <c r="BN53" i="81"/>
  <c r="BJ53" i="81"/>
  <c r="BS53" i="81"/>
  <c r="BO53" i="81"/>
  <c r="BK53" i="81"/>
  <c r="BH53" i="81"/>
  <c r="CG28" i="81"/>
  <c r="AG99" i="1"/>
  <c r="S48" i="81"/>
  <c r="S49" i="81" s="1"/>
  <c r="W48" i="81"/>
  <c r="W49" i="81" s="1"/>
  <c r="R48" i="81"/>
  <c r="R49" i="81" s="1"/>
  <c r="AA48" i="81"/>
  <c r="AA49" i="81" s="1"/>
  <c r="Y48" i="81"/>
  <c r="Y49" i="81" s="1"/>
  <c r="U48" i="81"/>
  <c r="U49" i="81" s="1"/>
  <c r="AB48" i="81"/>
  <c r="AB49" i="81" s="1"/>
  <c r="Z48" i="81"/>
  <c r="Z49" i="81" s="1"/>
  <c r="X48" i="81"/>
  <c r="X49" i="81" s="1"/>
  <c r="V48" i="81"/>
  <c r="V49" i="81" s="1"/>
  <c r="T48" i="81"/>
  <c r="T49" i="81" s="1"/>
  <c r="M26" i="8" l="1"/>
  <c r="M27" i="8"/>
  <c r="M25" i="8"/>
  <c r="E27" i="5" l="1"/>
  <c r="E26" i="5"/>
  <c r="E25" i="5"/>
  <c r="E24" i="5"/>
  <c r="E23" i="5"/>
  <c r="E22" i="5"/>
  <c r="M4" i="5"/>
  <c r="M5" i="5"/>
  <c r="M6" i="5"/>
  <c r="M8" i="5"/>
  <c r="M9" i="5"/>
  <c r="M10" i="5"/>
  <c r="M11" i="5"/>
  <c r="M12" i="5"/>
  <c r="M13" i="5"/>
  <c r="M14" i="5"/>
  <c r="M16" i="5"/>
  <c r="M17" i="5"/>
  <c r="M18" i="5"/>
  <c r="M19" i="5"/>
  <c r="M20" i="5"/>
  <c r="M21" i="5"/>
  <c r="M22" i="5"/>
  <c r="M23" i="5"/>
  <c r="M24" i="5"/>
  <c r="M25" i="5"/>
  <c r="M26" i="5"/>
  <c r="M27" i="5"/>
  <c r="M3" i="5"/>
  <c r="BF60" i="79" l="1"/>
  <c r="BG60" i="79" s="1"/>
  <c r="BG68" i="79"/>
  <c r="BR81" i="79" l="1"/>
  <c r="BC81" i="79"/>
  <c r="K28" i="8"/>
  <c r="L28" i="8"/>
  <c r="F24" i="6"/>
  <c r="F25" i="6"/>
  <c r="F26" i="6"/>
  <c r="F27" i="6"/>
  <c r="F28" i="6"/>
  <c r="M28" i="8" l="1"/>
  <c r="K6" i="7"/>
  <c r="C28" i="7" s="1"/>
  <c r="BG72" i="79" l="1"/>
  <c r="BF42" i="79" l="1"/>
  <c r="BG43" i="79" s="1"/>
  <c r="BF26" i="79"/>
  <c r="E24" i="8"/>
  <c r="E28" i="8"/>
  <c r="Q31" i="6"/>
  <c r="P31" i="6"/>
  <c r="O31" i="6"/>
  <c r="R30" i="6"/>
  <c r="R29" i="6"/>
  <c r="R31" i="6" l="1"/>
  <c r="BG27" i="79"/>
  <c r="DX98" i="80" l="1"/>
  <c r="DZ98" i="80" s="1"/>
  <c r="DX99" i="80"/>
  <c r="DZ99" i="80" s="1"/>
  <c r="DX100" i="80"/>
  <c r="DZ100" i="80" s="1"/>
  <c r="DX101" i="80"/>
  <c r="DZ101" i="80" s="1"/>
  <c r="DX102" i="80"/>
  <c r="DZ102" i="80" s="1"/>
  <c r="DX103" i="80"/>
  <c r="DZ103" i="80" s="1"/>
  <c r="DX104" i="80"/>
  <c r="DZ104" i="80" s="1"/>
  <c r="DX105" i="80"/>
  <c r="DZ105" i="80" s="1"/>
  <c r="DX106" i="80"/>
  <c r="DZ106" i="80" s="1"/>
  <c r="DX107" i="80"/>
  <c r="DZ107" i="80" s="1"/>
  <c r="DX97" i="80"/>
  <c r="DZ97" i="80" s="1"/>
  <c r="DH100" i="80"/>
  <c r="DI100" i="80"/>
  <c r="DJ100" i="80"/>
  <c r="DK100" i="80"/>
  <c r="DL100" i="80"/>
  <c r="DM100" i="80"/>
  <c r="DN100" i="80"/>
  <c r="DO100" i="80"/>
  <c r="DP100" i="80"/>
  <c r="DQ100" i="80"/>
  <c r="DR100" i="80"/>
  <c r="DH90" i="80"/>
  <c r="DI90" i="80"/>
  <c r="DJ90" i="80"/>
  <c r="DK90" i="80"/>
  <c r="DL90" i="80"/>
  <c r="DM90" i="80"/>
  <c r="DN90" i="80"/>
  <c r="DO90" i="80"/>
  <c r="DP90" i="80"/>
  <c r="DQ90" i="80"/>
  <c r="DH91" i="80"/>
  <c r="DI91" i="80"/>
  <c r="DJ91" i="80"/>
  <c r="DK91" i="80"/>
  <c r="DL91" i="80"/>
  <c r="DM91" i="80"/>
  <c r="DN91" i="80"/>
  <c r="DO91" i="80"/>
  <c r="DP91" i="80"/>
  <c r="DQ91" i="80"/>
  <c r="DH92" i="80"/>
  <c r="DI92" i="80"/>
  <c r="DJ92" i="80"/>
  <c r="DK92" i="80"/>
  <c r="DL92" i="80"/>
  <c r="DM92" i="80"/>
  <c r="DN92" i="80"/>
  <c r="DO92" i="80"/>
  <c r="DP92" i="80"/>
  <c r="DQ92" i="80"/>
  <c r="DH93" i="80"/>
  <c r="DI93" i="80"/>
  <c r="DJ93" i="80"/>
  <c r="DK93" i="80"/>
  <c r="DL93" i="80"/>
  <c r="DM93" i="80"/>
  <c r="DN93" i="80"/>
  <c r="DO93" i="80"/>
  <c r="DP93" i="80"/>
  <c r="DQ93" i="80"/>
  <c r="DH94" i="80"/>
  <c r="DI94" i="80"/>
  <c r="DJ94" i="80"/>
  <c r="DK94" i="80"/>
  <c r="DL94" i="80"/>
  <c r="DM94" i="80"/>
  <c r="DN94" i="80"/>
  <c r="DO94" i="80"/>
  <c r="DP94" i="80"/>
  <c r="DQ94" i="80"/>
  <c r="DR94" i="80"/>
  <c r="DH95" i="80"/>
  <c r="DI95" i="80"/>
  <c r="DJ95" i="80"/>
  <c r="DK95" i="80"/>
  <c r="DL95" i="80"/>
  <c r="DM95" i="80"/>
  <c r="DN95" i="80"/>
  <c r="DO95" i="80"/>
  <c r="DP95" i="80"/>
  <c r="DQ95" i="80"/>
  <c r="DR95" i="80"/>
  <c r="DH96" i="80"/>
  <c r="DI96" i="80"/>
  <c r="DJ96" i="80"/>
  <c r="DK96" i="80"/>
  <c r="DL96" i="80"/>
  <c r="DM96" i="80"/>
  <c r="DN96" i="80"/>
  <c r="DO96" i="80"/>
  <c r="DP96" i="80"/>
  <c r="DQ96" i="80"/>
  <c r="DR96" i="80"/>
  <c r="DH97" i="80"/>
  <c r="DI97" i="80"/>
  <c r="DJ97" i="80"/>
  <c r="DK97" i="80"/>
  <c r="DL97" i="80"/>
  <c r="DM97" i="80"/>
  <c r="DN97" i="80"/>
  <c r="DO97" i="80"/>
  <c r="DP97" i="80"/>
  <c r="DQ97" i="80"/>
  <c r="DR97" i="80"/>
  <c r="DH98" i="80"/>
  <c r="DI98" i="80"/>
  <c r="DJ98" i="80"/>
  <c r="DK98" i="80"/>
  <c r="DL98" i="80"/>
  <c r="DM98" i="80"/>
  <c r="DN98" i="80"/>
  <c r="DO98" i="80"/>
  <c r="DP98" i="80"/>
  <c r="DQ98" i="80"/>
  <c r="DR98" i="80"/>
  <c r="DH99" i="80"/>
  <c r="DI99" i="80"/>
  <c r="DJ99" i="80"/>
  <c r="DK99" i="80"/>
  <c r="DL99" i="80"/>
  <c r="DM99" i="80"/>
  <c r="DN99" i="80"/>
  <c r="DO99" i="80"/>
  <c r="DP99" i="80"/>
  <c r="DQ99" i="80"/>
  <c r="DR99" i="80"/>
  <c r="DH80" i="80"/>
  <c r="DI80" i="80"/>
  <c r="DJ80" i="80"/>
  <c r="DK80" i="80"/>
  <c r="DL80" i="80"/>
  <c r="DM80" i="80"/>
  <c r="DN80" i="80"/>
  <c r="DO80" i="80"/>
  <c r="DP80" i="80"/>
  <c r="DQ80" i="80"/>
  <c r="DH81" i="80"/>
  <c r="DI81" i="80"/>
  <c r="DJ81" i="80"/>
  <c r="DK81" i="80"/>
  <c r="DL81" i="80"/>
  <c r="DM81" i="80"/>
  <c r="DN81" i="80"/>
  <c r="DO81" i="80"/>
  <c r="DP81" i="80"/>
  <c r="DQ81" i="80"/>
  <c r="DH82" i="80"/>
  <c r="DI82" i="80"/>
  <c r="DJ82" i="80"/>
  <c r="DK82" i="80"/>
  <c r="DL82" i="80"/>
  <c r="DM82" i="80"/>
  <c r="DN82" i="80"/>
  <c r="DO82" i="80"/>
  <c r="DP82" i="80"/>
  <c r="DQ82" i="80"/>
  <c r="DH83" i="80"/>
  <c r="DI83" i="80"/>
  <c r="DJ83" i="80"/>
  <c r="DK83" i="80"/>
  <c r="DL83" i="80"/>
  <c r="DM83" i="80"/>
  <c r="DN83" i="80"/>
  <c r="DO83" i="80"/>
  <c r="DP83" i="80"/>
  <c r="DQ83" i="80"/>
  <c r="DH84" i="80"/>
  <c r="DI84" i="80"/>
  <c r="DJ84" i="80"/>
  <c r="DK84" i="80"/>
  <c r="DL84" i="80"/>
  <c r="DM84" i="80"/>
  <c r="DN84" i="80"/>
  <c r="DO84" i="80"/>
  <c r="DP84" i="80"/>
  <c r="DQ84" i="80"/>
  <c r="DH85" i="80"/>
  <c r="DI85" i="80"/>
  <c r="DJ85" i="80"/>
  <c r="DK85" i="80"/>
  <c r="DL85" i="80"/>
  <c r="DM85" i="80"/>
  <c r="DN85" i="80"/>
  <c r="DO85" i="80"/>
  <c r="DP85" i="80"/>
  <c r="DQ85" i="80"/>
  <c r="DH86" i="80"/>
  <c r="DI86" i="80"/>
  <c r="DJ86" i="80"/>
  <c r="DK86" i="80"/>
  <c r="DL86" i="80"/>
  <c r="DM86" i="80"/>
  <c r="DN86" i="80"/>
  <c r="DO86" i="80"/>
  <c r="DP86" i="80"/>
  <c r="DQ86" i="80"/>
  <c r="DH87" i="80"/>
  <c r="DI87" i="80"/>
  <c r="DJ87" i="80"/>
  <c r="DK87" i="80"/>
  <c r="DL87" i="80"/>
  <c r="DM87" i="80"/>
  <c r="DN87" i="80"/>
  <c r="DO87" i="80"/>
  <c r="DP87" i="80"/>
  <c r="DQ87" i="80"/>
  <c r="DH88" i="80"/>
  <c r="DI88" i="80"/>
  <c r="DJ88" i="80"/>
  <c r="DK88" i="80"/>
  <c r="DL88" i="80"/>
  <c r="DM88" i="80"/>
  <c r="DN88" i="80"/>
  <c r="DO88" i="80"/>
  <c r="DP88" i="80"/>
  <c r="DQ88" i="80"/>
  <c r="DH89" i="80"/>
  <c r="DI89" i="80"/>
  <c r="DJ89" i="80"/>
  <c r="DK89" i="80"/>
  <c r="DL89" i="80"/>
  <c r="DM89" i="80"/>
  <c r="DN89" i="80"/>
  <c r="DO89" i="80"/>
  <c r="DP89" i="80"/>
  <c r="DQ89" i="80"/>
  <c r="DH75" i="80"/>
  <c r="DI75" i="80"/>
  <c r="DJ75" i="80"/>
  <c r="DK75" i="80"/>
  <c r="DL75" i="80"/>
  <c r="DM75" i="80"/>
  <c r="DN75" i="80"/>
  <c r="DO75" i="80"/>
  <c r="DP75" i="80"/>
  <c r="DQ75" i="80"/>
  <c r="DH76" i="80"/>
  <c r="DI76" i="80"/>
  <c r="DJ76" i="80"/>
  <c r="DK76" i="80"/>
  <c r="DL76" i="80"/>
  <c r="DM76" i="80"/>
  <c r="DN76" i="80"/>
  <c r="DO76" i="80"/>
  <c r="DP76" i="80"/>
  <c r="DQ76" i="80"/>
  <c r="DH77" i="80"/>
  <c r="DI77" i="80"/>
  <c r="DJ77" i="80"/>
  <c r="DK77" i="80"/>
  <c r="DL77" i="80"/>
  <c r="DM77" i="80"/>
  <c r="DN77" i="80"/>
  <c r="DO77" i="80"/>
  <c r="DP77" i="80"/>
  <c r="DQ77" i="80"/>
  <c r="DH78" i="80"/>
  <c r="DI78" i="80"/>
  <c r="DJ78" i="80"/>
  <c r="DK78" i="80"/>
  <c r="DL78" i="80"/>
  <c r="DM78" i="80"/>
  <c r="DN78" i="80"/>
  <c r="DO78" i="80"/>
  <c r="DP78" i="80"/>
  <c r="DQ78" i="80"/>
  <c r="DH79" i="80"/>
  <c r="DI79" i="80"/>
  <c r="DJ79" i="80"/>
  <c r="DK79" i="80"/>
  <c r="DL79" i="80"/>
  <c r="DM79" i="80"/>
  <c r="DN79" i="80"/>
  <c r="DO79" i="80"/>
  <c r="DP79" i="80"/>
  <c r="DQ79" i="80"/>
  <c r="DI74" i="80"/>
  <c r="DJ74" i="80"/>
  <c r="DK74" i="80"/>
  <c r="DL74" i="80"/>
  <c r="DM74" i="80"/>
  <c r="DN74" i="80"/>
  <c r="DO74" i="80"/>
  <c r="DP74" i="80"/>
  <c r="DQ74" i="80"/>
  <c r="DH74" i="80"/>
  <c r="EE49" i="80"/>
  <c r="DU8" i="80"/>
  <c r="DV8" i="80"/>
  <c r="DW8" i="80"/>
  <c r="DX8" i="80"/>
  <c r="DY8" i="80"/>
  <c r="DZ8" i="80"/>
  <c r="EA8" i="80"/>
  <c r="EB8" i="80"/>
  <c r="EC8" i="80"/>
  <c r="ED8" i="80"/>
  <c r="DT8" i="80"/>
  <c r="DS74" i="80" l="1"/>
  <c r="EE8" i="80"/>
  <c r="DS79" i="80"/>
  <c r="DS78" i="80"/>
  <c r="DS77" i="80"/>
  <c r="DS76" i="80"/>
  <c r="DS75" i="80"/>
  <c r="DS89" i="80"/>
  <c r="DS88" i="80"/>
  <c r="DS87" i="80"/>
  <c r="DS86" i="80"/>
  <c r="DS85" i="80"/>
  <c r="DS84" i="80"/>
  <c r="DS83" i="80"/>
  <c r="DS82" i="80"/>
  <c r="DS81" i="80"/>
  <c r="DS80" i="80"/>
  <c r="DS99" i="80"/>
  <c r="DS98" i="80"/>
  <c r="DS97" i="80"/>
  <c r="DS96" i="80"/>
  <c r="DS95" i="80"/>
  <c r="DR101" i="80"/>
  <c r="DS94" i="80"/>
  <c r="DS93" i="80"/>
  <c r="DS92" i="80"/>
  <c r="DS91" i="80"/>
  <c r="DS90" i="80"/>
  <c r="DS100" i="80"/>
  <c r="CY55" i="91" l="1"/>
  <c r="CR55" i="80"/>
  <c r="CQ54" i="80"/>
  <c r="CP54" i="80"/>
  <c r="CR21" i="80"/>
  <c r="CR22" i="80"/>
  <c r="CR23" i="80"/>
  <c r="CR24" i="80"/>
  <c r="CR25" i="80"/>
  <c r="CR26" i="80"/>
  <c r="CR27" i="80"/>
  <c r="CR28" i="80"/>
  <c r="CR29" i="80"/>
  <c r="CR30" i="80"/>
  <c r="CR31" i="80"/>
  <c r="CR32" i="80"/>
  <c r="CR33" i="80"/>
  <c r="CR34" i="80"/>
  <c r="CR35" i="80"/>
  <c r="CR36" i="80"/>
  <c r="CR37" i="80"/>
  <c r="CR38" i="80"/>
  <c r="CR39" i="80"/>
  <c r="CR40" i="80"/>
  <c r="CR41" i="80"/>
  <c r="CR42" i="80"/>
  <c r="CR43" i="80"/>
  <c r="CR44" i="80"/>
  <c r="CR45" i="80"/>
  <c r="CR46" i="80"/>
  <c r="CR47" i="80"/>
  <c r="CR48" i="80"/>
  <c r="CR49" i="80"/>
  <c r="CR50" i="80"/>
  <c r="CR10" i="80"/>
  <c r="CR11" i="80"/>
  <c r="CR12" i="80"/>
  <c r="CR13" i="80"/>
  <c r="CR14" i="80"/>
  <c r="CR15" i="80"/>
  <c r="CR16" i="80"/>
  <c r="CR17" i="80"/>
  <c r="CR18" i="80"/>
  <c r="CR19" i="80"/>
  <c r="CR20" i="80"/>
  <c r="CR9" i="80"/>
  <c r="CZ8" i="91" l="1"/>
  <c r="CZ9" i="91"/>
  <c r="CZ10" i="91"/>
  <c r="CZ11" i="91"/>
  <c r="CZ12" i="91"/>
  <c r="CZ13" i="91"/>
  <c r="CZ14" i="91"/>
  <c r="CZ15" i="91"/>
  <c r="CZ16" i="91"/>
  <c r="CZ17" i="91"/>
  <c r="CZ18" i="91"/>
  <c r="CZ19" i="91"/>
  <c r="CZ20" i="91"/>
  <c r="CZ21" i="91"/>
  <c r="CZ22" i="91"/>
  <c r="CZ23" i="91"/>
  <c r="CZ24" i="91"/>
  <c r="CZ25" i="91"/>
  <c r="CZ26" i="91"/>
  <c r="CZ27" i="91"/>
  <c r="CZ28" i="91"/>
  <c r="CZ29" i="91"/>
  <c r="CZ30" i="91"/>
  <c r="CZ31" i="91"/>
  <c r="CZ32" i="91"/>
  <c r="CZ33" i="91"/>
  <c r="CZ34" i="91"/>
  <c r="CZ35" i="91"/>
  <c r="CZ36" i="91"/>
  <c r="CZ37" i="91"/>
  <c r="CZ38" i="91"/>
  <c r="CZ39" i="91"/>
  <c r="CZ40" i="91"/>
  <c r="CZ41" i="91"/>
  <c r="CZ42" i="91"/>
  <c r="CZ43" i="91"/>
  <c r="CZ7" i="91"/>
  <c r="DZ19" i="80"/>
  <c r="EA19" i="80"/>
  <c r="EC19" i="80"/>
  <c r="DY19" i="80"/>
  <c r="DU19" i="80"/>
  <c r="ED19" i="80"/>
  <c r="DV19" i="80"/>
  <c r="DW19" i="80"/>
  <c r="DT19" i="80"/>
  <c r="DX19" i="80"/>
  <c r="EB19" i="80"/>
  <c r="DV11" i="80"/>
  <c r="DW11" i="80"/>
  <c r="EC11" i="80"/>
  <c r="DY11" i="80"/>
  <c r="DU11" i="80"/>
  <c r="ED11" i="80"/>
  <c r="DZ11" i="80"/>
  <c r="EA11" i="80"/>
  <c r="EB11" i="80"/>
  <c r="DT11" i="80"/>
  <c r="DX11" i="80"/>
  <c r="DV48" i="80"/>
  <c r="DY48" i="80"/>
  <c r="DW48" i="80"/>
  <c r="EA48" i="80"/>
  <c r="DZ48" i="80"/>
  <c r="ED48" i="80"/>
  <c r="DU48" i="80"/>
  <c r="EC48" i="80"/>
  <c r="EB48" i="80"/>
  <c r="DX48" i="80"/>
  <c r="DT48" i="80"/>
  <c r="DZ40" i="80"/>
  <c r="DU40" i="80"/>
  <c r="EC40" i="80"/>
  <c r="DT40" i="80"/>
  <c r="EB40" i="80"/>
  <c r="DW40" i="80"/>
  <c r="EA40" i="80"/>
  <c r="DV40" i="80"/>
  <c r="ED40" i="80"/>
  <c r="DY40" i="80"/>
  <c r="DX40" i="80"/>
  <c r="DV36" i="80"/>
  <c r="ED36" i="80"/>
  <c r="DU36" i="80"/>
  <c r="EC36" i="80"/>
  <c r="DX36" i="80"/>
  <c r="DW36" i="80"/>
  <c r="EA36" i="80"/>
  <c r="DZ36" i="80"/>
  <c r="DY36" i="80"/>
  <c r="DT36" i="80"/>
  <c r="EB36" i="80"/>
  <c r="DZ32" i="80"/>
  <c r="ED32" i="80"/>
  <c r="DY32" i="80"/>
  <c r="DT32" i="80"/>
  <c r="EB32" i="80"/>
  <c r="DW32" i="80"/>
  <c r="EA32" i="80"/>
  <c r="DV32" i="80"/>
  <c r="DU32" i="80"/>
  <c r="EC32" i="80"/>
  <c r="DX32" i="80"/>
  <c r="DV28" i="80"/>
  <c r="DZ28" i="80"/>
  <c r="ED28" i="80"/>
  <c r="DY28" i="80"/>
  <c r="DT28" i="80"/>
  <c r="DW28" i="80"/>
  <c r="EA28" i="80"/>
  <c r="DU28" i="80"/>
  <c r="EC28" i="80"/>
  <c r="DX28" i="80"/>
  <c r="EB28" i="80"/>
  <c r="EA24" i="80"/>
  <c r="EB24" i="80"/>
  <c r="DT24" i="80"/>
  <c r="ED24" i="80"/>
  <c r="DZ24" i="80"/>
  <c r="DV24" i="80"/>
  <c r="DW24" i="80"/>
  <c r="DX24" i="80"/>
  <c r="EC24" i="80"/>
  <c r="DU24" i="80"/>
  <c r="DY24" i="80"/>
  <c r="EB16" i="80"/>
  <c r="ED16" i="80"/>
  <c r="DZ16" i="80"/>
  <c r="DV16" i="80"/>
  <c r="EA16" i="80"/>
  <c r="DW16" i="80"/>
  <c r="DX16" i="80"/>
  <c r="DT16" i="80"/>
  <c r="DU16" i="80"/>
  <c r="DY16" i="80"/>
  <c r="EC16" i="80"/>
  <c r="EA45" i="80"/>
  <c r="DV45" i="80"/>
  <c r="ED45" i="80"/>
  <c r="DU45" i="80"/>
  <c r="EC45" i="80"/>
  <c r="DT45" i="80"/>
  <c r="DX45" i="80"/>
  <c r="EB45" i="80"/>
  <c r="DW45" i="80"/>
  <c r="DZ45" i="80"/>
  <c r="DY45" i="80"/>
  <c r="DZ37" i="80"/>
  <c r="DU37" i="80"/>
  <c r="EC37" i="80"/>
  <c r="DT37" i="80"/>
  <c r="DX37" i="80"/>
  <c r="EB37" i="80"/>
  <c r="DW37" i="80"/>
  <c r="EA37" i="80"/>
  <c r="DV37" i="80"/>
  <c r="ED37" i="80"/>
  <c r="DY37" i="80"/>
  <c r="DW33" i="80"/>
  <c r="EA33" i="80"/>
  <c r="DV33" i="80"/>
  <c r="ED33" i="80"/>
  <c r="DY33" i="80"/>
  <c r="DT33" i="80"/>
  <c r="DX33" i="80"/>
  <c r="EB33" i="80"/>
  <c r="DZ33" i="80"/>
  <c r="DU33" i="80"/>
  <c r="EC33" i="80"/>
  <c r="DW29" i="80"/>
  <c r="EA29" i="80"/>
  <c r="DZ29" i="80"/>
  <c r="DU29" i="80"/>
  <c r="EC29" i="80"/>
  <c r="DT29" i="80"/>
  <c r="DX29" i="80"/>
  <c r="EB29" i="80"/>
  <c r="DV29" i="80"/>
  <c r="ED29" i="80"/>
  <c r="DY29" i="80"/>
  <c r="DW25" i="80"/>
  <c r="EA25" i="80"/>
  <c r="DZ25" i="80"/>
  <c r="DY25" i="80"/>
  <c r="DT25" i="80"/>
  <c r="DX25" i="80"/>
  <c r="EB25" i="80"/>
  <c r="DV25" i="80"/>
  <c r="ED25" i="80"/>
  <c r="DU25" i="80"/>
  <c r="EC25" i="80"/>
  <c r="EB21" i="80"/>
  <c r="EC21" i="80"/>
  <c r="DU21" i="80"/>
  <c r="EA21" i="80"/>
  <c r="DW21" i="80"/>
  <c r="DX21" i="80"/>
  <c r="DT21" i="80"/>
  <c r="DY21" i="80"/>
  <c r="ED21" i="80"/>
  <c r="DV21" i="80"/>
  <c r="DZ21" i="80"/>
  <c r="DX9" i="80"/>
  <c r="DY9" i="80"/>
  <c r="EA9" i="80"/>
  <c r="DW9" i="80"/>
  <c r="EB9" i="80"/>
  <c r="DT9" i="80"/>
  <c r="EC9" i="80"/>
  <c r="DU9" i="80"/>
  <c r="DV9" i="80"/>
  <c r="DZ9" i="80"/>
  <c r="ED9" i="80"/>
  <c r="EB17" i="80"/>
  <c r="DT17" i="80"/>
  <c r="DY17" i="80"/>
  <c r="EA17" i="80"/>
  <c r="DW17" i="80"/>
  <c r="DX17" i="80"/>
  <c r="EC17" i="80"/>
  <c r="DU17" i="80"/>
  <c r="DZ17" i="80"/>
  <c r="ED17" i="80"/>
  <c r="DV17" i="80"/>
  <c r="EB13" i="80"/>
  <c r="DY13" i="80"/>
  <c r="EA13" i="80"/>
  <c r="DW13" i="80"/>
  <c r="DX13" i="80"/>
  <c r="DT13" i="80"/>
  <c r="EC13" i="80"/>
  <c r="DU13" i="80"/>
  <c r="DV13" i="80"/>
  <c r="DZ13" i="80"/>
  <c r="ED13" i="80"/>
  <c r="EB46" i="80"/>
  <c r="EA46" i="80"/>
  <c r="DU46" i="80"/>
  <c r="DY46" i="80"/>
  <c r="EC46" i="80"/>
  <c r="DT46" i="80"/>
  <c r="DX46" i="80"/>
  <c r="DW46" i="80"/>
  <c r="DV46" i="80"/>
  <c r="ED46" i="80"/>
  <c r="DZ46" i="80"/>
  <c r="EB42" i="80"/>
  <c r="DW42" i="80"/>
  <c r="DV42" i="80"/>
  <c r="ED42" i="80"/>
  <c r="DU42" i="80"/>
  <c r="DY42" i="80"/>
  <c r="EC42" i="80"/>
  <c r="DT42" i="80"/>
  <c r="DX42" i="80"/>
  <c r="EA42" i="80"/>
  <c r="DZ42" i="80"/>
  <c r="DT38" i="80"/>
  <c r="EA38" i="80"/>
  <c r="DZ38" i="80"/>
  <c r="DU38" i="80"/>
  <c r="DY38" i="80"/>
  <c r="EC38" i="80"/>
  <c r="DX38" i="80"/>
  <c r="EB38" i="80"/>
  <c r="DW38" i="80"/>
  <c r="DV38" i="80"/>
  <c r="ED38" i="80"/>
  <c r="DT34" i="80"/>
  <c r="DX34" i="80"/>
  <c r="EB34" i="80"/>
  <c r="EA34" i="80"/>
  <c r="DV34" i="80"/>
  <c r="ED34" i="80"/>
  <c r="DU34" i="80"/>
  <c r="DY34" i="80"/>
  <c r="EC34" i="80"/>
  <c r="DW34" i="80"/>
  <c r="DZ34" i="80"/>
  <c r="DT30" i="80"/>
  <c r="DX30" i="80"/>
  <c r="EB30" i="80"/>
  <c r="DW30" i="80"/>
  <c r="DZ30" i="80"/>
  <c r="DU30" i="80"/>
  <c r="DY30" i="80"/>
  <c r="EC30" i="80"/>
  <c r="EA30" i="80"/>
  <c r="DV30" i="80"/>
  <c r="ED30" i="80"/>
  <c r="DT26" i="80"/>
  <c r="DX26" i="80"/>
  <c r="EB26" i="80"/>
  <c r="DU26" i="80"/>
  <c r="DY26" i="80"/>
  <c r="EC26" i="80"/>
  <c r="DW26" i="80"/>
  <c r="EA26" i="80"/>
  <c r="DV26" i="80"/>
  <c r="DZ26" i="80"/>
  <c r="ED26" i="80"/>
  <c r="EC22" i="80"/>
  <c r="DZ22" i="80"/>
  <c r="EB22" i="80"/>
  <c r="DX22" i="80"/>
  <c r="DT22" i="80"/>
  <c r="DY22" i="80"/>
  <c r="DU22" i="80"/>
  <c r="ED22" i="80"/>
  <c r="DV22" i="80"/>
  <c r="DW22" i="80"/>
  <c r="EA22" i="80"/>
  <c r="ED15" i="80"/>
  <c r="EA15" i="80"/>
  <c r="EC15" i="80"/>
  <c r="DY15" i="80"/>
  <c r="DU15" i="80"/>
  <c r="DZ15" i="80"/>
  <c r="DV15" i="80"/>
  <c r="DW15" i="80"/>
  <c r="DT15" i="80"/>
  <c r="DX15" i="80"/>
  <c r="EB15" i="80"/>
  <c r="DZ44" i="80"/>
  <c r="DY44" i="80"/>
  <c r="DX44" i="80"/>
  <c r="DW44" i="80"/>
  <c r="EA44" i="80"/>
  <c r="DV44" i="80"/>
  <c r="ED44" i="80"/>
  <c r="DU44" i="80"/>
  <c r="EC44" i="80"/>
  <c r="DT44" i="80"/>
  <c r="EB44" i="80"/>
  <c r="EA20" i="80"/>
  <c r="DX20" i="80"/>
  <c r="ED20" i="80"/>
  <c r="DZ20" i="80"/>
  <c r="DV20" i="80"/>
  <c r="DW20" i="80"/>
  <c r="EB20" i="80"/>
  <c r="DT20" i="80"/>
  <c r="DY20" i="80"/>
  <c r="EC20" i="80"/>
  <c r="DU20" i="80"/>
  <c r="EA12" i="80"/>
  <c r="EB12" i="80"/>
  <c r="DT12" i="80"/>
  <c r="ED12" i="80"/>
  <c r="DZ12" i="80"/>
  <c r="DV12" i="80"/>
  <c r="DW12" i="80"/>
  <c r="DX12" i="80"/>
  <c r="DU12" i="80"/>
  <c r="DY12" i="80"/>
  <c r="EC12" i="80"/>
  <c r="EA41" i="80"/>
  <c r="DZ41" i="80"/>
  <c r="DY41" i="80"/>
  <c r="DT41" i="80"/>
  <c r="DX41" i="80"/>
  <c r="EB41" i="80"/>
  <c r="DW41" i="80"/>
  <c r="DV41" i="80"/>
  <c r="ED41" i="80"/>
  <c r="DU41" i="80"/>
  <c r="EC41" i="80"/>
  <c r="EC18" i="80"/>
  <c r="ED18" i="80"/>
  <c r="DV18" i="80"/>
  <c r="EB18" i="80"/>
  <c r="DX18" i="80"/>
  <c r="DT18" i="80"/>
  <c r="DY18" i="80"/>
  <c r="DU18" i="80"/>
  <c r="DZ18" i="80"/>
  <c r="DW18" i="80"/>
  <c r="EA18" i="80"/>
  <c r="DY14" i="80"/>
  <c r="ED14" i="80"/>
  <c r="DV14" i="80"/>
  <c r="EB14" i="80"/>
  <c r="DX14" i="80"/>
  <c r="DT14" i="80"/>
  <c r="EC14" i="80"/>
  <c r="DU14" i="80"/>
  <c r="DZ14" i="80"/>
  <c r="EA14" i="80"/>
  <c r="DW14" i="80"/>
  <c r="DV10" i="80"/>
  <c r="EB10" i="80"/>
  <c r="DX10" i="80"/>
  <c r="DT10" i="80"/>
  <c r="EC10" i="80"/>
  <c r="DY10" i="80"/>
  <c r="DU10" i="80"/>
  <c r="ED10" i="80"/>
  <c r="DZ10" i="80"/>
  <c r="DW10" i="80"/>
  <c r="EA10" i="80"/>
  <c r="DY47" i="80"/>
  <c r="DX47" i="80"/>
  <c r="DV47" i="80"/>
  <c r="DZ47" i="80"/>
  <c r="ED47" i="80"/>
  <c r="DU47" i="80"/>
  <c r="EC47" i="80"/>
  <c r="DT47" i="80"/>
  <c r="EB47" i="80"/>
  <c r="EA47" i="80"/>
  <c r="DW47" i="80"/>
  <c r="DY43" i="80"/>
  <c r="DT43" i="80"/>
  <c r="EB43" i="80"/>
  <c r="EA43" i="80"/>
  <c r="DV43" i="80"/>
  <c r="DZ43" i="80"/>
  <c r="ED43" i="80"/>
  <c r="DU43" i="80"/>
  <c r="EC43" i="80"/>
  <c r="DX43" i="80"/>
  <c r="DW43" i="80"/>
  <c r="DU39" i="80"/>
  <c r="EC39" i="80"/>
  <c r="DX39" i="80"/>
  <c r="DW39" i="80"/>
  <c r="DV39" i="80"/>
  <c r="DZ39" i="80"/>
  <c r="ED39" i="80"/>
  <c r="DY39" i="80"/>
  <c r="DT39" i="80"/>
  <c r="EB39" i="80"/>
  <c r="EA39" i="80"/>
  <c r="DY35" i="80"/>
  <c r="DX35" i="80"/>
  <c r="EA35" i="80"/>
  <c r="DV35" i="80"/>
  <c r="DZ35" i="80"/>
  <c r="ED35" i="80"/>
  <c r="DU35" i="80"/>
  <c r="EC35" i="80"/>
  <c r="DT35" i="80"/>
  <c r="EB35" i="80"/>
  <c r="DW35" i="80"/>
  <c r="DU31" i="80"/>
  <c r="DY31" i="80"/>
  <c r="EC31" i="80"/>
  <c r="DT31" i="80"/>
  <c r="EB31" i="80"/>
  <c r="DW31" i="80"/>
  <c r="DV31" i="80"/>
  <c r="DZ31" i="80"/>
  <c r="ED31" i="80"/>
  <c r="DX31" i="80"/>
  <c r="EA31" i="80"/>
  <c r="DU27" i="80"/>
  <c r="DY27" i="80"/>
  <c r="EC27" i="80"/>
  <c r="DW27" i="80"/>
  <c r="DV27" i="80"/>
  <c r="DZ27" i="80"/>
  <c r="ED27" i="80"/>
  <c r="DT27" i="80"/>
  <c r="DX27" i="80"/>
  <c r="EB27" i="80"/>
  <c r="EA27" i="80"/>
  <c r="ED23" i="80"/>
  <c r="DW23" i="80"/>
  <c r="EC23" i="80"/>
  <c r="DY23" i="80"/>
  <c r="DU23" i="80"/>
  <c r="DZ23" i="80"/>
  <c r="DV23" i="80"/>
  <c r="EA23" i="80"/>
  <c r="DX23" i="80"/>
  <c r="EB23" i="80"/>
  <c r="DT23" i="80"/>
  <c r="CR54" i="80"/>
  <c r="CR56" i="80" s="1"/>
  <c r="CM54" i="54"/>
  <c r="EE48" i="80" l="1"/>
  <c r="EE23" i="80"/>
  <c r="EE27" i="80"/>
  <c r="EE31" i="80"/>
  <c r="EE35" i="80"/>
  <c r="EE39" i="80"/>
  <c r="EE43" i="80"/>
  <c r="EE47" i="80"/>
  <c r="EE10" i="80"/>
  <c r="EE14" i="80"/>
  <c r="EE18" i="80"/>
  <c r="EE41" i="80"/>
  <c r="EE12" i="80"/>
  <c r="EE20" i="80"/>
  <c r="EE44" i="80"/>
  <c r="EE15" i="80"/>
  <c r="EE22" i="80"/>
  <c r="EE26" i="80"/>
  <c r="EE30" i="80"/>
  <c r="EE34" i="80"/>
  <c r="EE38" i="80"/>
  <c r="EE42" i="80"/>
  <c r="EE46" i="80"/>
  <c r="EE13" i="80"/>
  <c r="EE17" i="80"/>
  <c r="ED50" i="80"/>
  <c r="DZ50" i="80"/>
  <c r="DV50" i="80"/>
  <c r="DU50" i="80"/>
  <c r="EC50" i="80"/>
  <c r="EE9" i="80"/>
  <c r="DT50" i="80"/>
  <c r="EB50" i="80"/>
  <c r="DW50" i="80"/>
  <c r="EA50" i="80"/>
  <c r="DY50" i="80"/>
  <c r="DX50" i="80"/>
  <c r="EE21" i="80"/>
  <c r="EE25" i="80"/>
  <c r="EE29" i="80"/>
  <c r="EE33" i="80"/>
  <c r="EE37" i="80"/>
  <c r="EE45" i="80"/>
  <c r="EE16" i="80"/>
  <c r="EE24" i="80"/>
  <c r="EE28" i="80"/>
  <c r="EE32" i="80"/>
  <c r="EE36" i="80"/>
  <c r="EE40" i="80"/>
  <c r="EE11" i="80"/>
  <c r="EE19" i="80"/>
  <c r="DA55" i="91"/>
  <c r="DB14" i="91" s="1"/>
  <c r="DC55" i="91"/>
  <c r="DD24" i="91" s="1"/>
  <c r="EE50" i="80" l="1"/>
  <c r="DD27" i="91"/>
  <c r="DD35" i="91"/>
  <c r="DD31" i="91"/>
  <c r="DD39" i="91"/>
  <c r="DD23" i="91"/>
  <c r="DB36" i="91"/>
  <c r="DB28" i="91"/>
  <c r="DB20" i="91"/>
  <c r="DB41" i="91"/>
  <c r="DB33" i="91"/>
  <c r="DB25" i="91"/>
  <c r="DB17" i="91"/>
  <c r="DB40" i="91"/>
  <c r="DB32" i="91"/>
  <c r="DB24" i="91"/>
  <c r="DB16" i="91"/>
  <c r="DB37" i="91"/>
  <c r="DB29" i="91"/>
  <c r="DB21" i="91"/>
  <c r="DB13" i="91"/>
  <c r="DB39" i="91"/>
  <c r="DB35" i="91"/>
  <c r="DB31" i="91"/>
  <c r="DB27" i="91"/>
  <c r="DB23" i="91"/>
  <c r="DB19" i="91"/>
  <c r="DB15" i="91"/>
  <c r="DD41" i="91"/>
  <c r="DD37" i="91"/>
  <c r="DD33" i="91"/>
  <c r="DD29" i="91"/>
  <c r="DD25" i="91"/>
  <c r="DD21" i="91"/>
  <c r="DD20" i="91"/>
  <c r="DD38" i="91"/>
  <c r="DD34" i="91"/>
  <c r="DD30" i="91"/>
  <c r="DD26" i="91"/>
  <c r="DD22" i="91"/>
  <c r="DB42" i="91"/>
  <c r="DB38" i="91"/>
  <c r="DB34" i="91"/>
  <c r="DB30" i="91"/>
  <c r="DB26" i="91"/>
  <c r="DB22" i="91"/>
  <c r="DB18" i="91"/>
  <c r="DD40" i="91"/>
  <c r="DD36" i="91"/>
  <c r="DD32" i="91"/>
  <c r="DD28" i="91"/>
  <c r="CP55" i="54"/>
  <c r="CQ23" i="54" s="1"/>
  <c r="CM55" i="54"/>
  <c r="CN27" i="54" l="1"/>
  <c r="CN28" i="54"/>
  <c r="CN29" i="54"/>
  <c r="CN30" i="54"/>
  <c r="CN31" i="54"/>
  <c r="CN32" i="54"/>
  <c r="CN33" i="54"/>
  <c r="CN34" i="54"/>
  <c r="CN35" i="54"/>
  <c r="CN36" i="54"/>
  <c r="CN37" i="54"/>
  <c r="CN38" i="54"/>
  <c r="CN39" i="54"/>
  <c r="CN26" i="54"/>
  <c r="DD51" i="91"/>
  <c r="DB51" i="91"/>
  <c r="DB53" i="91" s="1"/>
  <c r="CQ50" i="54"/>
  <c r="CQ42" i="54"/>
  <c r="CQ34" i="54"/>
  <c r="CQ26" i="54"/>
  <c r="CQ49" i="54"/>
  <c r="CQ45" i="54"/>
  <c r="CQ41" i="54"/>
  <c r="CQ37" i="54"/>
  <c r="CQ33" i="54"/>
  <c r="CQ29" i="54"/>
  <c r="CQ25" i="54"/>
  <c r="CQ21" i="54"/>
  <c r="CQ48" i="54"/>
  <c r="CQ44" i="54"/>
  <c r="CQ40" i="54"/>
  <c r="CQ36" i="54"/>
  <c r="CQ32" i="54"/>
  <c r="CQ28" i="54"/>
  <c r="CQ24" i="54"/>
  <c r="CQ46" i="54"/>
  <c r="CQ38" i="54"/>
  <c r="CQ30" i="54"/>
  <c r="CQ22" i="54"/>
  <c r="CQ20" i="54"/>
  <c r="CQ51" i="54"/>
  <c r="CQ47" i="54"/>
  <c r="CQ43" i="54"/>
  <c r="CQ39" i="54"/>
  <c r="CQ35" i="54"/>
  <c r="CQ31" i="54"/>
  <c r="CQ27" i="54"/>
  <c r="AF5" i="3"/>
  <c r="DD53" i="91" l="1"/>
  <c r="DG42" i="91"/>
  <c r="DG43" i="91"/>
  <c r="DG44" i="91"/>
  <c r="DG45" i="91"/>
  <c r="DG46" i="91"/>
  <c r="DG24" i="91"/>
  <c r="DG28" i="91"/>
  <c r="DG32" i="91"/>
  <c r="DG36" i="91"/>
  <c r="DG40" i="91"/>
  <c r="DG22" i="91"/>
  <c r="DG26" i="91"/>
  <c r="DG30" i="91"/>
  <c r="DG34" i="91"/>
  <c r="DG38" i="91"/>
  <c r="DG20" i="91"/>
  <c r="DG21" i="91"/>
  <c r="DG25" i="91"/>
  <c r="DG29" i="91"/>
  <c r="DG33" i="91"/>
  <c r="DG37" i="91"/>
  <c r="DG41" i="91"/>
  <c r="DG23" i="91"/>
  <c r="DG39" i="91"/>
  <c r="DG31" i="91"/>
  <c r="DG35" i="91"/>
  <c r="DG27" i="91"/>
  <c r="CN52" i="54"/>
  <c r="CO39" i="54" s="1"/>
  <c r="CQ52" i="54"/>
  <c r="CO38" i="54" l="1"/>
  <c r="CO30" i="54"/>
  <c r="CO29" i="54"/>
  <c r="CO37" i="54"/>
  <c r="CO33" i="54"/>
  <c r="CO34" i="54"/>
  <c r="CO28" i="54"/>
  <c r="CO32" i="54"/>
  <c r="CO36" i="54"/>
  <c r="CO26" i="54"/>
  <c r="CO27" i="54"/>
  <c r="CO31" i="54"/>
  <c r="CO35" i="54"/>
  <c r="CQ54" i="54"/>
  <c r="CR23" i="54"/>
  <c r="CR27" i="54"/>
  <c r="CR31" i="54"/>
  <c r="CR35" i="54"/>
  <c r="CR39" i="54"/>
  <c r="CR43" i="54"/>
  <c r="CR47" i="54"/>
  <c r="CR51" i="54"/>
  <c r="CR22" i="54"/>
  <c r="CR30" i="54"/>
  <c r="CR38" i="54"/>
  <c r="CR46" i="54"/>
  <c r="CR24" i="54"/>
  <c r="CR28" i="54"/>
  <c r="CR32" i="54"/>
  <c r="CR36" i="54"/>
  <c r="CR40" i="54"/>
  <c r="CR44" i="54"/>
  <c r="CR48" i="54"/>
  <c r="CR21" i="54"/>
  <c r="CR25" i="54"/>
  <c r="CR29" i="54"/>
  <c r="CR33" i="54"/>
  <c r="CR37" i="54"/>
  <c r="CR41" i="54"/>
  <c r="CR45" i="54"/>
  <c r="CR49" i="54"/>
  <c r="CR26" i="54"/>
  <c r="CR34" i="54"/>
  <c r="CR42" i="54"/>
  <c r="CR50" i="54"/>
  <c r="CO40" i="54"/>
  <c r="CO41" i="54"/>
  <c r="CN54" i="54"/>
  <c r="CR20" i="54"/>
  <c r="AF41" i="1"/>
  <c r="CR52" i="54" l="1"/>
  <c r="DR114" i="80"/>
  <c r="DP145" i="80"/>
  <c r="DP143" i="80"/>
  <c r="DP141" i="80"/>
  <c r="DH141" i="80"/>
  <c r="DH139" i="80"/>
  <c r="DI135" i="80"/>
  <c r="DH133" i="80"/>
  <c r="DI132" i="80"/>
  <c r="DQ131" i="80"/>
  <c r="DH131" i="80"/>
  <c r="DQ129" i="80"/>
  <c r="DH129" i="80"/>
  <c r="DI128" i="80"/>
  <c r="DH128" i="80"/>
  <c r="DQ127" i="80"/>
  <c r="DQ125" i="80"/>
  <c r="DH125" i="80"/>
  <c r="DQ123" i="80"/>
  <c r="DP122" i="80"/>
  <c r="DQ73" i="80"/>
  <c r="DP73" i="80"/>
  <c r="DP121" i="80" s="1"/>
  <c r="DO73" i="80"/>
  <c r="DO121" i="80" s="1"/>
  <c r="DN73" i="80"/>
  <c r="DM73" i="80"/>
  <c r="DM121" i="80" s="1"/>
  <c r="DL73" i="80"/>
  <c r="DL121" i="80" s="1"/>
  <c r="DK73" i="80"/>
  <c r="DK121" i="80" s="1"/>
  <c r="DJ73" i="80"/>
  <c r="DJ121" i="80" s="1"/>
  <c r="DI73" i="80"/>
  <c r="DI121" i="80" s="1"/>
  <c r="DQ72" i="80"/>
  <c r="DQ120" i="80" s="1"/>
  <c r="DP72" i="80"/>
  <c r="DP120" i="80" s="1"/>
  <c r="DO72" i="80"/>
  <c r="DN72" i="80"/>
  <c r="DM72" i="80"/>
  <c r="DL72" i="80"/>
  <c r="DK72" i="80"/>
  <c r="DJ72" i="80"/>
  <c r="DI72" i="80"/>
  <c r="DI120" i="80" s="1"/>
  <c r="DH72" i="80"/>
  <c r="DQ71" i="80"/>
  <c r="DQ119" i="80" s="1"/>
  <c r="DP71" i="80"/>
  <c r="DO71" i="80"/>
  <c r="DO119" i="80" s="1"/>
  <c r="DN71" i="80"/>
  <c r="DN119" i="80" s="1"/>
  <c r="DM71" i="80"/>
  <c r="DM119" i="80" s="1"/>
  <c r="DL71" i="80"/>
  <c r="DK71" i="80"/>
  <c r="DK119" i="80" s="1"/>
  <c r="DJ71" i="80"/>
  <c r="DJ119" i="80" s="1"/>
  <c r="DI71" i="80"/>
  <c r="DI119" i="80" s="1"/>
  <c r="DH71" i="80"/>
  <c r="DQ70" i="80"/>
  <c r="DQ118" i="80" s="1"/>
  <c r="DP70" i="80"/>
  <c r="DP118" i="80" s="1"/>
  <c r="DO70" i="80"/>
  <c r="DN70" i="80"/>
  <c r="DM70" i="80"/>
  <c r="DM118" i="80" s="1"/>
  <c r="DL70" i="80"/>
  <c r="DK70" i="80"/>
  <c r="DJ70" i="80"/>
  <c r="DI70" i="80"/>
  <c r="DI118" i="80" s="1"/>
  <c r="DH70" i="80"/>
  <c r="DQ69" i="80"/>
  <c r="DQ117" i="80" s="1"/>
  <c r="DP69" i="80"/>
  <c r="DP117" i="80" s="1"/>
  <c r="DO69" i="80"/>
  <c r="DN69" i="80"/>
  <c r="DM69" i="80"/>
  <c r="DL69" i="80"/>
  <c r="DL117" i="80" s="1"/>
  <c r="DK69" i="80"/>
  <c r="DJ69" i="80"/>
  <c r="DI69" i="80"/>
  <c r="DH69" i="80"/>
  <c r="DH117" i="80" s="1"/>
  <c r="DQ68" i="80"/>
  <c r="DP68" i="80"/>
  <c r="DP116" i="80" s="1"/>
  <c r="DO68" i="80"/>
  <c r="DN68" i="80"/>
  <c r="DM68" i="80"/>
  <c r="DL68" i="80"/>
  <c r="DK68" i="80"/>
  <c r="DJ68" i="80"/>
  <c r="DI68" i="80"/>
  <c r="DH68" i="80"/>
  <c r="DQ67" i="80"/>
  <c r="DQ115" i="80" s="1"/>
  <c r="DP67" i="80"/>
  <c r="DO67" i="80"/>
  <c r="DN67" i="80"/>
  <c r="DM67" i="80"/>
  <c r="DL67" i="80"/>
  <c r="DK67" i="80"/>
  <c r="DJ67" i="80"/>
  <c r="DJ115" i="80" s="1"/>
  <c r="DI67" i="80"/>
  <c r="DI115" i="80" s="1"/>
  <c r="DH67" i="80"/>
  <c r="DQ66" i="80"/>
  <c r="DQ114" i="80" s="1"/>
  <c r="DP66" i="80"/>
  <c r="DP114" i="80" s="1"/>
  <c r="DO66" i="80"/>
  <c r="DN66" i="80"/>
  <c r="DM66" i="80"/>
  <c r="DM114" i="80" s="1"/>
  <c r="DL66" i="80"/>
  <c r="DK66" i="80"/>
  <c r="DJ66" i="80"/>
  <c r="DI66" i="80"/>
  <c r="DI114" i="80" s="1"/>
  <c r="DH66" i="80"/>
  <c r="DQ65" i="80"/>
  <c r="DQ113" i="80" s="1"/>
  <c r="DP65" i="80"/>
  <c r="DP113" i="80" s="1"/>
  <c r="DO65" i="80"/>
  <c r="DN65" i="80"/>
  <c r="DM65" i="80"/>
  <c r="DL65" i="80"/>
  <c r="DL113" i="80" s="1"/>
  <c r="DK65" i="80"/>
  <c r="DJ65" i="80"/>
  <c r="DI65" i="80"/>
  <c r="DI113" i="80" s="1"/>
  <c r="DH65" i="80"/>
  <c r="DH113" i="80" s="1"/>
  <c r="DQ64" i="80"/>
  <c r="DP64" i="80"/>
  <c r="DO64" i="80"/>
  <c r="DN64" i="80"/>
  <c r="DM64" i="80"/>
  <c r="DM112" i="80" s="1"/>
  <c r="DL64" i="80"/>
  <c r="DK64" i="80"/>
  <c r="DJ64" i="80"/>
  <c r="DI64" i="80"/>
  <c r="DH64" i="80"/>
  <c r="DQ63" i="80"/>
  <c r="DP63" i="80"/>
  <c r="DP111" i="80" s="1"/>
  <c r="DO63" i="80"/>
  <c r="DN63" i="80"/>
  <c r="DM63" i="80"/>
  <c r="DL63" i="80"/>
  <c r="DK63" i="80"/>
  <c r="DJ63" i="80"/>
  <c r="DI63" i="80"/>
  <c r="DI111" i="80" s="1"/>
  <c r="DH63" i="80"/>
  <c r="DQ62" i="80"/>
  <c r="DQ110" i="80" s="1"/>
  <c r="DP62" i="80"/>
  <c r="DP110" i="80" s="1"/>
  <c r="DO62" i="80"/>
  <c r="DN62" i="80"/>
  <c r="DN110" i="80" s="1"/>
  <c r="DM62" i="80"/>
  <c r="DM110" i="80" s="1"/>
  <c r="DL62" i="80"/>
  <c r="DK62" i="80"/>
  <c r="DJ62" i="80"/>
  <c r="DI62" i="80"/>
  <c r="DI110" i="80" s="1"/>
  <c r="DH62" i="80"/>
  <c r="DQ61" i="80"/>
  <c r="DP61" i="80"/>
  <c r="DP109" i="80" s="1"/>
  <c r="DO61" i="80"/>
  <c r="DN61" i="80"/>
  <c r="DM61" i="80"/>
  <c r="DL61" i="80"/>
  <c r="DL109" i="80" s="1"/>
  <c r="DK61" i="80"/>
  <c r="DJ61" i="80"/>
  <c r="DI61" i="80"/>
  <c r="DH61" i="80"/>
  <c r="DQ60" i="80"/>
  <c r="DP60" i="80"/>
  <c r="DO60" i="80"/>
  <c r="DN60" i="80"/>
  <c r="DM60" i="80"/>
  <c r="DL60" i="80"/>
  <c r="DK60" i="80"/>
  <c r="DK108" i="80" s="1"/>
  <c r="DJ60" i="80"/>
  <c r="DI60" i="80"/>
  <c r="DH60" i="80"/>
  <c r="CS56" i="80"/>
  <c r="CS55" i="80"/>
  <c r="CS54" i="80"/>
  <c r="DR148" i="80"/>
  <c r="DK148" i="80"/>
  <c r="DH148" i="80"/>
  <c r="DR147" i="80"/>
  <c r="DQ147" i="80"/>
  <c r="DN147" i="80"/>
  <c r="DM147" i="80"/>
  <c r="DJ147" i="80"/>
  <c r="DI147" i="80"/>
  <c r="DH147" i="80"/>
  <c r="DR146" i="80"/>
  <c r="DQ146" i="80"/>
  <c r="DM146" i="80"/>
  <c r="DR145" i="80"/>
  <c r="DO145" i="80"/>
  <c r="DM145" i="80"/>
  <c r="DI145" i="80"/>
  <c r="DH145" i="80"/>
  <c r="DR144" i="80"/>
  <c r="DI144" i="80"/>
  <c r="DR143" i="80"/>
  <c r="DR142" i="80"/>
  <c r="DP142" i="80"/>
  <c r="DL142" i="80"/>
  <c r="DH142" i="80"/>
  <c r="DR141" i="80"/>
  <c r="DJ141" i="80"/>
  <c r="DR140" i="80"/>
  <c r="DL140" i="80"/>
  <c r="DH140" i="80"/>
  <c r="DR139" i="80"/>
  <c r="DN139" i="80"/>
  <c r="DR138" i="80"/>
  <c r="DH138" i="80"/>
  <c r="DR137" i="80"/>
  <c r="DR136" i="80"/>
  <c r="DP136" i="80"/>
  <c r="DR135" i="80"/>
  <c r="DR134" i="80"/>
  <c r="DR133" i="80"/>
  <c r="DR132" i="80"/>
  <c r="DR131" i="80"/>
  <c r="DR130" i="80"/>
  <c r="DP130" i="80"/>
  <c r="DH130" i="80"/>
  <c r="DR129" i="80"/>
  <c r="DJ129" i="80"/>
  <c r="DR128" i="80"/>
  <c r="DP128" i="80"/>
  <c r="DR127" i="80"/>
  <c r="DR126" i="80"/>
  <c r="DL126" i="80"/>
  <c r="DR125" i="80"/>
  <c r="DR124" i="80"/>
  <c r="DR123" i="80"/>
  <c r="DR122" i="80"/>
  <c r="DQ122" i="80"/>
  <c r="DM122" i="80"/>
  <c r="DR121" i="80"/>
  <c r="DQ121" i="80"/>
  <c r="DH121" i="80"/>
  <c r="DR120" i="80"/>
  <c r="DR119" i="80"/>
  <c r="DR118" i="80"/>
  <c r="DR117" i="80"/>
  <c r="DR116" i="80"/>
  <c r="DR115" i="80"/>
  <c r="DR113" i="80"/>
  <c r="DR112" i="80"/>
  <c r="DR111" i="80"/>
  <c r="DR110" i="80"/>
  <c r="DR109" i="80"/>
  <c r="DM109" i="80"/>
  <c r="DR108" i="80"/>
  <c r="DG51" i="91"/>
  <c r="DC51" i="91"/>
  <c r="DC53" i="91" s="1"/>
  <c r="DA51" i="91"/>
  <c r="DS60" i="80" l="1"/>
  <c r="DS62" i="80"/>
  <c r="DS66" i="80"/>
  <c r="DS72" i="80"/>
  <c r="DS64" i="80"/>
  <c r="DS70" i="80"/>
  <c r="DH118" i="80"/>
  <c r="DS68" i="80"/>
  <c r="DS61" i="80"/>
  <c r="DS63" i="80"/>
  <c r="DS65" i="80"/>
  <c r="DS67" i="80"/>
  <c r="DS69" i="80"/>
  <c r="DS71" i="80"/>
  <c r="DS73" i="80"/>
  <c r="DA53" i="91"/>
  <c r="DF45" i="91"/>
  <c r="DF44" i="91"/>
  <c r="DF43" i="91"/>
  <c r="DF42" i="91"/>
  <c r="DF41" i="91"/>
  <c r="DF40" i="91"/>
  <c r="DF39" i="91"/>
  <c r="DF38" i="91"/>
  <c r="DF37" i="91"/>
  <c r="DF36" i="91"/>
  <c r="DF35" i="91"/>
  <c r="DF34" i="91"/>
  <c r="DF33" i="91"/>
  <c r="DF32" i="91"/>
  <c r="DF31" i="91"/>
  <c r="DF30" i="91"/>
  <c r="DF29" i="91"/>
  <c r="DF28" i="91"/>
  <c r="DF27" i="91"/>
  <c r="DF26" i="91"/>
  <c r="DF25" i="91"/>
  <c r="DF24" i="91"/>
  <c r="DF23" i="91"/>
  <c r="DF22" i="91"/>
  <c r="DF21" i="91"/>
  <c r="DF20" i="91"/>
  <c r="DF19" i="91"/>
  <c r="DF18" i="91"/>
  <c r="DF17" i="91"/>
  <c r="DF16" i="91"/>
  <c r="DF15" i="91"/>
  <c r="DF14" i="91"/>
  <c r="DF13" i="91"/>
  <c r="DI126" i="80"/>
  <c r="DO131" i="80"/>
  <c r="DM142" i="80"/>
  <c r="DK127" i="80"/>
  <c r="DO137" i="80"/>
  <c r="DL133" i="80"/>
  <c r="DN134" i="80"/>
  <c r="DH123" i="80"/>
  <c r="DJ134" i="80"/>
  <c r="DI133" i="80"/>
  <c r="DN129" i="80"/>
  <c r="DJ135" i="80"/>
  <c r="DK125" i="80"/>
  <c r="DM126" i="80"/>
  <c r="DO127" i="80"/>
  <c r="DQ128" i="80"/>
  <c r="DN133" i="80"/>
  <c r="DJ136" i="80"/>
  <c r="DQ126" i="80"/>
  <c r="DK136" i="80"/>
  <c r="DP137" i="80"/>
  <c r="DM140" i="80"/>
  <c r="DK126" i="80"/>
  <c r="DI134" i="80"/>
  <c r="DM123" i="80"/>
  <c r="DL127" i="80"/>
  <c r="DK129" i="80"/>
  <c r="DQ134" i="80"/>
  <c r="DK133" i="80"/>
  <c r="DP138" i="80"/>
  <c r="DI112" i="80"/>
  <c r="DP115" i="80"/>
  <c r="DP123" i="80"/>
  <c r="DK131" i="80"/>
  <c r="DQ109" i="80"/>
  <c r="DH112" i="80"/>
  <c r="DJ114" i="80"/>
  <c r="DL115" i="80"/>
  <c r="DI116" i="80"/>
  <c r="DM120" i="80"/>
  <c r="DK122" i="80"/>
  <c r="DI124" i="80"/>
  <c r="DQ112" i="80"/>
  <c r="DK115" i="80"/>
  <c r="DQ116" i="80"/>
  <c r="DM117" i="80"/>
  <c r="DL119" i="80"/>
  <c r="DP119" i="80"/>
  <c r="DO122" i="80"/>
  <c r="DL123" i="80"/>
  <c r="DH124" i="80"/>
  <c r="DJ125" i="80"/>
  <c r="DH126" i="80"/>
  <c r="DH127" i="80"/>
  <c r="DP127" i="80"/>
  <c r="DJ133" i="80"/>
  <c r="DQ135" i="80"/>
  <c r="DN136" i="80"/>
  <c r="DH137" i="80"/>
  <c r="DI140" i="80"/>
  <c r="DP140" i="80"/>
  <c r="DN141" i="80"/>
  <c r="DL143" i="80"/>
  <c r="DP148" i="80"/>
  <c r="DL148" i="80"/>
  <c r="DH119" i="80"/>
  <c r="DL111" i="80"/>
  <c r="DM116" i="80"/>
  <c r="DQ124" i="80"/>
  <c r="DN125" i="80"/>
  <c r="DH115" i="80"/>
  <c r="DO126" i="80"/>
  <c r="DH132" i="80"/>
  <c r="DQ132" i="80"/>
  <c r="DO136" i="80"/>
  <c r="DL137" i="80"/>
  <c r="DP139" i="80"/>
  <c r="DQ140" i="80"/>
  <c r="DQ145" i="80"/>
  <c r="DQ148" i="80"/>
  <c r="DQ111" i="80"/>
  <c r="DH110" i="80"/>
  <c r="DP112" i="80"/>
  <c r="DP124" i="80"/>
  <c r="DL128" i="80"/>
  <c r="DJ137" i="80"/>
  <c r="DL141" i="80"/>
  <c r="DH143" i="80"/>
  <c r="DL147" i="80"/>
  <c r="DJ148" i="80"/>
  <c r="DK110" i="80"/>
  <c r="DO110" i="80"/>
  <c r="DH114" i="80"/>
  <c r="DL116" i="80"/>
  <c r="DL118" i="80"/>
  <c r="DH120" i="80"/>
  <c r="DL120" i="80"/>
  <c r="DH122" i="80"/>
  <c r="DL124" i="80"/>
  <c r="DJ127" i="80"/>
  <c r="DO129" i="80"/>
  <c r="DI130" i="80"/>
  <c r="DP132" i="80"/>
  <c r="DO133" i="80"/>
  <c r="DM134" i="80"/>
  <c r="DH135" i="80"/>
  <c r="DL135" i="80"/>
  <c r="DL139" i="80"/>
  <c r="DI142" i="80"/>
  <c r="DQ142" i="80"/>
  <c r="DQ144" i="80"/>
  <c r="DL145" i="80"/>
  <c r="DP147" i="80"/>
  <c r="DI148" i="80"/>
  <c r="DM115" i="80"/>
  <c r="DL110" i="80"/>
  <c r="DJ131" i="80"/>
  <c r="DL132" i="80"/>
  <c r="DP135" i="80"/>
  <c r="DI109" i="80"/>
  <c r="DN109" i="80"/>
  <c r="DM111" i="80"/>
  <c r="DM113" i="80"/>
  <c r="DL114" i="80"/>
  <c r="DI117" i="80"/>
  <c r="DK120" i="80"/>
  <c r="DO120" i="80"/>
  <c r="DL122" i="80"/>
  <c r="DI123" i="80"/>
  <c r="DO125" i="80"/>
  <c r="DN127" i="80"/>
  <c r="DQ130" i="80"/>
  <c r="DN131" i="80"/>
  <c r="DO132" i="80"/>
  <c r="DL136" i="80"/>
  <c r="DN137" i="80"/>
  <c r="DJ140" i="80"/>
  <c r="DO141" i="80"/>
  <c r="DM144" i="80"/>
  <c r="DI146" i="80"/>
  <c r="DM148" i="80"/>
  <c r="DK112" i="80"/>
  <c r="DO117" i="80"/>
  <c r="DK123" i="80"/>
  <c r="DK124" i="80"/>
  <c r="DI125" i="80"/>
  <c r="DK128" i="80"/>
  <c r="DI129" i="80"/>
  <c r="DO130" i="80"/>
  <c r="DK144" i="80"/>
  <c r="DK111" i="80"/>
  <c r="DK113" i="80"/>
  <c r="DO113" i="80"/>
  <c r="DN115" i="80"/>
  <c r="DO118" i="80"/>
  <c r="DN123" i="80"/>
  <c r="DJ124" i="80"/>
  <c r="DK109" i="80"/>
  <c r="DO109" i="80"/>
  <c r="DJ111" i="80"/>
  <c r="DN111" i="80"/>
  <c r="DJ113" i="80"/>
  <c r="DK114" i="80"/>
  <c r="DO114" i="80"/>
  <c r="DK116" i="80"/>
  <c r="DO116" i="80"/>
  <c r="DP125" i="80"/>
  <c r="DI127" i="80"/>
  <c r="DM127" i="80"/>
  <c r="DP129" i="80"/>
  <c r="DK130" i="80"/>
  <c r="DP131" i="80"/>
  <c r="DK132" i="80"/>
  <c r="DK134" i="80"/>
  <c r="DO134" i="80"/>
  <c r="DI136" i="80"/>
  <c r="DM136" i="80"/>
  <c r="DQ136" i="80"/>
  <c r="DK137" i="80"/>
  <c r="DI138" i="80"/>
  <c r="DQ138" i="80"/>
  <c r="DJ139" i="80"/>
  <c r="DO139" i="80"/>
  <c r="DK141" i="80"/>
  <c r="DK143" i="80"/>
  <c r="DK145" i="80"/>
  <c r="DK147" i="80"/>
  <c r="DO147" i="80"/>
  <c r="DO108" i="80"/>
  <c r="DN148" i="80"/>
  <c r="DO112" i="80"/>
  <c r="DO115" i="80"/>
  <c r="DK117" i="80"/>
  <c r="DO123" i="80"/>
  <c r="DI131" i="80"/>
  <c r="DQ133" i="80"/>
  <c r="DM138" i="80"/>
  <c r="DO143" i="80"/>
  <c r="DO111" i="80"/>
  <c r="DN117" i="80"/>
  <c r="DK118" i="80"/>
  <c r="DJ123" i="80"/>
  <c r="DO124" i="80"/>
  <c r="DL125" i="80"/>
  <c r="DO128" i="80"/>
  <c r="DL129" i="80"/>
  <c r="DL131" i="80"/>
  <c r="DP133" i="80"/>
  <c r="DH134" i="80"/>
  <c r="DL134" i="80"/>
  <c r="DP134" i="80"/>
  <c r="DN135" i="80"/>
  <c r="DL138" i="80"/>
  <c r="DK139" i="80"/>
  <c r="DO148" i="80"/>
  <c r="DI101" i="80"/>
  <c r="DM101" i="80"/>
  <c r="DQ101" i="80"/>
  <c r="DM128" i="80"/>
  <c r="DM129" i="80"/>
  <c r="DM132" i="80"/>
  <c r="DM133" i="80"/>
  <c r="DM135" i="80"/>
  <c r="DN101" i="80"/>
  <c r="DM124" i="80"/>
  <c r="DM125" i="80"/>
  <c r="DM130" i="80"/>
  <c r="DM131" i="80"/>
  <c r="DK140" i="80"/>
  <c r="DI122" i="80"/>
  <c r="DH109" i="80"/>
  <c r="DH111" i="80"/>
  <c r="DL108" i="80"/>
  <c r="DK138" i="80"/>
  <c r="DM143" i="80"/>
  <c r="DP144" i="80"/>
  <c r="DJ109" i="80"/>
  <c r="DP126" i="80"/>
  <c r="DH136" i="80"/>
  <c r="DM108" i="80"/>
  <c r="DO135" i="80"/>
  <c r="DI141" i="80"/>
  <c r="DM141" i="80"/>
  <c r="DQ141" i="80"/>
  <c r="DJ143" i="80"/>
  <c r="DJ101" i="80"/>
  <c r="DO101" i="80"/>
  <c r="DL112" i="80"/>
  <c r="DH116" i="80"/>
  <c r="DN118" i="80"/>
  <c r="DJ122" i="80"/>
  <c r="DJ108" i="80"/>
  <c r="DN108" i="80"/>
  <c r="DR149" i="80"/>
  <c r="DR152" i="80" s="1"/>
  <c r="DJ110" i="80"/>
  <c r="DJ112" i="80"/>
  <c r="DN112" i="80"/>
  <c r="DN114" i="80"/>
  <c r="DJ116" i="80"/>
  <c r="DN116" i="80"/>
  <c r="DJ118" i="80"/>
  <c r="DJ120" i="80"/>
  <c r="DN120" i="80"/>
  <c r="DN122" i="80"/>
  <c r="DN124" i="80"/>
  <c r="DJ126" i="80"/>
  <c r="DN126" i="80"/>
  <c r="DJ128" i="80"/>
  <c r="DN128" i="80"/>
  <c r="DJ130" i="80"/>
  <c r="DN130" i="80"/>
  <c r="DJ132" i="80"/>
  <c r="DN132" i="80"/>
  <c r="DI139" i="80"/>
  <c r="DM139" i="80"/>
  <c r="DQ139" i="80"/>
  <c r="DK142" i="80"/>
  <c r="DO142" i="80"/>
  <c r="DH146" i="80"/>
  <c r="DP146" i="80"/>
  <c r="DK101" i="80"/>
  <c r="DN113" i="80"/>
  <c r="DJ117" i="80"/>
  <c r="DL130" i="80"/>
  <c r="DJ142" i="80"/>
  <c r="DL146" i="80"/>
  <c r="DO138" i="80"/>
  <c r="DI143" i="80"/>
  <c r="DQ143" i="80"/>
  <c r="DH144" i="80"/>
  <c r="DN121" i="80"/>
  <c r="DI108" i="80"/>
  <c r="DQ108" i="80"/>
  <c r="DK135" i="80"/>
  <c r="DN143" i="80"/>
  <c r="DP108" i="80"/>
  <c r="DL144" i="80"/>
  <c r="DI137" i="80"/>
  <c r="DM137" i="80"/>
  <c r="DQ137" i="80"/>
  <c r="DO140" i="80"/>
  <c r="DJ145" i="80"/>
  <c r="DN145" i="80"/>
  <c r="DH108" i="80"/>
  <c r="DJ138" i="80"/>
  <c r="DN138" i="80"/>
  <c r="DN140" i="80"/>
  <c r="DN142" i="80"/>
  <c r="DJ144" i="80"/>
  <c r="DN144" i="80"/>
  <c r="DJ146" i="80"/>
  <c r="DN146" i="80"/>
  <c r="DH101" i="80"/>
  <c r="DL101" i="80"/>
  <c r="DP101" i="80"/>
  <c r="DO144" i="80"/>
  <c r="DK146" i="80"/>
  <c r="DO146" i="80"/>
  <c r="CY51" i="91"/>
  <c r="DF51" i="91" l="1"/>
  <c r="CY53" i="91"/>
  <c r="DE13" i="91"/>
  <c r="DE14" i="91"/>
  <c r="DE15" i="91"/>
  <c r="DE16" i="91"/>
  <c r="DE17" i="91"/>
  <c r="DE18" i="91"/>
  <c r="DE19" i="91"/>
  <c r="DE20" i="91"/>
  <c r="DE21" i="91"/>
  <c r="DE22" i="91"/>
  <c r="DE23" i="91"/>
  <c r="DE24" i="91"/>
  <c r="DE25" i="91"/>
  <c r="DE26" i="91"/>
  <c r="DE27" i="91"/>
  <c r="DE28" i="91"/>
  <c r="DE29" i="91"/>
  <c r="DE30" i="91"/>
  <c r="DE31" i="91"/>
  <c r="DE32" i="91"/>
  <c r="DE33" i="91"/>
  <c r="DE34" i="91"/>
  <c r="DE35" i="91"/>
  <c r="DE36" i="91"/>
  <c r="DE37" i="91"/>
  <c r="DE38" i="91"/>
  <c r="DE39" i="91"/>
  <c r="DE9" i="91"/>
  <c r="DE10" i="91"/>
  <c r="DE11" i="91"/>
  <c r="DE12" i="91"/>
  <c r="DE7" i="91"/>
  <c r="DE8" i="91"/>
  <c r="DE6" i="91"/>
  <c r="DS101" i="80"/>
  <c r="DH149" i="80"/>
  <c r="DO149" i="80"/>
  <c r="DO152" i="80" s="1"/>
  <c r="DK149" i="80"/>
  <c r="DK152" i="80" s="1"/>
  <c r="DQ149" i="80"/>
  <c r="DQ152" i="80" s="1"/>
  <c r="DJ149" i="80"/>
  <c r="DJ152" i="80" s="1"/>
  <c r="DM149" i="80"/>
  <c r="DM152" i="80" s="1"/>
  <c r="DL149" i="80"/>
  <c r="DL152" i="80" s="1"/>
  <c r="DN149" i="80"/>
  <c r="DN152" i="80" s="1"/>
  <c r="DP149" i="80"/>
  <c r="DP152" i="80" s="1"/>
  <c r="DI149" i="80"/>
  <c r="DI152" i="80" s="1"/>
  <c r="AH55" i="38"/>
  <c r="AJ55" i="38"/>
  <c r="AF55" i="38"/>
  <c r="DE51" i="91" l="1"/>
  <c r="AL55" i="38"/>
  <c r="EA52" i="80"/>
  <c r="EA51" i="80" s="1"/>
  <c r="DV52" i="80"/>
  <c r="DV51" i="80" s="1"/>
  <c r="DW52" i="80"/>
  <c r="DW51" i="80" s="1"/>
  <c r="DX52" i="80"/>
  <c r="DX51" i="80" s="1"/>
  <c r="EB52" i="80"/>
  <c r="EB51" i="80" s="1"/>
  <c r="DT52" i="80"/>
  <c r="DT51" i="80" s="1"/>
  <c r="DZ52" i="80"/>
  <c r="DZ51" i="80" s="1"/>
  <c r="DU52" i="80"/>
  <c r="DU51" i="80" s="1"/>
  <c r="DY52" i="80"/>
  <c r="DY51" i="80" s="1"/>
  <c r="BR4" i="39" l="1"/>
  <c r="BR5" i="39"/>
  <c r="BR6" i="39"/>
  <c r="BR7" i="39"/>
  <c r="BR8" i="39"/>
  <c r="BR9" i="39"/>
  <c r="BR10" i="39"/>
  <c r="BR11" i="39"/>
  <c r="BR12" i="39"/>
  <c r="BR13" i="39"/>
  <c r="BR14" i="39"/>
  <c r="BR15" i="39"/>
  <c r="BR16" i="39"/>
  <c r="BR17" i="39"/>
  <c r="BR18" i="39"/>
  <c r="BR19" i="39"/>
  <c r="BR20" i="39"/>
  <c r="BR21" i="39"/>
  <c r="BR22" i="39"/>
  <c r="BR23" i="39"/>
  <c r="BR24" i="39"/>
  <c r="BR26" i="39"/>
  <c r="BR27" i="39"/>
  <c r="BR28" i="39"/>
  <c r="BR29" i="39"/>
  <c r="BR30" i="39"/>
  <c r="BR31" i="39"/>
  <c r="BR32" i="39"/>
  <c r="BR33" i="39"/>
  <c r="BR34" i="39"/>
  <c r="BR35" i="39"/>
  <c r="BR36" i="39"/>
  <c r="BR37" i="39"/>
  <c r="BR38" i="39"/>
  <c r="BR39" i="39"/>
  <c r="BR40" i="39"/>
  <c r="BR41" i="39"/>
  <c r="BR42" i="39"/>
  <c r="BR43" i="39"/>
  <c r="BR44" i="39"/>
  <c r="BR45" i="39"/>
  <c r="BR46" i="39"/>
  <c r="BR47" i="39"/>
  <c r="BR3" i="39"/>
  <c r="BQ8" i="39"/>
  <c r="BQ9" i="39"/>
  <c r="BQ10" i="39"/>
  <c r="BQ11" i="39"/>
  <c r="BQ12" i="39"/>
  <c r="BQ13" i="39"/>
  <c r="BQ14" i="39"/>
  <c r="BQ15" i="39"/>
  <c r="BQ16" i="39"/>
  <c r="BQ17" i="39"/>
  <c r="BQ18" i="39"/>
  <c r="BQ19" i="39"/>
  <c r="BQ20" i="39"/>
  <c r="BQ21" i="39"/>
  <c r="BQ22" i="39"/>
  <c r="BQ23" i="39"/>
  <c r="BQ24" i="39"/>
  <c r="BQ25" i="39"/>
  <c r="BQ26" i="39"/>
  <c r="BQ27" i="39"/>
  <c r="BQ28" i="39"/>
  <c r="BQ29" i="39"/>
  <c r="BQ30" i="39"/>
  <c r="BQ31" i="39"/>
  <c r="BQ32" i="39"/>
  <c r="BQ33" i="39"/>
  <c r="BQ34" i="39"/>
  <c r="BQ35" i="39"/>
  <c r="BQ36" i="39"/>
  <c r="BQ37" i="39"/>
  <c r="BQ38" i="39"/>
  <c r="BQ39" i="39"/>
  <c r="BQ40" i="39"/>
  <c r="BQ41" i="39"/>
  <c r="BQ42" i="39"/>
  <c r="BQ43" i="39"/>
  <c r="BQ44" i="39"/>
  <c r="BQ45" i="39"/>
  <c r="BQ46" i="39"/>
  <c r="BQ47" i="39"/>
  <c r="BQ4" i="39"/>
  <c r="BQ5" i="39"/>
  <c r="BQ6" i="39"/>
  <c r="BQ7" i="39"/>
  <c r="BQ3" i="39"/>
  <c r="CP52" i="54" l="1"/>
  <c r="CP54" i="54" s="1"/>
  <c r="E4" i="98"/>
  <c r="E5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3" i="98"/>
  <c r="BF54" i="79" l="1"/>
  <c r="BF55" i="79"/>
  <c r="BF53" i="79"/>
  <c r="BF51" i="79"/>
  <c r="BF52" i="79"/>
  <c r="BG52" i="79" l="1"/>
  <c r="BF50" i="79"/>
  <c r="BF49" i="79"/>
  <c r="BF48" i="79"/>
  <c r="BF47" i="79"/>
  <c r="BF41" i="79"/>
  <c r="BF40" i="79"/>
  <c r="BF39" i="79"/>
  <c r="BF38" i="79"/>
  <c r="BG39" i="79" l="1"/>
  <c r="BG48" i="79"/>
  <c r="BF7" i="79"/>
  <c r="BF8" i="79"/>
  <c r="BF9" i="79"/>
  <c r="BF6" i="79"/>
  <c r="BF33" i="79"/>
  <c r="BF32" i="79"/>
  <c r="BF31" i="79"/>
  <c r="BF30" i="79"/>
  <c r="BF29" i="79"/>
  <c r="BF25" i="79"/>
  <c r="BF24" i="79"/>
  <c r="BF23" i="79"/>
  <c r="BF22" i="79"/>
  <c r="BF21" i="79"/>
  <c r="BF20" i="79"/>
  <c r="BF19" i="79"/>
  <c r="BF18" i="79"/>
  <c r="BF17" i="79"/>
  <c r="BF16" i="79"/>
  <c r="BF15" i="79"/>
  <c r="BF14" i="79"/>
  <c r="BF13" i="79"/>
  <c r="BF12" i="79"/>
  <c r="BF11" i="79"/>
  <c r="BF10" i="79"/>
  <c r="BG19" i="79" l="1"/>
  <c r="BG31" i="79"/>
  <c r="BG11" i="79"/>
  <c r="BG23" i="79"/>
  <c r="AF15" i="3"/>
  <c r="AE15" i="3"/>
  <c r="AD15" i="3"/>
  <c r="AF17" i="3"/>
  <c r="AG14" i="2" l="1"/>
  <c r="W17" i="2" l="1"/>
  <c r="AF52" i="1"/>
  <c r="AE74" i="1" l="1"/>
  <c r="AF74" i="1"/>
  <c r="AF48" i="1"/>
  <c r="AE78" i="1" l="1"/>
  <c r="AE82" i="1" s="1"/>
  <c r="AF78" i="1"/>
  <c r="AF12" i="1"/>
  <c r="AF82" i="1" l="1"/>
  <c r="AF94" i="1" l="1"/>
  <c r="AF55" i="1" l="1"/>
  <c r="AF56" i="1" s="1"/>
  <c r="AF58" i="1" l="1"/>
  <c r="AF93" i="1"/>
  <c r="AE13" i="11" l="1"/>
  <c r="AE17" i="11" s="1"/>
  <c r="BU93" i="80"/>
  <c r="CG93" i="80" s="1"/>
  <c r="BM73" i="80"/>
  <c r="BY73" i="80" s="1"/>
  <c r="BN73" i="80"/>
  <c r="BZ73" i="80" s="1"/>
  <c r="BO73" i="80"/>
  <c r="CA73" i="80" s="1"/>
  <c r="BP73" i="80"/>
  <c r="CB73" i="80" s="1"/>
  <c r="BQ73" i="80"/>
  <c r="CC73" i="80" s="1"/>
  <c r="BR73" i="80"/>
  <c r="CD73" i="80" s="1"/>
  <c r="BS73" i="80"/>
  <c r="CE73" i="80" s="1"/>
  <c r="BT73" i="80"/>
  <c r="CF73" i="80" s="1"/>
  <c r="BU73" i="80"/>
  <c r="CG73" i="80" s="1"/>
  <c r="BM74" i="80"/>
  <c r="BY74" i="80" s="1"/>
  <c r="BN74" i="80"/>
  <c r="BZ74" i="80" s="1"/>
  <c r="BO74" i="80"/>
  <c r="CA74" i="80" s="1"/>
  <c r="BP74" i="80"/>
  <c r="CB74" i="80" s="1"/>
  <c r="BQ74" i="80"/>
  <c r="CC74" i="80" s="1"/>
  <c r="BR74" i="80"/>
  <c r="CD74" i="80" s="1"/>
  <c r="BS74" i="80"/>
  <c r="CE74" i="80" s="1"/>
  <c r="BT74" i="80"/>
  <c r="CF74" i="80" s="1"/>
  <c r="BU74" i="80"/>
  <c r="CG74" i="80" s="1"/>
  <c r="BM75" i="80"/>
  <c r="BY75" i="80" s="1"/>
  <c r="BN75" i="80"/>
  <c r="BZ75" i="80" s="1"/>
  <c r="BO75" i="80"/>
  <c r="CA75" i="80" s="1"/>
  <c r="BP75" i="80"/>
  <c r="CB75" i="80" s="1"/>
  <c r="BQ75" i="80"/>
  <c r="CC75" i="80" s="1"/>
  <c r="BR75" i="80"/>
  <c r="CD75" i="80" s="1"/>
  <c r="BS75" i="80"/>
  <c r="CE75" i="80" s="1"/>
  <c r="BT75" i="80"/>
  <c r="CF75" i="80" s="1"/>
  <c r="BU75" i="80"/>
  <c r="CG75" i="80" s="1"/>
  <c r="BM76" i="80"/>
  <c r="BY76" i="80" s="1"/>
  <c r="BN76" i="80"/>
  <c r="BZ76" i="80" s="1"/>
  <c r="BO76" i="80"/>
  <c r="CA76" i="80" s="1"/>
  <c r="BP76" i="80"/>
  <c r="CB76" i="80" s="1"/>
  <c r="BQ76" i="80"/>
  <c r="CC76" i="80" s="1"/>
  <c r="BR76" i="80"/>
  <c r="CD76" i="80" s="1"/>
  <c r="BS76" i="80"/>
  <c r="CE76" i="80" s="1"/>
  <c r="BT76" i="80"/>
  <c r="CF76" i="80" s="1"/>
  <c r="BU76" i="80"/>
  <c r="CG76" i="80" s="1"/>
  <c r="BM77" i="80"/>
  <c r="BY77" i="80" s="1"/>
  <c r="BN77" i="80"/>
  <c r="BZ77" i="80" s="1"/>
  <c r="BO77" i="80"/>
  <c r="CA77" i="80" s="1"/>
  <c r="BP77" i="80"/>
  <c r="CB77" i="80" s="1"/>
  <c r="BQ77" i="80"/>
  <c r="CC77" i="80" s="1"/>
  <c r="BR77" i="80"/>
  <c r="CD77" i="80" s="1"/>
  <c r="BS77" i="80"/>
  <c r="CE77" i="80" s="1"/>
  <c r="BT77" i="80"/>
  <c r="CF77" i="80" s="1"/>
  <c r="BU77" i="80"/>
  <c r="CG77" i="80" s="1"/>
  <c r="BM78" i="80"/>
  <c r="BY78" i="80" s="1"/>
  <c r="BN78" i="80"/>
  <c r="BZ78" i="80" s="1"/>
  <c r="BO78" i="80"/>
  <c r="CA78" i="80" s="1"/>
  <c r="BP78" i="80"/>
  <c r="CB78" i="80" s="1"/>
  <c r="BQ78" i="80"/>
  <c r="CC78" i="80" s="1"/>
  <c r="BR78" i="80"/>
  <c r="CD78" i="80" s="1"/>
  <c r="BS78" i="80"/>
  <c r="CE78" i="80" s="1"/>
  <c r="BT78" i="80"/>
  <c r="CF78" i="80" s="1"/>
  <c r="BU78" i="80"/>
  <c r="CG78" i="80" s="1"/>
  <c r="BM79" i="80"/>
  <c r="BY79" i="80" s="1"/>
  <c r="BN79" i="80"/>
  <c r="BZ79" i="80" s="1"/>
  <c r="BO79" i="80"/>
  <c r="CA79" i="80" s="1"/>
  <c r="BP79" i="80"/>
  <c r="CB79" i="80" s="1"/>
  <c r="BQ79" i="80"/>
  <c r="CC79" i="80" s="1"/>
  <c r="BR79" i="80"/>
  <c r="CD79" i="80" s="1"/>
  <c r="BS79" i="80"/>
  <c r="CE79" i="80" s="1"/>
  <c r="BT79" i="80"/>
  <c r="CF79" i="80" s="1"/>
  <c r="BU79" i="80"/>
  <c r="CG79" i="80" s="1"/>
  <c r="BM80" i="80"/>
  <c r="BY80" i="80" s="1"/>
  <c r="BN80" i="80"/>
  <c r="BZ80" i="80" s="1"/>
  <c r="BO80" i="80"/>
  <c r="CA80" i="80" s="1"/>
  <c r="BP80" i="80"/>
  <c r="CB80" i="80" s="1"/>
  <c r="BQ80" i="80"/>
  <c r="CC80" i="80" s="1"/>
  <c r="BR80" i="80"/>
  <c r="CD80" i="80" s="1"/>
  <c r="BS80" i="80"/>
  <c r="CE80" i="80" s="1"/>
  <c r="BT80" i="80"/>
  <c r="CF80" i="80" s="1"/>
  <c r="BU80" i="80"/>
  <c r="CG80" i="80" s="1"/>
  <c r="BM81" i="80"/>
  <c r="BY81" i="80" s="1"/>
  <c r="BN81" i="80"/>
  <c r="BZ81" i="80" s="1"/>
  <c r="BO81" i="80"/>
  <c r="CA81" i="80" s="1"/>
  <c r="BP81" i="80"/>
  <c r="CB81" i="80" s="1"/>
  <c r="BQ81" i="80"/>
  <c r="CC81" i="80" s="1"/>
  <c r="BR81" i="80"/>
  <c r="CD81" i="80" s="1"/>
  <c r="BS81" i="80"/>
  <c r="CE81" i="80" s="1"/>
  <c r="BT81" i="80"/>
  <c r="CF81" i="80" s="1"/>
  <c r="BU81" i="80"/>
  <c r="CG81" i="80" s="1"/>
  <c r="BM82" i="80"/>
  <c r="BY82" i="80" s="1"/>
  <c r="BN82" i="80"/>
  <c r="BZ82" i="80" s="1"/>
  <c r="BO82" i="80"/>
  <c r="CA82" i="80" s="1"/>
  <c r="BP82" i="80"/>
  <c r="CB82" i="80" s="1"/>
  <c r="BQ82" i="80"/>
  <c r="CC82" i="80" s="1"/>
  <c r="BR82" i="80"/>
  <c r="CD82" i="80" s="1"/>
  <c r="BS82" i="80"/>
  <c r="CE82" i="80" s="1"/>
  <c r="BT82" i="80"/>
  <c r="CF82" i="80" s="1"/>
  <c r="BU82" i="80"/>
  <c r="CG82" i="80" s="1"/>
  <c r="BM83" i="80"/>
  <c r="BY83" i="80" s="1"/>
  <c r="BN83" i="80"/>
  <c r="BZ83" i="80" s="1"/>
  <c r="BO83" i="80"/>
  <c r="CA83" i="80" s="1"/>
  <c r="BP83" i="80"/>
  <c r="CB83" i="80" s="1"/>
  <c r="BQ83" i="80"/>
  <c r="CC83" i="80" s="1"/>
  <c r="BR83" i="80"/>
  <c r="CD83" i="80" s="1"/>
  <c r="BS83" i="80"/>
  <c r="CE83" i="80" s="1"/>
  <c r="BT83" i="80"/>
  <c r="CF83" i="80" s="1"/>
  <c r="BU83" i="80"/>
  <c r="CG83" i="80" s="1"/>
  <c r="BM84" i="80"/>
  <c r="BY84" i="80" s="1"/>
  <c r="BN84" i="80"/>
  <c r="BZ84" i="80" s="1"/>
  <c r="BO84" i="80"/>
  <c r="CA84" i="80" s="1"/>
  <c r="BP84" i="80"/>
  <c r="CB84" i="80" s="1"/>
  <c r="BQ84" i="80"/>
  <c r="CC84" i="80" s="1"/>
  <c r="BR84" i="80"/>
  <c r="CD84" i="80" s="1"/>
  <c r="BS84" i="80"/>
  <c r="CE84" i="80" s="1"/>
  <c r="BT84" i="80"/>
  <c r="CF84" i="80" s="1"/>
  <c r="BU84" i="80"/>
  <c r="CG84" i="80" s="1"/>
  <c r="BM85" i="80"/>
  <c r="BY85" i="80" s="1"/>
  <c r="BN85" i="80"/>
  <c r="BZ85" i="80" s="1"/>
  <c r="BO85" i="80"/>
  <c r="CA85" i="80" s="1"/>
  <c r="BP85" i="80"/>
  <c r="CB85" i="80" s="1"/>
  <c r="BQ85" i="80"/>
  <c r="CC85" i="80" s="1"/>
  <c r="BR85" i="80"/>
  <c r="CD85" i="80" s="1"/>
  <c r="BS85" i="80"/>
  <c r="CE85" i="80" s="1"/>
  <c r="BT85" i="80"/>
  <c r="CF85" i="80" s="1"/>
  <c r="BU85" i="80"/>
  <c r="CG85" i="80" s="1"/>
  <c r="BM86" i="80"/>
  <c r="BY86" i="80" s="1"/>
  <c r="BN86" i="80"/>
  <c r="BZ86" i="80" s="1"/>
  <c r="BO86" i="80"/>
  <c r="CA86" i="80" s="1"/>
  <c r="BP86" i="80"/>
  <c r="CB86" i="80" s="1"/>
  <c r="BQ86" i="80"/>
  <c r="CC86" i="80" s="1"/>
  <c r="BR86" i="80"/>
  <c r="CD86" i="80" s="1"/>
  <c r="BS86" i="80"/>
  <c r="CE86" i="80" s="1"/>
  <c r="BT86" i="80"/>
  <c r="CF86" i="80" s="1"/>
  <c r="BU86" i="80"/>
  <c r="CG86" i="80" s="1"/>
  <c r="BM87" i="80"/>
  <c r="BY87" i="80" s="1"/>
  <c r="BN87" i="80"/>
  <c r="BZ87" i="80" s="1"/>
  <c r="BO87" i="80"/>
  <c r="CA87" i="80" s="1"/>
  <c r="BP87" i="80"/>
  <c r="CB87" i="80" s="1"/>
  <c r="BQ87" i="80"/>
  <c r="CC87" i="80" s="1"/>
  <c r="BR87" i="80"/>
  <c r="CD87" i="80" s="1"/>
  <c r="BS87" i="80"/>
  <c r="CE87" i="80" s="1"/>
  <c r="BT87" i="80"/>
  <c r="CF87" i="80" s="1"/>
  <c r="BU87" i="80"/>
  <c r="CG87" i="80" s="1"/>
  <c r="BM88" i="80"/>
  <c r="BY88" i="80" s="1"/>
  <c r="BN88" i="80"/>
  <c r="BZ88" i="80" s="1"/>
  <c r="BO88" i="80"/>
  <c r="CA88" i="80" s="1"/>
  <c r="BP88" i="80"/>
  <c r="CB88" i="80" s="1"/>
  <c r="BQ88" i="80"/>
  <c r="CC88" i="80" s="1"/>
  <c r="BR88" i="80"/>
  <c r="CD88" i="80" s="1"/>
  <c r="BS88" i="80"/>
  <c r="CE88" i="80" s="1"/>
  <c r="BT88" i="80"/>
  <c r="CF88" i="80" s="1"/>
  <c r="BU88" i="80"/>
  <c r="CG88" i="80" s="1"/>
  <c r="BM89" i="80"/>
  <c r="BY89" i="80" s="1"/>
  <c r="BN89" i="80"/>
  <c r="BZ89" i="80" s="1"/>
  <c r="BO89" i="80"/>
  <c r="CA89" i="80" s="1"/>
  <c r="BP89" i="80"/>
  <c r="CB89" i="80" s="1"/>
  <c r="BQ89" i="80"/>
  <c r="CC89" i="80" s="1"/>
  <c r="BR89" i="80"/>
  <c r="CD89" i="80" s="1"/>
  <c r="BS89" i="80"/>
  <c r="CE89" i="80" s="1"/>
  <c r="BT89" i="80"/>
  <c r="CF89" i="80" s="1"/>
  <c r="BU89" i="80"/>
  <c r="CG89" i="80" s="1"/>
  <c r="BM90" i="80"/>
  <c r="BY90" i="80" s="1"/>
  <c r="BN90" i="80"/>
  <c r="BZ90" i="80" s="1"/>
  <c r="BO90" i="80"/>
  <c r="CA90" i="80" s="1"/>
  <c r="BP90" i="80"/>
  <c r="CB90" i="80" s="1"/>
  <c r="BQ90" i="80"/>
  <c r="CC90" i="80" s="1"/>
  <c r="BR90" i="80"/>
  <c r="CD90" i="80" s="1"/>
  <c r="BS90" i="80"/>
  <c r="CE90" i="80" s="1"/>
  <c r="BT90" i="80"/>
  <c r="CF90" i="80" s="1"/>
  <c r="BU90" i="80"/>
  <c r="CG90" i="80" s="1"/>
  <c r="BM91" i="80"/>
  <c r="BY91" i="80" s="1"/>
  <c r="BN91" i="80"/>
  <c r="BZ91" i="80" s="1"/>
  <c r="BO91" i="80"/>
  <c r="CA91" i="80" s="1"/>
  <c r="BP91" i="80"/>
  <c r="CB91" i="80" s="1"/>
  <c r="BQ91" i="80"/>
  <c r="CC91" i="80" s="1"/>
  <c r="BR91" i="80"/>
  <c r="CD91" i="80" s="1"/>
  <c r="BS91" i="80"/>
  <c r="CE91" i="80" s="1"/>
  <c r="BT91" i="80"/>
  <c r="CF91" i="80" s="1"/>
  <c r="BU91" i="80"/>
  <c r="CG91" i="80" s="1"/>
  <c r="BM92" i="80"/>
  <c r="BY92" i="80" s="1"/>
  <c r="BN92" i="80"/>
  <c r="BZ92" i="80" s="1"/>
  <c r="BO92" i="80"/>
  <c r="CA92" i="80" s="1"/>
  <c r="BP92" i="80"/>
  <c r="CB92" i="80" s="1"/>
  <c r="BQ92" i="80"/>
  <c r="CC92" i="80" s="1"/>
  <c r="BR92" i="80"/>
  <c r="CD92" i="80" s="1"/>
  <c r="BS92" i="80"/>
  <c r="CE92" i="80" s="1"/>
  <c r="BT92" i="80"/>
  <c r="CF92" i="80" s="1"/>
  <c r="BU92" i="80"/>
  <c r="CG92" i="80" s="1"/>
  <c r="BM93" i="80"/>
  <c r="BY93" i="80" s="1"/>
  <c r="BN93" i="80"/>
  <c r="BZ93" i="80" s="1"/>
  <c r="BO93" i="80"/>
  <c r="CA93" i="80" s="1"/>
  <c r="BP93" i="80"/>
  <c r="CB93" i="80" s="1"/>
  <c r="BQ93" i="80"/>
  <c r="CC93" i="80" s="1"/>
  <c r="BR93" i="80"/>
  <c r="CD93" i="80" s="1"/>
  <c r="BS93" i="80"/>
  <c r="CE93" i="80" s="1"/>
  <c r="BT93" i="80"/>
  <c r="CF93" i="80" s="1"/>
  <c r="BM94" i="80"/>
  <c r="BY94" i="80" s="1"/>
  <c r="BN94" i="80"/>
  <c r="BZ94" i="80" s="1"/>
  <c r="BO94" i="80"/>
  <c r="CA94" i="80" s="1"/>
  <c r="BP94" i="80"/>
  <c r="CB94" i="80" s="1"/>
  <c r="BQ94" i="80"/>
  <c r="CC94" i="80" s="1"/>
  <c r="BR94" i="80"/>
  <c r="CD94" i="80" s="1"/>
  <c r="BS94" i="80"/>
  <c r="CE94" i="80" s="1"/>
  <c r="BT94" i="80"/>
  <c r="CF94" i="80" s="1"/>
  <c r="BU94" i="80"/>
  <c r="CG94" i="80" s="1"/>
  <c r="BM95" i="80"/>
  <c r="BY95" i="80" s="1"/>
  <c r="BN95" i="80"/>
  <c r="BZ95" i="80" s="1"/>
  <c r="BO95" i="80"/>
  <c r="CA95" i="80" s="1"/>
  <c r="BP95" i="80"/>
  <c r="CB95" i="80" s="1"/>
  <c r="BQ95" i="80"/>
  <c r="CC95" i="80" s="1"/>
  <c r="BR95" i="80"/>
  <c r="CD95" i="80" s="1"/>
  <c r="BS95" i="80"/>
  <c r="CE95" i="80" s="1"/>
  <c r="BT95" i="80"/>
  <c r="CF95" i="80" s="1"/>
  <c r="BU95" i="80"/>
  <c r="CG95" i="80" s="1"/>
  <c r="BM96" i="80"/>
  <c r="BY96" i="80" s="1"/>
  <c r="BN96" i="80"/>
  <c r="BZ96" i="80" s="1"/>
  <c r="BO96" i="80"/>
  <c r="CA96" i="80" s="1"/>
  <c r="BP96" i="80"/>
  <c r="CB96" i="80" s="1"/>
  <c r="BQ96" i="80"/>
  <c r="CC96" i="80" s="1"/>
  <c r="BR96" i="80"/>
  <c r="CD96" i="80" s="1"/>
  <c r="BS96" i="80"/>
  <c r="CE96" i="80" s="1"/>
  <c r="BT96" i="80"/>
  <c r="CF96" i="80" s="1"/>
  <c r="BU96" i="80"/>
  <c r="CG96" i="80" s="1"/>
  <c r="BM97" i="80"/>
  <c r="BY97" i="80" s="1"/>
  <c r="BN97" i="80"/>
  <c r="BZ97" i="80" s="1"/>
  <c r="BO97" i="80"/>
  <c r="CA97" i="80" s="1"/>
  <c r="BP97" i="80"/>
  <c r="BQ97" i="80"/>
  <c r="CC97" i="80" s="1"/>
  <c r="BR97" i="80"/>
  <c r="CD97" i="80" s="1"/>
  <c r="CD145" i="80" s="1"/>
  <c r="BS97" i="80"/>
  <c r="CE97" i="80" s="1"/>
  <c r="BT97" i="80"/>
  <c r="BU97" i="80"/>
  <c r="CG97" i="80" s="1"/>
  <c r="BM98" i="80"/>
  <c r="BY98" i="80" s="1"/>
  <c r="BN98" i="80"/>
  <c r="BZ98" i="80" s="1"/>
  <c r="BO98" i="80"/>
  <c r="CA98" i="80" s="1"/>
  <c r="BP98" i="80"/>
  <c r="CB98" i="80" s="1"/>
  <c r="BQ98" i="80"/>
  <c r="CC98" i="80" s="1"/>
  <c r="CC146" i="80" s="1"/>
  <c r="BR98" i="80"/>
  <c r="CD98" i="80" s="1"/>
  <c r="BS98" i="80"/>
  <c r="CE98" i="80" s="1"/>
  <c r="BT98" i="80"/>
  <c r="CF98" i="80" s="1"/>
  <c r="BU98" i="80"/>
  <c r="BN72" i="80"/>
  <c r="BZ72" i="80" s="1"/>
  <c r="BO72" i="80"/>
  <c r="CA72" i="80" s="1"/>
  <c r="BP72" i="80"/>
  <c r="CB72" i="80" s="1"/>
  <c r="BQ72" i="80"/>
  <c r="CC72" i="80" s="1"/>
  <c r="BR72" i="80"/>
  <c r="CD72" i="80" s="1"/>
  <c r="BS72" i="80"/>
  <c r="CE72" i="80" s="1"/>
  <c r="BT72" i="80"/>
  <c r="CF72" i="80" s="1"/>
  <c r="BU72" i="80"/>
  <c r="CG72" i="80" s="1"/>
  <c r="BM72" i="80"/>
  <c r="BY72" i="80" s="1"/>
  <c r="AC13" i="10"/>
  <c r="AC16" i="10" s="1"/>
  <c r="AD13" i="10"/>
  <c r="AD16" i="10" s="1"/>
  <c r="AB13" i="10"/>
  <c r="AB16" i="10" s="1"/>
  <c r="Y13" i="10"/>
  <c r="Y16" i="10" s="1"/>
  <c r="Z13" i="10"/>
  <c r="Z16" i="10" s="1"/>
  <c r="CK32" i="80"/>
  <c r="CK33" i="80"/>
  <c r="CK34" i="80"/>
  <c r="CK35" i="80"/>
  <c r="CK36" i="80"/>
  <c r="CK37" i="80"/>
  <c r="CK38" i="80"/>
  <c r="CK39" i="80"/>
  <c r="CK31" i="80"/>
  <c r="AW54" i="80"/>
  <c r="BL98" i="80"/>
  <c r="BL97" i="80"/>
  <c r="BL96" i="80"/>
  <c r="BX96" i="80" s="1"/>
  <c r="BL95" i="80"/>
  <c r="BX95" i="80" s="1"/>
  <c r="BL94" i="80"/>
  <c r="BX94" i="80" s="1"/>
  <c r="BL93" i="80"/>
  <c r="BX93" i="80" s="1"/>
  <c r="BL92" i="80"/>
  <c r="BX92" i="80" s="1"/>
  <c r="BL91" i="80"/>
  <c r="BX91" i="80" s="1"/>
  <c r="BL90" i="80"/>
  <c r="BX90" i="80" s="1"/>
  <c r="BL89" i="80"/>
  <c r="BX89" i="80" s="1"/>
  <c r="BL88" i="80"/>
  <c r="BX88" i="80" s="1"/>
  <c r="BL87" i="80"/>
  <c r="BX87" i="80" s="1"/>
  <c r="BL86" i="80"/>
  <c r="BX86" i="80" s="1"/>
  <c r="BL85" i="80"/>
  <c r="BX85" i="80" s="1"/>
  <c r="BL84" i="80"/>
  <c r="BX84" i="80" s="1"/>
  <c r="BL83" i="80"/>
  <c r="BX83" i="80" s="1"/>
  <c r="BL82" i="80"/>
  <c r="BX82" i="80" s="1"/>
  <c r="BL81" i="80"/>
  <c r="BX81" i="80" s="1"/>
  <c r="BL80" i="80"/>
  <c r="BX80" i="80" s="1"/>
  <c r="BL79" i="80"/>
  <c r="BX79" i="80" s="1"/>
  <c r="BL78" i="80"/>
  <c r="BX78" i="80" s="1"/>
  <c r="BL77" i="80"/>
  <c r="BX77" i="80" s="1"/>
  <c r="BL76" i="80"/>
  <c r="BX76" i="80" s="1"/>
  <c r="BL75" i="80"/>
  <c r="BX75" i="80" s="1"/>
  <c r="BL74" i="80"/>
  <c r="BX74" i="80" s="1"/>
  <c r="BL73" i="80"/>
  <c r="BX73" i="80" s="1"/>
  <c r="BL72" i="80"/>
  <c r="BX72" i="80" s="1"/>
  <c r="BU71" i="80"/>
  <c r="CG71" i="80" s="1"/>
  <c r="BT71" i="80"/>
  <c r="CF71" i="80" s="1"/>
  <c r="BS71" i="80"/>
  <c r="CE71" i="80" s="1"/>
  <c r="BR71" i="80"/>
  <c r="CD71" i="80" s="1"/>
  <c r="BQ71" i="80"/>
  <c r="CC71" i="80" s="1"/>
  <c r="BP71" i="80"/>
  <c r="CB71" i="80" s="1"/>
  <c r="BO71" i="80"/>
  <c r="CA71" i="80" s="1"/>
  <c r="BN71" i="80"/>
  <c r="BZ71" i="80" s="1"/>
  <c r="BM71" i="80"/>
  <c r="BY71" i="80" s="1"/>
  <c r="BL71" i="80"/>
  <c r="BX71" i="80" s="1"/>
  <c r="BU70" i="80"/>
  <c r="CG70" i="80" s="1"/>
  <c r="BT70" i="80"/>
  <c r="CF70" i="80" s="1"/>
  <c r="BS70" i="80"/>
  <c r="CE70" i="80" s="1"/>
  <c r="BR70" i="80"/>
  <c r="CD70" i="80" s="1"/>
  <c r="BQ70" i="80"/>
  <c r="CC70" i="80" s="1"/>
  <c r="BP70" i="80"/>
  <c r="CB70" i="80" s="1"/>
  <c r="BO70" i="80"/>
  <c r="CA70" i="80" s="1"/>
  <c r="BN70" i="80"/>
  <c r="BZ70" i="80" s="1"/>
  <c r="BM70" i="80"/>
  <c r="BY70" i="80" s="1"/>
  <c r="BL70" i="80"/>
  <c r="BX70" i="80" s="1"/>
  <c r="BU69" i="80"/>
  <c r="CG69" i="80" s="1"/>
  <c r="BT69" i="80"/>
  <c r="CF69" i="80" s="1"/>
  <c r="BS69" i="80"/>
  <c r="CE69" i="80" s="1"/>
  <c r="BR69" i="80"/>
  <c r="CD69" i="80" s="1"/>
  <c r="BQ69" i="80"/>
  <c r="CC69" i="80" s="1"/>
  <c r="BP69" i="80"/>
  <c r="CB69" i="80" s="1"/>
  <c r="BO69" i="80"/>
  <c r="CA69" i="80" s="1"/>
  <c r="BN69" i="80"/>
  <c r="BZ69" i="80" s="1"/>
  <c r="BM69" i="80"/>
  <c r="BY69" i="80" s="1"/>
  <c r="BL69" i="80"/>
  <c r="BX69" i="80" s="1"/>
  <c r="BU68" i="80"/>
  <c r="CG68" i="80" s="1"/>
  <c r="BT68" i="80"/>
  <c r="CF68" i="80" s="1"/>
  <c r="BS68" i="80"/>
  <c r="CE68" i="80" s="1"/>
  <c r="BR68" i="80"/>
  <c r="CD68" i="80" s="1"/>
  <c r="BQ68" i="80"/>
  <c r="CC68" i="80" s="1"/>
  <c r="BP68" i="80"/>
  <c r="CB68" i="80" s="1"/>
  <c r="BO68" i="80"/>
  <c r="CA68" i="80" s="1"/>
  <c r="BN68" i="80"/>
  <c r="BZ68" i="80" s="1"/>
  <c r="BM68" i="80"/>
  <c r="BY68" i="80" s="1"/>
  <c r="BL68" i="80"/>
  <c r="BX68" i="80" s="1"/>
  <c r="BU67" i="80"/>
  <c r="CG67" i="80" s="1"/>
  <c r="BT67" i="80"/>
  <c r="CF67" i="80" s="1"/>
  <c r="BS67" i="80"/>
  <c r="CE67" i="80" s="1"/>
  <c r="BR67" i="80"/>
  <c r="CD67" i="80" s="1"/>
  <c r="BQ67" i="80"/>
  <c r="CC67" i="80" s="1"/>
  <c r="BP67" i="80"/>
  <c r="CB67" i="80" s="1"/>
  <c r="BO67" i="80"/>
  <c r="CA67" i="80" s="1"/>
  <c r="BN67" i="80"/>
  <c r="BZ67" i="80" s="1"/>
  <c r="BM67" i="80"/>
  <c r="BY67" i="80" s="1"/>
  <c r="BL67" i="80"/>
  <c r="BX67" i="80" s="1"/>
  <c r="BU66" i="80"/>
  <c r="CG66" i="80" s="1"/>
  <c r="BT66" i="80"/>
  <c r="CF66" i="80" s="1"/>
  <c r="BS66" i="80"/>
  <c r="CE66" i="80" s="1"/>
  <c r="BR66" i="80"/>
  <c r="CD66" i="80" s="1"/>
  <c r="BQ66" i="80"/>
  <c r="CC66" i="80" s="1"/>
  <c r="BP66" i="80"/>
  <c r="CB66" i="80" s="1"/>
  <c r="BO66" i="80"/>
  <c r="CA66" i="80" s="1"/>
  <c r="BN66" i="80"/>
  <c r="BZ66" i="80" s="1"/>
  <c r="BM66" i="80"/>
  <c r="BY66" i="80" s="1"/>
  <c r="BL66" i="80"/>
  <c r="BX66" i="80" s="1"/>
  <c r="BU65" i="80"/>
  <c r="CG65" i="80" s="1"/>
  <c r="BT65" i="80"/>
  <c r="CF65" i="80" s="1"/>
  <c r="BS65" i="80"/>
  <c r="CE65" i="80" s="1"/>
  <c r="BR65" i="80"/>
  <c r="CD65" i="80" s="1"/>
  <c r="BQ65" i="80"/>
  <c r="CC65" i="80" s="1"/>
  <c r="BP65" i="80"/>
  <c r="CB65" i="80" s="1"/>
  <c r="BO65" i="80"/>
  <c r="CA65" i="80" s="1"/>
  <c r="BN65" i="80"/>
  <c r="BZ65" i="80" s="1"/>
  <c r="BM65" i="80"/>
  <c r="BY65" i="80" s="1"/>
  <c r="BL65" i="80"/>
  <c r="BX65" i="80" s="1"/>
  <c r="BU64" i="80"/>
  <c r="CG64" i="80" s="1"/>
  <c r="BT64" i="80"/>
  <c r="CF64" i="80" s="1"/>
  <c r="BS64" i="80"/>
  <c r="CE64" i="80" s="1"/>
  <c r="BR64" i="80"/>
  <c r="CD64" i="80" s="1"/>
  <c r="BQ64" i="80"/>
  <c r="CC64" i="80" s="1"/>
  <c r="BP64" i="80"/>
  <c r="CB64" i="80" s="1"/>
  <c r="BO64" i="80"/>
  <c r="CA64" i="80" s="1"/>
  <c r="BN64" i="80"/>
  <c r="BZ64" i="80" s="1"/>
  <c r="BM64" i="80"/>
  <c r="BY64" i="80" s="1"/>
  <c r="BL64" i="80"/>
  <c r="BX64" i="80" s="1"/>
  <c r="BU63" i="80"/>
  <c r="CG63" i="80" s="1"/>
  <c r="BT63" i="80"/>
  <c r="CF63" i="80" s="1"/>
  <c r="BS63" i="80"/>
  <c r="CE63" i="80" s="1"/>
  <c r="BR63" i="80"/>
  <c r="CD63" i="80" s="1"/>
  <c r="BQ63" i="80"/>
  <c r="CC63" i="80" s="1"/>
  <c r="BP63" i="80"/>
  <c r="CB63" i="80" s="1"/>
  <c r="BO63" i="80"/>
  <c r="CA63" i="80" s="1"/>
  <c r="BN63" i="80"/>
  <c r="BZ63" i="80" s="1"/>
  <c r="BM63" i="80"/>
  <c r="BY63" i="80" s="1"/>
  <c r="BL63" i="80"/>
  <c r="BX63" i="80" s="1"/>
  <c r="BU62" i="80"/>
  <c r="CG62" i="80" s="1"/>
  <c r="BT62" i="80"/>
  <c r="CF62" i="80" s="1"/>
  <c r="BS62" i="80"/>
  <c r="CE62" i="80" s="1"/>
  <c r="BR62" i="80"/>
  <c r="CD62" i="80" s="1"/>
  <c r="BQ62" i="80"/>
  <c r="CC62" i="80" s="1"/>
  <c r="BP62" i="80"/>
  <c r="CB62" i="80" s="1"/>
  <c r="BO62" i="80"/>
  <c r="CA62" i="80" s="1"/>
  <c r="BN62" i="80"/>
  <c r="BZ62" i="80" s="1"/>
  <c r="BM62" i="80"/>
  <c r="BY62" i="80" s="1"/>
  <c r="BL62" i="80"/>
  <c r="BX62" i="80" s="1"/>
  <c r="BU61" i="80"/>
  <c r="CG61" i="80" s="1"/>
  <c r="BT61" i="80"/>
  <c r="CF61" i="80" s="1"/>
  <c r="BS61" i="80"/>
  <c r="CE61" i="80" s="1"/>
  <c r="BR61" i="80"/>
  <c r="CD61" i="80" s="1"/>
  <c r="BQ61" i="80"/>
  <c r="CC61" i="80" s="1"/>
  <c r="BP61" i="80"/>
  <c r="CB61" i="80" s="1"/>
  <c r="BO61" i="80"/>
  <c r="CA61" i="80" s="1"/>
  <c r="BN61" i="80"/>
  <c r="BZ61" i="80" s="1"/>
  <c r="BM61" i="80"/>
  <c r="BY61" i="80" s="1"/>
  <c r="BL61" i="80"/>
  <c r="BX61" i="80" s="1"/>
  <c r="BU60" i="80"/>
  <c r="CG60" i="80" s="1"/>
  <c r="BT60" i="80"/>
  <c r="CF60" i="80" s="1"/>
  <c r="BS60" i="80"/>
  <c r="CE60" i="80" s="1"/>
  <c r="BR60" i="80"/>
  <c r="CD60" i="80" s="1"/>
  <c r="BQ60" i="80"/>
  <c r="CC60" i="80" s="1"/>
  <c r="BP60" i="80"/>
  <c r="CB60" i="80" s="1"/>
  <c r="BO60" i="80"/>
  <c r="CA60" i="80" s="1"/>
  <c r="BN60" i="80"/>
  <c r="BZ60" i="80" s="1"/>
  <c r="BM60" i="80"/>
  <c r="BY60" i="80" s="1"/>
  <c r="BL60" i="80"/>
  <c r="BX60" i="80" s="1"/>
  <c r="BU59" i="80"/>
  <c r="CG59" i="80" s="1"/>
  <c r="BT59" i="80"/>
  <c r="CF59" i="80" s="1"/>
  <c r="BS59" i="80"/>
  <c r="CE59" i="80" s="1"/>
  <c r="BR59" i="80"/>
  <c r="CD59" i="80" s="1"/>
  <c r="BQ59" i="80"/>
  <c r="CC59" i="80" s="1"/>
  <c r="BP59" i="80"/>
  <c r="CB59" i="80" s="1"/>
  <c r="BO59" i="80"/>
  <c r="CA59" i="80" s="1"/>
  <c r="BN59" i="80"/>
  <c r="BZ59" i="80" s="1"/>
  <c r="BM59" i="80"/>
  <c r="BY59" i="80" s="1"/>
  <c r="BL59" i="80"/>
  <c r="BX59" i="80" s="1"/>
  <c r="BU58" i="80"/>
  <c r="BT58" i="80"/>
  <c r="BS58" i="80"/>
  <c r="CE58" i="80" s="1"/>
  <c r="BR58" i="80"/>
  <c r="BQ58" i="80"/>
  <c r="BP58" i="80"/>
  <c r="CB58" i="80" s="1"/>
  <c r="BO58" i="80"/>
  <c r="CA58" i="80" s="1"/>
  <c r="BN58" i="80"/>
  <c r="BZ58" i="80" s="1"/>
  <c r="BM58" i="80"/>
  <c r="BL58" i="80"/>
  <c r="AW53" i="80"/>
  <c r="AW52" i="80"/>
  <c r="AW51" i="80"/>
  <c r="AW50" i="80"/>
  <c r="AW49" i="80"/>
  <c r="AW48" i="80"/>
  <c r="AW47" i="80"/>
  <c r="AW46" i="80"/>
  <c r="BM46" i="80" s="1"/>
  <c r="AW45" i="80"/>
  <c r="BL45" i="80" s="1"/>
  <c r="AW44" i="80"/>
  <c r="BO44" i="80" s="1"/>
  <c r="AW43" i="80"/>
  <c r="BN43" i="80" s="1"/>
  <c r="AW42" i="80"/>
  <c r="BM42" i="80" s="1"/>
  <c r="AW41" i="80"/>
  <c r="BL41" i="80" s="1"/>
  <c r="AW40" i="80"/>
  <c r="BO40" i="80" s="1"/>
  <c r="AW39" i="80"/>
  <c r="BN39" i="80" s="1"/>
  <c r="AW38" i="80"/>
  <c r="BM38" i="80" s="1"/>
  <c r="AW37" i="80"/>
  <c r="BL37" i="80" s="1"/>
  <c r="AW36" i="80"/>
  <c r="BO36" i="80" s="1"/>
  <c r="AW35" i="80"/>
  <c r="BN35" i="80" s="1"/>
  <c r="AW34" i="80"/>
  <c r="BL34" i="80" s="1"/>
  <c r="AW33" i="80"/>
  <c r="BN33" i="80" s="1"/>
  <c r="AW32" i="80"/>
  <c r="BM32" i="80" s="1"/>
  <c r="AW31" i="80"/>
  <c r="AW30" i="80"/>
  <c r="BN30" i="80" s="1"/>
  <c r="AW29" i="80"/>
  <c r="BQ29" i="80" s="1"/>
  <c r="AW28" i="80"/>
  <c r="BL28" i="80" s="1"/>
  <c r="AW27" i="80"/>
  <c r="BO27" i="80" s="1"/>
  <c r="AW26" i="80"/>
  <c r="AW25" i="80"/>
  <c r="BM25" i="80" s="1"/>
  <c r="AW24" i="80"/>
  <c r="BM24" i="80" s="1"/>
  <c r="AW23" i="80"/>
  <c r="AW22" i="80"/>
  <c r="BP22" i="80" s="1"/>
  <c r="AW21" i="80"/>
  <c r="BR21" i="80" s="1"/>
  <c r="AW20" i="80"/>
  <c r="BL20" i="80" s="1"/>
  <c r="AW19" i="80"/>
  <c r="AW18" i="80"/>
  <c r="BL18" i="80" s="1"/>
  <c r="AW17" i="80"/>
  <c r="BN17" i="80" s="1"/>
  <c r="AW16" i="80"/>
  <c r="BP16" i="80" s="1"/>
  <c r="AW15" i="80"/>
  <c r="BM15" i="80" s="1"/>
  <c r="AW14" i="80"/>
  <c r="BN14" i="80" s="1"/>
  <c r="AW13" i="80"/>
  <c r="BU13" i="80" s="1"/>
  <c r="AW12" i="80"/>
  <c r="BQ12" i="80" s="1"/>
  <c r="AW11" i="80"/>
  <c r="BO11" i="80" s="1"/>
  <c r="AW10" i="80"/>
  <c r="BL10" i="80" s="1"/>
  <c r="AW9" i="80"/>
  <c r="BL9" i="80" s="1"/>
  <c r="AW8" i="80"/>
  <c r="BL8" i="80" s="1"/>
  <c r="AW7" i="80"/>
  <c r="BL7" i="80" s="1"/>
  <c r="AW6" i="80"/>
  <c r="BL6" i="80" s="1"/>
  <c r="BO26" i="80" l="1"/>
  <c r="BL26" i="80"/>
  <c r="BO46" i="80"/>
  <c r="BO146" i="80" s="1"/>
  <c r="BL109" i="80"/>
  <c r="BP42" i="80"/>
  <c r="BP30" i="80"/>
  <c r="BT34" i="80"/>
  <c r="BN18" i="80"/>
  <c r="BS38" i="80"/>
  <c r="BR22" i="80"/>
  <c r="BR45" i="80"/>
  <c r="BR145" i="80" s="1"/>
  <c r="BR44" i="80"/>
  <c r="BU33" i="80"/>
  <c r="BT46" i="80"/>
  <c r="BT146" i="80" s="1"/>
  <c r="BL46" i="80"/>
  <c r="BL146" i="80" s="1"/>
  <c r="BO45" i="80"/>
  <c r="BO145" i="80" s="1"/>
  <c r="BN44" i="80"/>
  <c r="BO42" i="80"/>
  <c r="BR41" i="80"/>
  <c r="BR40" i="80"/>
  <c r="BP38" i="80"/>
  <c r="BS37" i="80"/>
  <c r="BV36" i="80"/>
  <c r="BS34" i="80"/>
  <c r="BS33" i="80"/>
  <c r="BP32" i="80"/>
  <c r="BO30" i="80"/>
  <c r="BO29" i="80"/>
  <c r="BV26" i="80"/>
  <c r="BV25" i="80"/>
  <c r="BR24" i="80"/>
  <c r="BN22" i="80"/>
  <c r="BN21" i="80"/>
  <c r="BT18" i="80"/>
  <c r="BU17" i="80"/>
  <c r="BU16" i="80"/>
  <c r="BP14" i="80"/>
  <c r="BQ13" i="80"/>
  <c r="BL12" i="80"/>
  <c r="BS46" i="80"/>
  <c r="BS146" i="80" s="1"/>
  <c r="BV45" i="80"/>
  <c r="BV145" i="80" s="1"/>
  <c r="BN45" i="80"/>
  <c r="BN145" i="80" s="1"/>
  <c r="BT42" i="80"/>
  <c r="BL42" i="80"/>
  <c r="BO41" i="80"/>
  <c r="BN40" i="80"/>
  <c r="BO38" i="80"/>
  <c r="BR37" i="80"/>
  <c r="BR36" i="80"/>
  <c r="BO34" i="80"/>
  <c r="BO33" i="80"/>
  <c r="BV30" i="80"/>
  <c r="BV29" i="80"/>
  <c r="BV28" i="80"/>
  <c r="BR26" i="80"/>
  <c r="BR25" i="80"/>
  <c r="BL22" i="80"/>
  <c r="BM21" i="80"/>
  <c r="BS18" i="80"/>
  <c r="BS17" i="80"/>
  <c r="BO14" i="80"/>
  <c r="BO13" i="80"/>
  <c r="BP46" i="80"/>
  <c r="BP146" i="80" s="1"/>
  <c r="BS45" i="80"/>
  <c r="BS145" i="80" s="1"/>
  <c r="BV44" i="80"/>
  <c r="BS42" i="80"/>
  <c r="BV41" i="80"/>
  <c r="BN41" i="80"/>
  <c r="BT38" i="80"/>
  <c r="BL38" i="80"/>
  <c r="BO37" i="80"/>
  <c r="BN36" i="80"/>
  <c r="BN34" i="80"/>
  <c r="BT30" i="80"/>
  <c r="BU29" i="80"/>
  <c r="BQ28" i="80"/>
  <c r="BP26" i="80"/>
  <c r="BQ25" i="80"/>
  <c r="BS22" i="80"/>
  <c r="BS21" i="80"/>
  <c r="BT20" i="80"/>
  <c r="BO18" i="80"/>
  <c r="BO17" i="80"/>
  <c r="BV14" i="80"/>
  <c r="BV13" i="80"/>
  <c r="BV12" i="80"/>
  <c r="BS41" i="80"/>
  <c r="BV40" i="80"/>
  <c r="BV37" i="80"/>
  <c r="BN37" i="80"/>
  <c r="BU32" i="80"/>
  <c r="BN20" i="80"/>
  <c r="BT14" i="80"/>
  <c r="BN19" i="80"/>
  <c r="BR19" i="80"/>
  <c r="BV19" i="80"/>
  <c r="BN31" i="80"/>
  <c r="BR31" i="80"/>
  <c r="BV31" i="80"/>
  <c r="BN11" i="80"/>
  <c r="BU43" i="80"/>
  <c r="BM43" i="80"/>
  <c r="BU39" i="80"/>
  <c r="BQ35" i="80"/>
  <c r="BQ27" i="80"/>
  <c r="BT19" i="80"/>
  <c r="BP15" i="80"/>
  <c r="BN23" i="80"/>
  <c r="BR23" i="80"/>
  <c r="BV23" i="80"/>
  <c r="BR11" i="80"/>
  <c r="BQ43" i="80"/>
  <c r="BQ39" i="80"/>
  <c r="BM39" i="80"/>
  <c r="BU35" i="80"/>
  <c r="BU31" i="80"/>
  <c r="BL27" i="80"/>
  <c r="BM23" i="80"/>
  <c r="BU15" i="80"/>
  <c r="BO12" i="80"/>
  <c r="BS12" i="80"/>
  <c r="BO16" i="80"/>
  <c r="BS16" i="80"/>
  <c r="BO24" i="80"/>
  <c r="BS24" i="80"/>
  <c r="BO28" i="80"/>
  <c r="BS28" i="80"/>
  <c r="BU11" i="80"/>
  <c r="BM11" i="80"/>
  <c r="BU44" i="80"/>
  <c r="BM44" i="80"/>
  <c r="BP43" i="80"/>
  <c r="BU40" i="80"/>
  <c r="BM40" i="80"/>
  <c r="BP39" i="80"/>
  <c r="BU36" i="80"/>
  <c r="BM36" i="80"/>
  <c r="BP35" i="80"/>
  <c r="BN32" i="80"/>
  <c r="BT31" i="80"/>
  <c r="BU28" i="80"/>
  <c r="BP28" i="80"/>
  <c r="BP27" i="80"/>
  <c r="BV24" i="80"/>
  <c r="BL24" i="80"/>
  <c r="BL23" i="80"/>
  <c r="BR20" i="80"/>
  <c r="BM20" i="80"/>
  <c r="BM19" i="80"/>
  <c r="BN16" i="80"/>
  <c r="BT15" i="80"/>
  <c r="BU12" i="80"/>
  <c r="BL13" i="80"/>
  <c r="BP13" i="80"/>
  <c r="BT13" i="80"/>
  <c r="BL17" i="80"/>
  <c r="BP17" i="80"/>
  <c r="BT17" i="80"/>
  <c r="BL21" i="80"/>
  <c r="BP21" i="80"/>
  <c r="BT21" i="80"/>
  <c r="BL25" i="80"/>
  <c r="BP25" i="80"/>
  <c r="BT25" i="80"/>
  <c r="BL29" i="80"/>
  <c r="BP29" i="80"/>
  <c r="BT29" i="80"/>
  <c r="BL33" i="80"/>
  <c r="BP33" i="80"/>
  <c r="BT33" i="80"/>
  <c r="BT11" i="80"/>
  <c r="BP11" i="80"/>
  <c r="BV46" i="80"/>
  <c r="BV146" i="80" s="1"/>
  <c r="BR46" i="80"/>
  <c r="BR146" i="80" s="1"/>
  <c r="BN46" i="80"/>
  <c r="BN146" i="80" s="1"/>
  <c r="BU45" i="80"/>
  <c r="BU145" i="80" s="1"/>
  <c r="BQ45" i="80"/>
  <c r="BQ145" i="80" s="1"/>
  <c r="BM45" i="80"/>
  <c r="BM145" i="80" s="1"/>
  <c r="BT44" i="80"/>
  <c r="BP44" i="80"/>
  <c r="BL44" i="80"/>
  <c r="BS43" i="80"/>
  <c r="BO43" i="80"/>
  <c r="BV42" i="80"/>
  <c r="BR42" i="80"/>
  <c r="BN42" i="80"/>
  <c r="BU41" i="80"/>
  <c r="BQ41" i="80"/>
  <c r="BM41" i="80"/>
  <c r="BT40" i="80"/>
  <c r="BP40" i="80"/>
  <c r="BL40" i="80"/>
  <c r="BS39" i="80"/>
  <c r="BO39" i="80"/>
  <c r="BV38" i="80"/>
  <c r="BR38" i="80"/>
  <c r="BN38" i="80"/>
  <c r="BU37" i="80"/>
  <c r="BQ37" i="80"/>
  <c r="BM37" i="80"/>
  <c r="BT36" i="80"/>
  <c r="BP36" i="80"/>
  <c r="BL36" i="80"/>
  <c r="BS35" i="80"/>
  <c r="BO35" i="80"/>
  <c r="BV34" i="80"/>
  <c r="BR34" i="80"/>
  <c r="BR33" i="80"/>
  <c r="BM33" i="80"/>
  <c r="BR32" i="80"/>
  <c r="BS31" i="80"/>
  <c r="BM31" i="80"/>
  <c r="BS30" i="80"/>
  <c r="BS29" i="80"/>
  <c r="BN29" i="80"/>
  <c r="BT28" i="80"/>
  <c r="BN28" i="80"/>
  <c r="BT27" i="80"/>
  <c r="BT26" i="80"/>
  <c r="BU25" i="80"/>
  <c r="BO25" i="80"/>
  <c r="BU24" i="80"/>
  <c r="BP24" i="80"/>
  <c r="BU23" i="80"/>
  <c r="BP23" i="80"/>
  <c r="BV22" i="80"/>
  <c r="BV21" i="80"/>
  <c r="BQ21" i="80"/>
  <c r="BV20" i="80"/>
  <c r="BQ20" i="80"/>
  <c r="BQ19" i="80"/>
  <c r="BL19" i="80"/>
  <c r="BR18" i="80"/>
  <c r="BR17" i="80"/>
  <c r="BM17" i="80"/>
  <c r="BR16" i="80"/>
  <c r="BM16" i="80"/>
  <c r="BS15" i="80"/>
  <c r="BS14" i="80"/>
  <c r="BS13" i="80"/>
  <c r="BN13" i="80"/>
  <c r="BT12" i="80"/>
  <c r="BN12" i="80"/>
  <c r="CB97" i="80"/>
  <c r="CB145" i="80" s="1"/>
  <c r="BN15" i="80"/>
  <c r="BR15" i="80"/>
  <c r="BV15" i="80"/>
  <c r="BN27" i="80"/>
  <c r="BR27" i="80"/>
  <c r="BV27" i="80"/>
  <c r="BV11" i="80"/>
  <c r="BM35" i="80"/>
  <c r="BP31" i="80"/>
  <c r="BS23" i="80"/>
  <c r="BO19" i="80"/>
  <c r="BO20" i="80"/>
  <c r="BS20" i="80"/>
  <c r="BO32" i="80"/>
  <c r="BS32" i="80"/>
  <c r="BL145" i="80"/>
  <c r="BQ11" i="80"/>
  <c r="BQ44" i="80"/>
  <c r="BT43" i="80"/>
  <c r="BL43" i="80"/>
  <c r="BQ40" i="80"/>
  <c r="BT39" i="80"/>
  <c r="BL39" i="80"/>
  <c r="BQ36" i="80"/>
  <c r="BT35" i="80"/>
  <c r="BL35" i="80"/>
  <c r="BT32" i="80"/>
  <c r="BO31" i="80"/>
  <c r="BU27" i="80"/>
  <c r="BQ24" i="80"/>
  <c r="BQ23" i="80"/>
  <c r="BS19" i="80"/>
  <c r="BT16" i="80"/>
  <c r="BO15" i="80"/>
  <c r="BP12" i="80"/>
  <c r="BM14" i="80"/>
  <c r="BQ14" i="80"/>
  <c r="BU14" i="80"/>
  <c r="BM18" i="80"/>
  <c r="BQ18" i="80"/>
  <c r="BU18" i="80"/>
  <c r="BM22" i="80"/>
  <c r="BQ22" i="80"/>
  <c r="BU22" i="80"/>
  <c r="BM26" i="80"/>
  <c r="BQ26" i="80"/>
  <c r="BU26" i="80"/>
  <c r="BM30" i="80"/>
  <c r="BQ30" i="80"/>
  <c r="BU30" i="80"/>
  <c r="BM34" i="80"/>
  <c r="BQ34" i="80"/>
  <c r="BL11" i="80"/>
  <c r="BX11" i="80" s="1"/>
  <c r="BS11" i="80"/>
  <c r="BU46" i="80"/>
  <c r="BU146" i="80" s="1"/>
  <c r="BQ46" i="80"/>
  <c r="BQ146" i="80" s="1"/>
  <c r="BT45" i="80"/>
  <c r="BT145" i="80" s="1"/>
  <c r="BP45" i="80"/>
  <c r="BP145" i="80" s="1"/>
  <c r="BS44" i="80"/>
  <c r="BV43" i="80"/>
  <c r="BR43" i="80"/>
  <c r="BU42" i="80"/>
  <c r="BQ42" i="80"/>
  <c r="BT41" i="80"/>
  <c r="BP41" i="80"/>
  <c r="BS40" i="80"/>
  <c r="BV39" i="80"/>
  <c r="BR39" i="80"/>
  <c r="BU38" i="80"/>
  <c r="BQ38" i="80"/>
  <c r="BT37" i="80"/>
  <c r="BP37" i="80"/>
  <c r="BS36" i="80"/>
  <c r="BV35" i="80"/>
  <c r="BR35" i="80"/>
  <c r="BU34" i="80"/>
  <c r="BP34" i="80"/>
  <c r="BV33" i="80"/>
  <c r="BQ33" i="80"/>
  <c r="BV32" i="80"/>
  <c r="BQ32" i="80"/>
  <c r="BL32" i="80"/>
  <c r="BQ31" i="80"/>
  <c r="BL31" i="80"/>
  <c r="BR30" i="80"/>
  <c r="BL30" i="80"/>
  <c r="BR29" i="80"/>
  <c r="BM29" i="80"/>
  <c r="BR28" i="80"/>
  <c r="BM28" i="80"/>
  <c r="BS27" i="80"/>
  <c r="BM27" i="80"/>
  <c r="BS26" i="80"/>
  <c r="BN26" i="80"/>
  <c r="BS25" i="80"/>
  <c r="BN25" i="80"/>
  <c r="BT24" i="80"/>
  <c r="BN24" i="80"/>
  <c r="BT23" i="80"/>
  <c r="BO23" i="80"/>
  <c r="BT22" i="80"/>
  <c r="BO22" i="80"/>
  <c r="BU21" i="80"/>
  <c r="BO21" i="80"/>
  <c r="BU20" i="80"/>
  <c r="BP20" i="80"/>
  <c r="BU19" i="80"/>
  <c r="BP19" i="80"/>
  <c r="BV18" i="80"/>
  <c r="BP18" i="80"/>
  <c r="BV17" i="80"/>
  <c r="BQ17" i="80"/>
  <c r="BV16" i="80"/>
  <c r="BQ16" i="80"/>
  <c r="BL16" i="80"/>
  <c r="BQ15" i="80"/>
  <c r="BL15" i="80"/>
  <c r="BR14" i="80"/>
  <c r="BL14" i="80"/>
  <c r="BR13" i="80"/>
  <c r="BM13" i="80"/>
  <c r="BR12" i="80"/>
  <c r="BM12" i="80"/>
  <c r="BM146" i="80"/>
  <c r="CG98" i="80"/>
  <c r="CG146" i="80" s="1"/>
  <c r="CF97" i="80"/>
  <c r="CF145" i="80" s="1"/>
  <c r="CG145" i="80"/>
  <c r="BY145" i="80"/>
  <c r="BZ145" i="80"/>
  <c r="BL106" i="80"/>
  <c r="BX6" i="80"/>
  <c r="BL110" i="80"/>
  <c r="BX10" i="80"/>
  <c r="BX110" i="80" s="1"/>
  <c r="BL108" i="80"/>
  <c r="BX8" i="80"/>
  <c r="BX108" i="80" s="1"/>
  <c r="BL107" i="80"/>
  <c r="BX7" i="80"/>
  <c r="BX107" i="80" s="1"/>
  <c r="BR99" i="80"/>
  <c r="CD100" i="80" s="1"/>
  <c r="CD58" i="80"/>
  <c r="BO99" i="80"/>
  <c r="CA100" i="80" s="1"/>
  <c r="BX9" i="80"/>
  <c r="BX109" i="80" s="1"/>
  <c r="BQ99" i="80"/>
  <c r="CC100" i="80" s="1"/>
  <c r="CC58" i="80"/>
  <c r="BS99" i="80"/>
  <c r="CE100" i="80" s="1"/>
  <c r="BL99" i="80"/>
  <c r="BT99" i="80"/>
  <c r="CF100" i="80" s="1"/>
  <c r="CA145" i="80"/>
  <c r="BM99" i="80"/>
  <c r="BY100" i="80" s="1"/>
  <c r="BU99" i="80"/>
  <c r="CG100" i="80" s="1"/>
  <c r="CE146" i="80"/>
  <c r="BN99" i="80"/>
  <c r="BZ100" i="80" s="1"/>
  <c r="BX58" i="80"/>
  <c r="CF58" i="80"/>
  <c r="BY58" i="80"/>
  <c r="CG58" i="80"/>
  <c r="BP99" i="80"/>
  <c r="CB100" i="80" s="1"/>
  <c r="CD146" i="80"/>
  <c r="BX98" i="80"/>
  <c r="BX146" i="80" s="1"/>
  <c r="CF146" i="80"/>
  <c r="CC145" i="80"/>
  <c r="BY146" i="80"/>
  <c r="BZ146" i="80"/>
  <c r="CE145" i="80"/>
  <c r="CA146" i="80"/>
  <c r="BX97" i="80"/>
  <c r="BX145" i="80" s="1"/>
  <c r="CB146" i="80"/>
  <c r="BZ55" i="54"/>
  <c r="BW55" i="54"/>
  <c r="CM6" i="91"/>
  <c r="CN6" i="91"/>
  <c r="CM7" i="91"/>
  <c r="CN7" i="91"/>
  <c r="CM8" i="91"/>
  <c r="CN8" i="91"/>
  <c r="CM9" i="91"/>
  <c r="CN9" i="91"/>
  <c r="CM10" i="91"/>
  <c r="CN10" i="91"/>
  <c r="CM11" i="91"/>
  <c r="CN11" i="91"/>
  <c r="CM12" i="91"/>
  <c r="CN12" i="91"/>
  <c r="CM13" i="91"/>
  <c r="CN13" i="91"/>
  <c r="CM14" i="91"/>
  <c r="CN14" i="91"/>
  <c r="CM15" i="91"/>
  <c r="CN15" i="91"/>
  <c r="CM16" i="91"/>
  <c r="CN16" i="91"/>
  <c r="CM17" i="91"/>
  <c r="CN17" i="91"/>
  <c r="CM18" i="91"/>
  <c r="CN18" i="91"/>
  <c r="CM19" i="91"/>
  <c r="CN19" i="91"/>
  <c r="CM20" i="91"/>
  <c r="CN20" i="91"/>
  <c r="CM21" i="91"/>
  <c r="CN21" i="91"/>
  <c r="CM22" i="91"/>
  <c r="CN22" i="91"/>
  <c r="CM23" i="91"/>
  <c r="CN23" i="91"/>
  <c r="CM24" i="91"/>
  <c r="CN24" i="91"/>
  <c r="CM25" i="91"/>
  <c r="CN25" i="91"/>
  <c r="CM26" i="91"/>
  <c r="CN26" i="91"/>
  <c r="CM27" i="91"/>
  <c r="CN27" i="91"/>
  <c r="CM28" i="91"/>
  <c r="CN28" i="91"/>
  <c r="CM29" i="91"/>
  <c r="CN29" i="91"/>
  <c r="CM30" i="91"/>
  <c r="CN30" i="91"/>
  <c r="CM31" i="91"/>
  <c r="CN31" i="91"/>
  <c r="CM32" i="91"/>
  <c r="CN32" i="91"/>
  <c r="CM33" i="91"/>
  <c r="CN33" i="91"/>
  <c r="CM34" i="91"/>
  <c r="CN34" i="91"/>
  <c r="CM35" i="91"/>
  <c r="CN35" i="91"/>
  <c r="CM36" i="91"/>
  <c r="CN36" i="91"/>
  <c r="CM37" i="91"/>
  <c r="CN37" i="91"/>
  <c r="CM38" i="91"/>
  <c r="CN38" i="91"/>
  <c r="CM39" i="91"/>
  <c r="CN39" i="91"/>
  <c r="CM40" i="91"/>
  <c r="CN40" i="91"/>
  <c r="CM41" i="91"/>
  <c r="CN41" i="91"/>
  <c r="CM42" i="91"/>
  <c r="CN42" i="91"/>
  <c r="CM43" i="91"/>
  <c r="CN43" i="91"/>
  <c r="CM44" i="91"/>
  <c r="CN44" i="91"/>
  <c r="CM45" i="91"/>
  <c r="CN45" i="91"/>
  <c r="CM46" i="91"/>
  <c r="CN46" i="91"/>
  <c r="CM47" i="91"/>
  <c r="CN47" i="91"/>
  <c r="CM48" i="91"/>
  <c r="CN48" i="91"/>
  <c r="CM49" i="91"/>
  <c r="CN49" i="91"/>
  <c r="CM50" i="91"/>
  <c r="CN50" i="91"/>
  <c r="CM51" i="91"/>
  <c r="CN51" i="91"/>
  <c r="CN5" i="91"/>
  <c r="CM5" i="91"/>
  <c r="CL15" i="91"/>
  <c r="CL16" i="91"/>
  <c r="CL17" i="91"/>
  <c r="CL18" i="91"/>
  <c r="CL19" i="91"/>
  <c r="CL20" i="91"/>
  <c r="CL21" i="91"/>
  <c r="CL22" i="91"/>
  <c r="CL23" i="91"/>
  <c r="CL24" i="91"/>
  <c r="CL25" i="91"/>
  <c r="CL26" i="91"/>
  <c r="CL27" i="91"/>
  <c r="CL28" i="91"/>
  <c r="CL29" i="91"/>
  <c r="CL30" i="91"/>
  <c r="CL31" i="91"/>
  <c r="CL32" i="91"/>
  <c r="CL33" i="91"/>
  <c r="CL34" i="91"/>
  <c r="CL35" i="91"/>
  <c r="CL36" i="91"/>
  <c r="CL37" i="91"/>
  <c r="CL38" i="91"/>
  <c r="CL39" i="91"/>
  <c r="CL40" i="91"/>
  <c r="CL41" i="91"/>
  <c r="CL42" i="91"/>
  <c r="CL43" i="91"/>
  <c r="CL44" i="91"/>
  <c r="CL45" i="91"/>
  <c r="CL46" i="91"/>
  <c r="CL47" i="91"/>
  <c r="CL48" i="91"/>
  <c r="CL49" i="91"/>
  <c r="CL50" i="91"/>
  <c r="CL51" i="91"/>
  <c r="CL6" i="91"/>
  <c r="CL7" i="91"/>
  <c r="CL8" i="91"/>
  <c r="CL9" i="91"/>
  <c r="CL10" i="91"/>
  <c r="CL11" i="91"/>
  <c r="CL12" i="91"/>
  <c r="CL13" i="91"/>
  <c r="CL14" i="91"/>
  <c r="CL5" i="91"/>
  <c r="CA19" i="54" l="1"/>
  <c r="BX19" i="54"/>
  <c r="CA50" i="54"/>
  <c r="CA42" i="54"/>
  <c r="CA34" i="54"/>
  <c r="CA26" i="54"/>
  <c r="CA18" i="54"/>
  <c r="CA49" i="54"/>
  <c r="CA41" i="54"/>
  <c r="CA33" i="54"/>
  <c r="CA25" i="54"/>
  <c r="CA17" i="54"/>
  <c r="CA15" i="54"/>
  <c r="CA46" i="54"/>
  <c r="CA38" i="54"/>
  <c r="CA30" i="54"/>
  <c r="CA22" i="54"/>
  <c r="CA53" i="54"/>
  <c r="CA45" i="54"/>
  <c r="CA37" i="54"/>
  <c r="CA29" i="54"/>
  <c r="CA21" i="54"/>
  <c r="BX16" i="54"/>
  <c r="BX50" i="54"/>
  <c r="BX46" i="54"/>
  <c r="BX42" i="54"/>
  <c r="BX38" i="54"/>
  <c r="BX34" i="54"/>
  <c r="BX30" i="54"/>
  <c r="BX26" i="54"/>
  <c r="BX22" i="54"/>
  <c r="BX18" i="54"/>
  <c r="BX53" i="54"/>
  <c r="BX49" i="54"/>
  <c r="BX45" i="54"/>
  <c r="BX41" i="54"/>
  <c r="BX37" i="54"/>
  <c r="BX33" i="54"/>
  <c r="BX29" i="54"/>
  <c r="BX25" i="54"/>
  <c r="BX21" i="54"/>
  <c r="BX17" i="54"/>
  <c r="CA52" i="54"/>
  <c r="CA48" i="54"/>
  <c r="CA44" i="54"/>
  <c r="CA40" i="54"/>
  <c r="CA36" i="54"/>
  <c r="CB36" i="54" s="1"/>
  <c r="CA32" i="54"/>
  <c r="CA28" i="54"/>
  <c r="CA24" i="54"/>
  <c r="CA20" i="54"/>
  <c r="CA16" i="54"/>
  <c r="BX52" i="54"/>
  <c r="BX48" i="54"/>
  <c r="BX44" i="54"/>
  <c r="BX40" i="54"/>
  <c r="BX36" i="54"/>
  <c r="BY36" i="54" s="1"/>
  <c r="BX32" i="54"/>
  <c r="BX28" i="54"/>
  <c r="BX24" i="54"/>
  <c r="BX20" i="54"/>
  <c r="BY20" i="54" s="1"/>
  <c r="CA51" i="54"/>
  <c r="CA47" i="54"/>
  <c r="CA43" i="54"/>
  <c r="CA39" i="54"/>
  <c r="CA35" i="54"/>
  <c r="CA31" i="54"/>
  <c r="CA27" i="54"/>
  <c r="CA23" i="54"/>
  <c r="BX51" i="54"/>
  <c r="BX47" i="54"/>
  <c r="BX43" i="54"/>
  <c r="BX39" i="54"/>
  <c r="BX35" i="54"/>
  <c r="BY35" i="54" s="1"/>
  <c r="BX31" i="54"/>
  <c r="BX27" i="54"/>
  <c r="BX23" i="54"/>
  <c r="BZ99" i="80"/>
  <c r="BZ101" i="80" s="1"/>
  <c r="BZ102" i="80" s="1"/>
  <c r="CG99" i="80"/>
  <c r="CG101" i="80" s="1"/>
  <c r="CG102" i="80" s="1"/>
  <c r="BX99" i="80"/>
  <c r="BY99" i="80"/>
  <c r="BY101" i="80" s="1"/>
  <c r="BY102" i="80" s="1"/>
  <c r="CE99" i="80"/>
  <c r="CE101" i="80" s="1"/>
  <c r="CE102" i="80" s="1"/>
  <c r="BX106" i="80"/>
  <c r="CB99" i="80"/>
  <c r="CB101" i="80" s="1"/>
  <c r="CB102" i="80" s="1"/>
  <c r="CC99" i="80"/>
  <c r="CC101" i="80" s="1"/>
  <c r="CC102" i="80" s="1"/>
  <c r="CD99" i="80"/>
  <c r="CD101" i="80" s="1"/>
  <c r="CD102" i="80" s="1"/>
  <c r="CF99" i="80"/>
  <c r="CF101" i="80" s="1"/>
  <c r="CF102" i="80" s="1"/>
  <c r="CA99" i="80"/>
  <c r="CA101" i="80" s="1"/>
  <c r="CA102" i="80" s="1"/>
  <c r="BY51" i="54" l="1"/>
  <c r="CB20" i="54"/>
  <c r="BY27" i="54"/>
  <c r="BY43" i="54"/>
  <c r="BY28" i="54"/>
  <c r="BY23" i="54"/>
  <c r="CB27" i="54"/>
  <c r="CB43" i="54"/>
  <c r="BY44" i="54"/>
  <c r="BY31" i="54"/>
  <c r="BY47" i="54"/>
  <c r="BY32" i="54"/>
  <c r="BY19" i="54"/>
  <c r="CO52" i="54"/>
  <c r="CO54" i="54" s="1"/>
  <c r="BY39" i="54"/>
  <c r="BY24" i="54"/>
  <c r="BY40" i="54"/>
  <c r="BY21" i="54"/>
  <c r="BY37" i="54"/>
  <c r="BY22" i="54"/>
  <c r="BY48" i="54"/>
  <c r="BY29" i="54"/>
  <c r="BY45" i="54"/>
  <c r="BY30" i="54"/>
  <c r="BY46" i="54"/>
  <c r="CB6" i="54"/>
  <c r="CB10" i="54"/>
  <c r="CB14" i="54"/>
  <c r="CB7" i="54"/>
  <c r="CB11" i="54"/>
  <c r="CB8" i="54"/>
  <c r="CB12" i="54"/>
  <c r="CB52" i="54"/>
  <c r="CB9" i="54"/>
  <c r="CB13" i="54"/>
  <c r="CB26" i="54"/>
  <c r="CB21" i="54"/>
  <c r="CB49" i="54"/>
  <c r="CB46" i="54"/>
  <c r="CB31" i="54"/>
  <c r="CB47" i="54"/>
  <c r="CB24" i="54"/>
  <c r="CB40" i="54"/>
  <c r="BY17" i="54"/>
  <c r="BY33" i="54"/>
  <c r="BY49" i="54"/>
  <c r="BY18" i="54"/>
  <c r="BY34" i="54"/>
  <c r="BY50" i="54"/>
  <c r="CB34" i="54"/>
  <c r="CB37" i="54"/>
  <c r="CB29" i="54"/>
  <c r="CB22" i="54"/>
  <c r="CB15" i="54"/>
  <c r="CB35" i="54"/>
  <c r="CB51" i="54"/>
  <c r="CB28" i="54"/>
  <c r="CB44" i="54"/>
  <c r="BY38" i="54"/>
  <c r="BY16" i="54"/>
  <c r="CB42" i="54"/>
  <c r="CB33" i="54"/>
  <c r="CB45" i="54"/>
  <c r="CB30" i="54"/>
  <c r="CB17" i="54"/>
  <c r="CB23" i="54"/>
  <c r="CB39" i="54"/>
  <c r="BY8" i="54"/>
  <c r="BY12" i="54"/>
  <c r="BY52" i="54"/>
  <c r="BY9" i="54"/>
  <c r="BY13" i="54"/>
  <c r="BY6" i="54"/>
  <c r="BY10" i="54"/>
  <c r="BY14" i="54"/>
  <c r="BY7" i="54"/>
  <c r="BY11" i="54"/>
  <c r="BY15" i="54"/>
  <c r="CB16" i="54"/>
  <c r="CB32" i="54"/>
  <c r="CB48" i="54"/>
  <c r="BY25" i="54"/>
  <c r="BY41" i="54"/>
  <c r="BY26" i="54"/>
  <c r="BY42" i="54"/>
  <c r="CB18" i="54"/>
  <c r="CB50" i="54"/>
  <c r="CB19" i="54"/>
  <c r="CB25" i="54"/>
  <c r="CB38" i="54"/>
  <c r="CB41" i="54"/>
  <c r="AW50" i="79" l="1"/>
  <c r="AW49" i="79"/>
  <c r="AW48" i="79"/>
  <c r="AW47" i="79"/>
  <c r="AW41" i="79"/>
  <c r="AW40" i="79"/>
  <c r="AW39" i="79"/>
  <c r="AW38" i="79"/>
  <c r="AW33" i="79"/>
  <c r="AW32" i="79"/>
  <c r="AW31" i="79"/>
  <c r="AW30" i="79"/>
  <c r="AW25" i="79"/>
  <c r="AW24" i="79"/>
  <c r="AW23" i="79"/>
  <c r="AW22" i="79"/>
  <c r="AX39" i="79" l="1"/>
  <c r="AW9" i="79"/>
  <c r="AW10" i="79"/>
  <c r="AW11" i="79"/>
  <c r="AW12" i="79"/>
  <c r="AW13" i="79"/>
  <c r="AW14" i="79"/>
  <c r="AW15" i="79"/>
  <c r="AW16" i="79"/>
  <c r="AW17" i="79"/>
  <c r="AW18" i="79"/>
  <c r="AW19" i="79"/>
  <c r="AW20" i="79"/>
  <c r="AW21" i="79"/>
  <c r="AX23" i="79"/>
  <c r="AW26" i="79"/>
  <c r="AW27" i="79"/>
  <c r="AW28" i="79"/>
  <c r="AW29" i="79"/>
  <c r="AX31" i="79"/>
  <c r="AX68" i="79"/>
  <c r="AX60" i="79"/>
  <c r="AX48" i="79"/>
  <c r="AX11" i="79" l="1"/>
  <c r="AX19" i="79"/>
  <c r="AE7" i="3"/>
  <c r="AF14" i="2"/>
  <c r="AE14" i="2"/>
  <c r="AE17" i="3" l="1"/>
  <c r="AE52" i="1"/>
  <c r="AE24" i="1"/>
  <c r="AE55" i="1"/>
  <c r="AE41" i="1" l="1"/>
  <c r="AE12" i="1"/>
  <c r="AD12" i="1"/>
  <c r="AE48" i="1" l="1"/>
  <c r="AE18" i="1"/>
  <c r="AD18" i="1"/>
  <c r="AE27" i="1" l="1"/>
  <c r="AE56" i="1"/>
  <c r="AE58" i="1" l="1"/>
  <c r="AE93" i="1"/>
  <c r="AE92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C55" i="1"/>
  <c r="AE98" i="1" l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C81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C78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P74" i="1"/>
  <c r="D74" i="1"/>
  <c r="E74" i="1"/>
  <c r="F74" i="1"/>
  <c r="G74" i="1"/>
  <c r="H74" i="1"/>
  <c r="I74" i="1"/>
  <c r="J74" i="1"/>
  <c r="K74" i="1"/>
  <c r="L74" i="1"/>
  <c r="M74" i="1"/>
  <c r="N74" i="1"/>
  <c r="O74" i="1"/>
  <c r="C74" i="1"/>
  <c r="AA69" i="1"/>
  <c r="AB69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C52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P48" i="1"/>
  <c r="D48" i="1"/>
  <c r="E48" i="1"/>
  <c r="F48" i="1"/>
  <c r="G48" i="1"/>
  <c r="H48" i="1"/>
  <c r="I48" i="1"/>
  <c r="J48" i="1"/>
  <c r="K48" i="1"/>
  <c r="L48" i="1"/>
  <c r="M48" i="1"/>
  <c r="N48" i="1"/>
  <c r="O48" i="1"/>
  <c r="C48" i="1"/>
  <c r="C56" i="1" s="1"/>
  <c r="F41" i="1"/>
  <c r="G41" i="1"/>
  <c r="H41" i="1"/>
  <c r="I41" i="1"/>
  <c r="J41" i="1"/>
  <c r="K41" i="1"/>
  <c r="L41" i="1"/>
  <c r="M41" i="1"/>
  <c r="N41" i="1"/>
  <c r="O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A24" i="1"/>
  <c r="AB24" i="1"/>
  <c r="AC24" i="1"/>
  <c r="AD24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P18" i="1"/>
  <c r="D18" i="1"/>
  <c r="E18" i="1"/>
  <c r="F18" i="1"/>
  <c r="G18" i="1"/>
  <c r="H18" i="1"/>
  <c r="I18" i="1"/>
  <c r="J18" i="1"/>
  <c r="K18" i="1"/>
  <c r="L18" i="1"/>
  <c r="M18" i="1"/>
  <c r="N18" i="1"/>
  <c r="O18" i="1"/>
  <c r="C18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X27" i="1" s="1"/>
  <c r="Y12" i="1"/>
  <c r="Y27" i="1" s="1"/>
  <c r="Z12" i="1"/>
  <c r="AA12" i="1"/>
  <c r="AB12" i="1"/>
  <c r="AC12" i="1"/>
  <c r="C12" i="1"/>
  <c r="U27" i="1" l="1"/>
  <c r="C82" i="1"/>
  <c r="T27" i="1"/>
  <c r="R27" i="1"/>
  <c r="Q27" i="1"/>
  <c r="V27" i="1"/>
  <c r="D56" i="1"/>
  <c r="AD82" i="1"/>
  <c r="C27" i="1"/>
  <c r="L27" i="1"/>
  <c r="H27" i="1"/>
  <c r="D27" i="1"/>
  <c r="M56" i="1"/>
  <c r="I56" i="1"/>
  <c r="N82" i="1"/>
  <c r="J82" i="1"/>
  <c r="F82" i="1"/>
  <c r="Z82" i="1"/>
  <c r="K27" i="1"/>
  <c r="G27" i="1"/>
  <c r="M27" i="1"/>
  <c r="E27" i="1"/>
  <c r="AB56" i="1"/>
  <c r="X56" i="1"/>
  <c r="T56" i="1"/>
  <c r="I27" i="1"/>
  <c r="P56" i="1"/>
  <c r="O56" i="1"/>
  <c r="K56" i="1"/>
  <c r="G56" i="1"/>
  <c r="N56" i="1"/>
  <c r="L82" i="1"/>
  <c r="H82" i="1"/>
  <c r="D82" i="1"/>
  <c r="X82" i="1"/>
  <c r="T82" i="1"/>
  <c r="AA56" i="1"/>
  <c r="S56" i="1"/>
  <c r="F56" i="1"/>
  <c r="Z27" i="1"/>
  <c r="N27" i="1"/>
  <c r="J27" i="1"/>
  <c r="F27" i="1"/>
  <c r="Z56" i="1"/>
  <c r="Z58" i="1" s="1"/>
  <c r="V56" i="1"/>
  <c r="R56" i="1"/>
  <c r="W56" i="1"/>
  <c r="AB82" i="1"/>
  <c r="V82" i="1"/>
  <c r="R82" i="1"/>
  <c r="P27" i="1"/>
  <c r="AB27" i="1"/>
  <c r="AD56" i="1"/>
  <c r="O27" i="1"/>
  <c r="W27" i="1"/>
  <c r="S27" i="1"/>
  <c r="AC27" i="1"/>
  <c r="AC56" i="1"/>
  <c r="Y56" i="1"/>
  <c r="U56" i="1"/>
  <c r="Q56" i="1"/>
  <c r="L56" i="1"/>
  <c r="J56" i="1"/>
  <c r="H56" i="1"/>
  <c r="E56" i="1"/>
  <c r="AA82" i="1"/>
  <c r="O82" i="1"/>
  <c r="M82" i="1"/>
  <c r="K82" i="1"/>
  <c r="I82" i="1"/>
  <c r="G82" i="1"/>
  <c r="E82" i="1"/>
  <c r="P82" i="1"/>
  <c r="AC82" i="1"/>
  <c r="Y82" i="1"/>
  <c r="W82" i="1"/>
  <c r="U82" i="1"/>
  <c r="S82" i="1"/>
  <c r="Q82" i="1"/>
  <c r="AA27" i="1"/>
  <c r="AD27" i="1"/>
  <c r="AC58" i="1" l="1"/>
  <c r="AB58" i="1"/>
  <c r="AA58" i="1"/>
  <c r="AD58" i="1"/>
  <c r="AD92" i="1"/>
  <c r="AM18" i="79" l="1"/>
  <c r="AM14" i="79"/>
  <c r="AM10" i="79"/>
  <c r="AM6" i="79"/>
  <c r="AL159" i="80" l="1"/>
  <c r="AL160" i="80"/>
  <c r="AL161" i="80"/>
  <c r="AL162" i="80"/>
  <c r="AL163" i="80"/>
  <c r="AL164" i="80"/>
  <c r="AL165" i="80"/>
  <c r="AL166" i="80"/>
  <c r="AL158" i="80"/>
  <c r="F7" i="80"/>
  <c r="F8" i="80"/>
  <c r="F9" i="80"/>
  <c r="F10" i="80"/>
  <c r="F11" i="80"/>
  <c r="F12" i="80"/>
  <c r="F13" i="80"/>
  <c r="F14" i="80"/>
  <c r="F15" i="80"/>
  <c r="F16" i="80"/>
  <c r="F17" i="80"/>
  <c r="F18" i="80"/>
  <c r="F19" i="80"/>
  <c r="F20" i="80"/>
  <c r="F21" i="80"/>
  <c r="F22" i="80"/>
  <c r="F23" i="80"/>
  <c r="F24" i="80"/>
  <c r="F25" i="80"/>
  <c r="F26" i="80"/>
  <c r="F27" i="80"/>
  <c r="F28" i="80"/>
  <c r="F29" i="80"/>
  <c r="F30" i="80"/>
  <c r="F31" i="80"/>
  <c r="F32" i="80"/>
  <c r="F33" i="80"/>
  <c r="F34" i="80"/>
  <c r="F35" i="80"/>
  <c r="F36" i="80"/>
  <c r="F37" i="80"/>
  <c r="F38" i="80"/>
  <c r="F39" i="80"/>
  <c r="F40" i="80"/>
  <c r="F41" i="80"/>
  <c r="F42" i="80"/>
  <c r="F43" i="80"/>
  <c r="F44" i="80"/>
  <c r="F45" i="80"/>
  <c r="F46" i="80"/>
  <c r="F47" i="80"/>
  <c r="F48" i="80"/>
  <c r="F49" i="80"/>
  <c r="F50" i="80"/>
  <c r="F51" i="80"/>
  <c r="F52" i="80"/>
  <c r="F53" i="80"/>
  <c r="F54" i="80"/>
  <c r="F6" i="80"/>
  <c r="BU6" i="91"/>
  <c r="BU7" i="91"/>
  <c r="BU8" i="91"/>
  <c r="BU9" i="91"/>
  <c r="BU10" i="91"/>
  <c r="BU11" i="91"/>
  <c r="BU12" i="91"/>
  <c r="BU13" i="91"/>
  <c r="BU14" i="91"/>
  <c r="BU15" i="91"/>
  <c r="BU16" i="91"/>
  <c r="BU17" i="91"/>
  <c r="BU18" i="91"/>
  <c r="BU19" i="91"/>
  <c r="BU20" i="91"/>
  <c r="BU21" i="91"/>
  <c r="BU22" i="91"/>
  <c r="BU23" i="91"/>
  <c r="BU24" i="91"/>
  <c r="BU25" i="91"/>
  <c r="BU26" i="91"/>
  <c r="BU27" i="91"/>
  <c r="BU28" i="91"/>
  <c r="BU29" i="91"/>
  <c r="BU30" i="91"/>
  <c r="BU31" i="91"/>
  <c r="BU32" i="91"/>
  <c r="BU33" i="91"/>
  <c r="BU34" i="91"/>
  <c r="BU35" i="91"/>
  <c r="BU36" i="91"/>
  <c r="BU37" i="91"/>
  <c r="BU38" i="91"/>
  <c r="BU39" i="91"/>
  <c r="BU40" i="91"/>
  <c r="BU41" i="91"/>
  <c r="BU42" i="91"/>
  <c r="BU43" i="91"/>
  <c r="BU44" i="91"/>
  <c r="BU45" i="91"/>
  <c r="BU47" i="91"/>
  <c r="BU48" i="91"/>
  <c r="BU5" i="91"/>
  <c r="BT6" i="91"/>
  <c r="BT7" i="91"/>
  <c r="BT8" i="91"/>
  <c r="BT9" i="91"/>
  <c r="BT10" i="91"/>
  <c r="BT11" i="91"/>
  <c r="BT12" i="91"/>
  <c r="BT13" i="91"/>
  <c r="BT14" i="91"/>
  <c r="BT15" i="91"/>
  <c r="BT16" i="91"/>
  <c r="BT17" i="91"/>
  <c r="BT18" i="91"/>
  <c r="BT19" i="91"/>
  <c r="BT20" i="91"/>
  <c r="BT21" i="91"/>
  <c r="BT22" i="91"/>
  <c r="BT23" i="91"/>
  <c r="BT24" i="91"/>
  <c r="BT25" i="91"/>
  <c r="BT26" i="91"/>
  <c r="BT27" i="91"/>
  <c r="BT28" i="91"/>
  <c r="BT29" i="91"/>
  <c r="BT30" i="91"/>
  <c r="BT31" i="91"/>
  <c r="BT32" i="91"/>
  <c r="BT33" i="91"/>
  <c r="BT34" i="91"/>
  <c r="BT35" i="91"/>
  <c r="BT36" i="91"/>
  <c r="BT37" i="91"/>
  <c r="BT38" i="91"/>
  <c r="BT39" i="91"/>
  <c r="BT40" i="91"/>
  <c r="BT41" i="91"/>
  <c r="BT42" i="91"/>
  <c r="BT43" i="91"/>
  <c r="BT44" i="91"/>
  <c r="BT45" i="91"/>
  <c r="BT47" i="91"/>
  <c r="BT48" i="91"/>
  <c r="BT5" i="91"/>
  <c r="BV6" i="91"/>
  <c r="BV7" i="91"/>
  <c r="BV8" i="91"/>
  <c r="BV9" i="91"/>
  <c r="BV10" i="91"/>
  <c r="BV11" i="91"/>
  <c r="BV12" i="91"/>
  <c r="BV13" i="91"/>
  <c r="BV14" i="91"/>
  <c r="BV15" i="91"/>
  <c r="BV16" i="91"/>
  <c r="BV17" i="91"/>
  <c r="BV18" i="91"/>
  <c r="BV19" i="91"/>
  <c r="BV20" i="91"/>
  <c r="BV21" i="91"/>
  <c r="BV22" i="91"/>
  <c r="BV23" i="91"/>
  <c r="BV24" i="91"/>
  <c r="BV25" i="91"/>
  <c r="BV26" i="91"/>
  <c r="BV27" i="91"/>
  <c r="BV28" i="91"/>
  <c r="BV29" i="91"/>
  <c r="BV30" i="91"/>
  <c r="BV31" i="91"/>
  <c r="BV32" i="91"/>
  <c r="BV33" i="91"/>
  <c r="BV34" i="91"/>
  <c r="BV35" i="91"/>
  <c r="BV36" i="91"/>
  <c r="BV37" i="91"/>
  <c r="BV38" i="91"/>
  <c r="BV39" i="91"/>
  <c r="BV40" i="91"/>
  <c r="BV41" i="91"/>
  <c r="BV42" i="91"/>
  <c r="BV43" i="91"/>
  <c r="BV44" i="91"/>
  <c r="BV45" i="91"/>
  <c r="BV47" i="91"/>
  <c r="BV48" i="91"/>
  <c r="BV5" i="91"/>
  <c r="BR46" i="91"/>
  <c r="BV46" i="91" s="1"/>
  <c r="BR49" i="91"/>
  <c r="BQ56" i="91"/>
  <c r="BQ49" i="91"/>
  <c r="BP49" i="91"/>
  <c r="BO49" i="91"/>
  <c r="BP46" i="91"/>
  <c r="BQ46" i="91"/>
  <c r="BU46" i="91" s="1"/>
  <c r="BO46" i="91"/>
  <c r="AN19" i="79"/>
  <c r="BY43" i="91" l="1"/>
  <c r="BY39" i="91"/>
  <c r="BY35" i="91"/>
  <c r="BY31" i="91"/>
  <c r="BY27" i="91"/>
  <c r="BY23" i="91"/>
  <c r="BY19" i="91"/>
  <c r="BY15" i="91"/>
  <c r="BY11" i="91"/>
  <c r="BY7" i="91"/>
  <c r="BY42" i="91"/>
  <c r="BY38" i="91"/>
  <c r="BY34" i="91"/>
  <c r="BT46" i="91"/>
  <c r="BW27" i="91" s="1"/>
  <c r="BY44" i="91"/>
  <c r="BY40" i="91"/>
  <c r="BY36" i="91"/>
  <c r="BY32" i="91"/>
  <c r="BY28" i="91"/>
  <c r="BY24" i="91"/>
  <c r="BY20" i="91"/>
  <c r="BY16" i="91"/>
  <c r="BY12" i="91"/>
  <c r="BY8" i="91"/>
  <c r="BX42" i="91"/>
  <c r="BX38" i="91"/>
  <c r="BX34" i="91"/>
  <c r="BX30" i="91"/>
  <c r="BX26" i="91"/>
  <c r="BX22" i="91"/>
  <c r="BX18" i="91"/>
  <c r="BX14" i="91"/>
  <c r="BX10" i="91"/>
  <c r="BX6" i="91"/>
  <c r="BV143" i="80"/>
  <c r="BV135" i="80"/>
  <c r="BV127" i="80"/>
  <c r="BV119" i="80"/>
  <c r="U11" i="80"/>
  <c r="AG11" i="80" s="1"/>
  <c r="BV111" i="80"/>
  <c r="BV142" i="80"/>
  <c r="BV134" i="80"/>
  <c r="BV126" i="80"/>
  <c r="BV118" i="80"/>
  <c r="BP10" i="80"/>
  <c r="BO10" i="80"/>
  <c r="BR10" i="80"/>
  <c r="BQ10" i="80"/>
  <c r="BN10" i="80"/>
  <c r="BS10" i="80"/>
  <c r="BM10" i="80"/>
  <c r="BV10" i="80"/>
  <c r="BV110" i="80" s="1"/>
  <c r="BU10" i="80"/>
  <c r="BT10" i="80"/>
  <c r="BV141" i="80"/>
  <c r="BV133" i="80"/>
  <c r="BV125" i="80"/>
  <c r="BV117" i="80"/>
  <c r="BV9" i="80"/>
  <c r="BV109" i="80" s="1"/>
  <c r="BU9" i="80"/>
  <c r="BM9" i="80"/>
  <c r="BT9" i="80"/>
  <c r="BS9" i="80"/>
  <c r="BR9" i="80"/>
  <c r="BP9" i="80"/>
  <c r="BQ9" i="80"/>
  <c r="BN9" i="80"/>
  <c r="BO9" i="80"/>
  <c r="BV140" i="80"/>
  <c r="BV132" i="80"/>
  <c r="BV124" i="80"/>
  <c r="BV116" i="80"/>
  <c r="BU8" i="80"/>
  <c r="BM8" i="80"/>
  <c r="BS8" i="80"/>
  <c r="BT8" i="80"/>
  <c r="BR8" i="80"/>
  <c r="BN8" i="80"/>
  <c r="BQ8" i="80"/>
  <c r="BP8" i="80"/>
  <c r="BV8" i="80"/>
  <c r="BV108" i="80" s="1"/>
  <c r="BO8" i="80"/>
  <c r="BU6" i="80"/>
  <c r="BM6" i="80"/>
  <c r="BS6" i="80"/>
  <c r="BT6" i="80"/>
  <c r="BP6" i="80"/>
  <c r="BV6" i="80"/>
  <c r="BN6" i="80"/>
  <c r="BR6" i="80"/>
  <c r="BQ6" i="80"/>
  <c r="BO6" i="80"/>
  <c r="BV139" i="80"/>
  <c r="BV123" i="80"/>
  <c r="BU7" i="80"/>
  <c r="BM7" i="80"/>
  <c r="BS7" i="80"/>
  <c r="BN7" i="80"/>
  <c r="BT7" i="80"/>
  <c r="BP7" i="80"/>
  <c r="BR7" i="80"/>
  <c r="BQ7" i="80"/>
  <c r="BO7" i="80"/>
  <c r="BV7" i="80"/>
  <c r="BV107" i="80" s="1"/>
  <c r="BV138" i="80"/>
  <c r="BV130" i="80"/>
  <c r="BV122" i="80"/>
  <c r="BV114" i="80"/>
  <c r="BV115" i="80"/>
  <c r="BV137" i="80"/>
  <c r="BV129" i="80"/>
  <c r="BV121" i="80"/>
  <c r="BV113" i="80"/>
  <c r="BV131" i="80"/>
  <c r="BV144" i="80"/>
  <c r="BV136" i="80"/>
  <c r="BV128" i="80"/>
  <c r="BV120" i="80"/>
  <c r="BV112" i="80"/>
  <c r="BY30" i="91"/>
  <c r="BY26" i="91"/>
  <c r="BY22" i="91"/>
  <c r="BY18" i="91"/>
  <c r="BY14" i="91"/>
  <c r="BX46" i="91"/>
  <c r="BX7" i="91"/>
  <c r="BX11" i="91"/>
  <c r="BX19" i="91"/>
  <c r="BX27" i="91"/>
  <c r="BX35" i="91"/>
  <c r="BX43" i="91"/>
  <c r="BX15" i="91"/>
  <c r="BX23" i="91"/>
  <c r="BX31" i="91"/>
  <c r="BX39" i="91"/>
  <c r="BX5" i="91"/>
  <c r="BX41" i="91"/>
  <c r="BX33" i="91"/>
  <c r="BX25" i="91"/>
  <c r="BX17" i="91"/>
  <c r="BX9" i="91"/>
  <c r="BY10" i="91"/>
  <c r="BY6" i="91"/>
  <c r="BX44" i="91"/>
  <c r="BX40" i="91"/>
  <c r="BX36" i="91"/>
  <c r="BX32" i="91"/>
  <c r="BX28" i="91"/>
  <c r="BX24" i="91"/>
  <c r="BX20" i="91"/>
  <c r="BX16" i="91"/>
  <c r="BX12" i="91"/>
  <c r="BX8" i="91"/>
  <c r="BX45" i="91"/>
  <c r="BX37" i="91"/>
  <c r="BX29" i="91"/>
  <c r="BX21" i="91"/>
  <c r="BX13" i="91"/>
  <c r="BY9" i="91"/>
  <c r="BY13" i="91"/>
  <c r="BY17" i="91"/>
  <c r="BY25" i="91"/>
  <c r="BY33" i="91"/>
  <c r="BY41" i="91"/>
  <c r="BY5" i="91"/>
  <c r="BY46" i="91"/>
  <c r="BY21" i="91"/>
  <c r="BY29" i="91"/>
  <c r="BY37" i="91"/>
  <c r="BY45" i="91"/>
  <c r="AM25" i="79"/>
  <c r="AM24" i="79"/>
  <c r="AM23" i="79"/>
  <c r="AM22" i="79"/>
  <c r="AD13" i="11"/>
  <c r="AD17" i="11" s="1"/>
  <c r="BW22" i="91" l="1"/>
  <c r="BW25" i="91"/>
  <c r="BW5" i="91"/>
  <c r="BW9" i="91"/>
  <c r="BW16" i="91"/>
  <c r="BW23" i="91"/>
  <c r="BW41" i="91"/>
  <c r="BW35" i="91"/>
  <c r="BW6" i="91"/>
  <c r="BW32" i="91"/>
  <c r="BW34" i="91"/>
  <c r="BW20" i="91"/>
  <c r="BW36" i="91"/>
  <c r="BW31" i="91"/>
  <c r="BW26" i="91"/>
  <c r="BW46" i="91"/>
  <c r="BW14" i="91"/>
  <c r="BW13" i="91"/>
  <c r="BW29" i="91"/>
  <c r="BW45" i="91"/>
  <c r="BW7" i="91"/>
  <c r="BW43" i="91"/>
  <c r="BW8" i="91"/>
  <c r="BW24" i="91"/>
  <c r="BW40" i="91"/>
  <c r="BW11" i="91"/>
  <c r="BW39" i="91"/>
  <c r="BW18" i="91"/>
  <c r="BW38" i="91"/>
  <c r="BW17" i="91"/>
  <c r="BW33" i="91"/>
  <c r="BW19" i="91"/>
  <c r="AN23" i="79"/>
  <c r="BW12" i="91"/>
  <c r="BW28" i="91"/>
  <c r="BW44" i="91"/>
  <c r="BW15" i="91"/>
  <c r="BW42" i="91"/>
  <c r="BW10" i="91"/>
  <c r="BW30" i="91"/>
  <c r="BW21" i="91"/>
  <c r="BW37" i="91"/>
  <c r="BP112" i="80"/>
  <c r="CB12" i="80"/>
  <c r="CB112" i="80" s="1"/>
  <c r="BL131" i="80"/>
  <c r="BX31" i="80"/>
  <c r="BX131" i="80" s="1"/>
  <c r="BO113" i="80"/>
  <c r="CA13" i="80"/>
  <c r="CA113" i="80" s="1"/>
  <c r="BQ114" i="80"/>
  <c r="CC14" i="80"/>
  <c r="CC114" i="80" s="1"/>
  <c r="BT107" i="80"/>
  <c r="CF7" i="80"/>
  <c r="CF107" i="80" s="1"/>
  <c r="BU140" i="80"/>
  <c r="CG40" i="80"/>
  <c r="CG140" i="80" s="1"/>
  <c r="BP133" i="80"/>
  <c r="CB33" i="80"/>
  <c r="CB133" i="80" s="1"/>
  <c r="BP141" i="80"/>
  <c r="CB41" i="80"/>
  <c r="CB141" i="80" s="1"/>
  <c r="BU142" i="80"/>
  <c r="CG42" i="80"/>
  <c r="CG142" i="80" s="1"/>
  <c r="BP111" i="80"/>
  <c r="CB11" i="80"/>
  <c r="CB111" i="80" s="1"/>
  <c r="BM120" i="80"/>
  <c r="BY20" i="80"/>
  <c r="BY120" i="80" s="1"/>
  <c r="BR112" i="80"/>
  <c r="CD12" i="80"/>
  <c r="CD112" i="80" s="1"/>
  <c r="BO112" i="80"/>
  <c r="CA12" i="80"/>
  <c r="CA112" i="80" s="1"/>
  <c r="BN120" i="80"/>
  <c r="BZ20" i="80"/>
  <c r="BZ120" i="80" s="1"/>
  <c r="BQ136" i="80"/>
  <c r="CC36" i="80"/>
  <c r="CC136" i="80" s="1"/>
  <c r="BP144" i="80"/>
  <c r="CB44" i="80"/>
  <c r="CB144" i="80" s="1"/>
  <c r="BS131" i="80"/>
  <c r="CE31" i="80"/>
  <c r="CE131" i="80" s="1"/>
  <c r="BP131" i="80"/>
  <c r="CB31" i="80"/>
  <c r="CB131" i="80" s="1"/>
  <c r="BM121" i="80"/>
  <c r="BY21" i="80"/>
  <c r="BY121" i="80" s="1"/>
  <c r="BP129" i="80"/>
  <c r="CB29" i="80"/>
  <c r="CB129" i="80" s="1"/>
  <c r="BN129" i="80"/>
  <c r="BZ29" i="80"/>
  <c r="BZ129" i="80" s="1"/>
  <c r="BS115" i="80"/>
  <c r="CE15" i="80"/>
  <c r="CE115" i="80" s="1"/>
  <c r="BS114" i="80"/>
  <c r="CE14" i="80"/>
  <c r="CE114" i="80" s="1"/>
  <c r="CB22" i="80"/>
  <c r="CB122" i="80" s="1"/>
  <c r="BP122" i="80"/>
  <c r="BS130" i="80"/>
  <c r="CE30" i="80"/>
  <c r="CE130" i="80" s="1"/>
  <c r="BP130" i="80"/>
  <c r="CB30" i="80"/>
  <c r="CB130" i="80" s="1"/>
  <c r="BR138" i="80"/>
  <c r="CD38" i="80"/>
  <c r="CD138" i="80" s="1"/>
  <c r="BP107" i="80"/>
  <c r="CB7" i="80"/>
  <c r="CB107" i="80" s="1"/>
  <c r="BU123" i="80"/>
  <c r="CG23" i="80"/>
  <c r="CG123" i="80" s="1"/>
  <c r="BT123" i="80"/>
  <c r="CF23" i="80"/>
  <c r="CF123" i="80" s="1"/>
  <c r="BR139" i="80"/>
  <c r="CD39" i="80"/>
  <c r="CD139" i="80" s="1"/>
  <c r="BV106" i="80"/>
  <c r="BV147" i="80" s="1"/>
  <c r="BV150" i="80" s="1"/>
  <c r="BV47" i="80"/>
  <c r="BP108" i="80"/>
  <c r="CB8" i="80"/>
  <c r="CB108" i="80" s="1"/>
  <c r="BP116" i="80"/>
  <c r="CB16" i="80"/>
  <c r="CB116" i="80" s="1"/>
  <c r="BN116" i="80"/>
  <c r="BZ16" i="80"/>
  <c r="BZ116" i="80" s="1"/>
  <c r="BL124" i="80"/>
  <c r="BX24" i="80"/>
  <c r="BX124" i="80" s="1"/>
  <c r="CF32" i="80"/>
  <c r="CF132" i="80" s="1"/>
  <c r="BT132" i="80"/>
  <c r="BR132" i="80"/>
  <c r="CD32" i="80"/>
  <c r="CD132" i="80" s="1"/>
  <c r="BM140" i="80"/>
  <c r="BY40" i="80"/>
  <c r="BY140" i="80" s="1"/>
  <c r="BR109" i="80"/>
  <c r="CD9" i="80"/>
  <c r="CD109" i="80" s="1"/>
  <c r="BQ117" i="80"/>
  <c r="CC17" i="80"/>
  <c r="CC117" i="80" s="1"/>
  <c r="BO117" i="80"/>
  <c r="CA17" i="80"/>
  <c r="CA117" i="80" s="1"/>
  <c r="BN125" i="80"/>
  <c r="BZ25" i="80"/>
  <c r="BZ125" i="80" s="1"/>
  <c r="BO133" i="80"/>
  <c r="CA33" i="80"/>
  <c r="CA133" i="80" s="1"/>
  <c r="BR141" i="80"/>
  <c r="CD41" i="80"/>
  <c r="CD141" i="80" s="1"/>
  <c r="BO141" i="80"/>
  <c r="CA41" i="80"/>
  <c r="CA141" i="80" s="1"/>
  <c r="CC10" i="80"/>
  <c r="CC110" i="80" s="1"/>
  <c r="BQ110" i="80"/>
  <c r="BT118" i="80"/>
  <c r="CF18" i="80"/>
  <c r="CF118" i="80" s="1"/>
  <c r="BL126" i="80"/>
  <c r="BX26" i="80"/>
  <c r="BX126" i="80" s="1"/>
  <c r="BQ126" i="80"/>
  <c r="CC26" i="80"/>
  <c r="CC126" i="80" s="1"/>
  <c r="BT134" i="80"/>
  <c r="CF34" i="80"/>
  <c r="CF134" i="80" s="1"/>
  <c r="BM142" i="80"/>
  <c r="BY42" i="80"/>
  <c r="BY142" i="80" s="1"/>
  <c r="BR111" i="80"/>
  <c r="CD11" i="80"/>
  <c r="CD111" i="80" s="1"/>
  <c r="BO111" i="80"/>
  <c r="CA11" i="80"/>
  <c r="CA111" i="80" s="1"/>
  <c r="BL119" i="80"/>
  <c r="BX19" i="80"/>
  <c r="BX119" i="80" s="1"/>
  <c r="BL127" i="80"/>
  <c r="BX27" i="80"/>
  <c r="BX127" i="80" s="1"/>
  <c r="CC27" i="80"/>
  <c r="CC127" i="80" s="1"/>
  <c r="BQ127" i="80"/>
  <c r="BT135" i="80"/>
  <c r="CF35" i="80"/>
  <c r="CF135" i="80" s="1"/>
  <c r="BM143" i="80"/>
  <c r="BY43" i="80"/>
  <c r="BY143" i="80" s="1"/>
  <c r="BT112" i="80"/>
  <c r="CF12" i="80"/>
  <c r="CF112" i="80" s="1"/>
  <c r="BL113" i="80"/>
  <c r="BX13" i="80"/>
  <c r="BX113" i="80" s="1"/>
  <c r="BO114" i="80"/>
  <c r="CA14" i="80"/>
  <c r="CA114" i="80" s="1"/>
  <c r="BQ108" i="80"/>
  <c r="CC8" i="80"/>
  <c r="CC108" i="80" s="1"/>
  <c r="BT126" i="80"/>
  <c r="CF26" i="80"/>
  <c r="CF126" i="80" s="1"/>
  <c r="BU143" i="80"/>
  <c r="CG43" i="80"/>
  <c r="CG143" i="80" s="1"/>
  <c r="BL112" i="80"/>
  <c r="BX12" i="80"/>
  <c r="CF20" i="80"/>
  <c r="CF120" i="80" s="1"/>
  <c r="BT120" i="80"/>
  <c r="BO120" i="80"/>
  <c r="CA20" i="80"/>
  <c r="CA120" i="80" s="1"/>
  <c r="BP128" i="80"/>
  <c r="CB28" i="80"/>
  <c r="CB128" i="80" s="1"/>
  <c r="CE36" i="80"/>
  <c r="CE136" i="80" s="1"/>
  <c r="BS136" i="80"/>
  <c r="BP136" i="80"/>
  <c r="CB36" i="80"/>
  <c r="CB136" i="80" s="1"/>
  <c r="BR144" i="80"/>
  <c r="CD44" i="80"/>
  <c r="CD144" i="80" s="1"/>
  <c r="BT131" i="80"/>
  <c r="CF31" i="80"/>
  <c r="CF131" i="80" s="1"/>
  <c r="BR113" i="80"/>
  <c r="CD13" i="80"/>
  <c r="CD113" i="80" s="1"/>
  <c r="BP113" i="80"/>
  <c r="CB13" i="80"/>
  <c r="CB113" i="80" s="1"/>
  <c r="BO121" i="80"/>
  <c r="CA21" i="80"/>
  <c r="CA121" i="80" s="1"/>
  <c r="BR129" i="80"/>
  <c r="CD29" i="80"/>
  <c r="CD129" i="80" s="1"/>
  <c r="BS137" i="80"/>
  <c r="CE37" i="80"/>
  <c r="CE137" i="80" s="1"/>
  <c r="BP137" i="80"/>
  <c r="CB37" i="80"/>
  <c r="CB137" i="80" s="1"/>
  <c r="BT115" i="80"/>
  <c r="CF15" i="80"/>
  <c r="CF115" i="80" s="1"/>
  <c r="BR114" i="80"/>
  <c r="CD14" i="80"/>
  <c r="CD114" i="80" s="1"/>
  <c r="BP114" i="80"/>
  <c r="CB14" i="80"/>
  <c r="CB114" i="80" s="1"/>
  <c r="BR122" i="80"/>
  <c r="CD22" i="80"/>
  <c r="CD122" i="80" s="1"/>
  <c r="BT130" i="80"/>
  <c r="CF30" i="80"/>
  <c r="CF130" i="80" s="1"/>
  <c r="BU138" i="80"/>
  <c r="CG38" i="80"/>
  <c r="CG138" i="80" s="1"/>
  <c r="BL138" i="80"/>
  <c r="BX38" i="80"/>
  <c r="BX138" i="80" s="1"/>
  <c r="BZ7" i="80"/>
  <c r="BZ107" i="80" s="1"/>
  <c r="BN107" i="80"/>
  <c r="BU139" i="80"/>
  <c r="CG39" i="80"/>
  <c r="CG139" i="80" s="1"/>
  <c r="BL139" i="80"/>
  <c r="BX39" i="80"/>
  <c r="BX139" i="80" s="1"/>
  <c r="BT106" i="80"/>
  <c r="CF6" i="80"/>
  <c r="BT47" i="80"/>
  <c r="CF48" i="80" s="1"/>
  <c r="CF148" i="80" s="1"/>
  <c r="BN108" i="80"/>
  <c r="BZ8" i="80"/>
  <c r="BZ108" i="80" s="1"/>
  <c r="BQ116" i="80"/>
  <c r="CC16" i="80"/>
  <c r="CC116" i="80" s="1"/>
  <c r="BO116" i="80"/>
  <c r="CA16" i="80"/>
  <c r="CA116" i="80" s="1"/>
  <c r="BM124" i="80"/>
  <c r="BY24" i="80"/>
  <c r="BY124" i="80" s="1"/>
  <c r="BU132" i="80"/>
  <c r="CG32" i="80"/>
  <c r="CG132" i="80" s="1"/>
  <c r="BP140" i="80"/>
  <c r="CB40" i="80"/>
  <c r="CB140" i="80" s="1"/>
  <c r="BN140" i="80"/>
  <c r="BZ40" i="80"/>
  <c r="BZ140" i="80" s="1"/>
  <c r="BT109" i="80"/>
  <c r="CF9" i="80"/>
  <c r="CF109" i="80" s="1"/>
  <c r="BL117" i="80"/>
  <c r="BX17" i="80"/>
  <c r="BX117" i="80" s="1"/>
  <c r="BR125" i="80"/>
  <c r="CD25" i="80"/>
  <c r="CD125" i="80" s="1"/>
  <c r="BO125" i="80"/>
  <c r="CA25" i="80"/>
  <c r="CA125" i="80" s="1"/>
  <c r="BQ133" i="80"/>
  <c r="CC33" i="80"/>
  <c r="CC133" i="80" s="1"/>
  <c r="BL141" i="80"/>
  <c r="BX41" i="80"/>
  <c r="BX141" i="80" s="1"/>
  <c r="BT110" i="80"/>
  <c r="CF10" i="80"/>
  <c r="CF110" i="80" s="1"/>
  <c r="BO110" i="80"/>
  <c r="CA10" i="80"/>
  <c r="CA110" i="80" s="1"/>
  <c r="BU118" i="80"/>
  <c r="CG18" i="80"/>
  <c r="CG118" i="80" s="1"/>
  <c r="BM126" i="80"/>
  <c r="BY26" i="80"/>
  <c r="BY126" i="80" s="1"/>
  <c r="CA34" i="80"/>
  <c r="CA134" i="80" s="1"/>
  <c r="BO134" i="80"/>
  <c r="BU134" i="80"/>
  <c r="CG34" i="80"/>
  <c r="CG134" i="80" s="1"/>
  <c r="BN142" i="80"/>
  <c r="BZ42" i="80"/>
  <c r="BZ142" i="80" s="1"/>
  <c r="BU111" i="80"/>
  <c r="CG11" i="80"/>
  <c r="CG111" i="80" s="1"/>
  <c r="BQ111" i="80"/>
  <c r="CC11" i="80"/>
  <c r="CC111" i="80" s="1"/>
  <c r="BM119" i="80"/>
  <c r="BY19" i="80"/>
  <c r="BY119" i="80" s="1"/>
  <c r="BM127" i="80"/>
  <c r="BY27" i="80"/>
  <c r="BY127" i="80" s="1"/>
  <c r="BO135" i="80"/>
  <c r="CA35" i="80"/>
  <c r="CA135" i="80" s="1"/>
  <c r="BU135" i="80"/>
  <c r="CG35" i="80"/>
  <c r="CG135" i="80" s="1"/>
  <c r="BN143" i="80"/>
  <c r="BZ43" i="80"/>
  <c r="BZ143" i="80" s="1"/>
  <c r="BR136" i="80"/>
  <c r="CD36" i="80"/>
  <c r="CD136" i="80" s="1"/>
  <c r="BQ129" i="80"/>
  <c r="CC29" i="80"/>
  <c r="CC129" i="80" s="1"/>
  <c r="BL130" i="80"/>
  <c r="BX30" i="80"/>
  <c r="BX130" i="80" s="1"/>
  <c r="BS139" i="80"/>
  <c r="CE39" i="80"/>
  <c r="CE139" i="80" s="1"/>
  <c r="BO140" i="80"/>
  <c r="CA40" i="80"/>
  <c r="CA140" i="80" s="1"/>
  <c r="CD10" i="80"/>
  <c r="CD110" i="80" s="1"/>
  <c r="BR110" i="80"/>
  <c r="BR127" i="80"/>
  <c r="CD27" i="80"/>
  <c r="CD127" i="80" s="1"/>
  <c r="BS112" i="80"/>
  <c r="CE12" i="80"/>
  <c r="CE112" i="80" s="1"/>
  <c r="BL120" i="80"/>
  <c r="BX20" i="80"/>
  <c r="BX120" i="80" s="1"/>
  <c r="BP120" i="80"/>
  <c r="CB20" i="80"/>
  <c r="CB120" i="80" s="1"/>
  <c r="BQ128" i="80"/>
  <c r="CC28" i="80"/>
  <c r="CC128" i="80" s="1"/>
  <c r="BL136" i="80"/>
  <c r="BX36" i="80"/>
  <c r="BX136" i="80" s="1"/>
  <c r="BM144" i="80"/>
  <c r="BY44" i="80"/>
  <c r="BY144" i="80" s="1"/>
  <c r="BS144" i="80"/>
  <c r="CE44" i="80"/>
  <c r="CE144" i="80" s="1"/>
  <c r="BM131" i="80"/>
  <c r="BY31" i="80"/>
  <c r="BY131" i="80" s="1"/>
  <c r="BT113" i="80"/>
  <c r="CF13" i="80"/>
  <c r="CF113" i="80" s="1"/>
  <c r="BQ113" i="80"/>
  <c r="CC13" i="80"/>
  <c r="CC113" i="80" s="1"/>
  <c r="BP121" i="80"/>
  <c r="CB21" i="80"/>
  <c r="CB121" i="80" s="1"/>
  <c r="BS129" i="80"/>
  <c r="CE29" i="80"/>
  <c r="CE129" i="80" s="1"/>
  <c r="BL137" i="80"/>
  <c r="BX37" i="80"/>
  <c r="BX137" i="80" s="1"/>
  <c r="BQ137" i="80"/>
  <c r="CC37" i="80"/>
  <c r="CC137" i="80" s="1"/>
  <c r="BM115" i="80"/>
  <c r="BY15" i="80"/>
  <c r="BY115" i="80" s="1"/>
  <c r="BL114" i="80"/>
  <c r="BX14" i="80"/>
  <c r="BX114" i="80" s="1"/>
  <c r="CG22" i="80"/>
  <c r="CG122" i="80" s="1"/>
  <c r="BU122" i="80"/>
  <c r="BS122" i="80"/>
  <c r="CE22" i="80"/>
  <c r="CE122" i="80" s="1"/>
  <c r="BM130" i="80"/>
  <c r="BY30" i="80"/>
  <c r="BY130" i="80" s="1"/>
  <c r="BN138" i="80"/>
  <c r="BZ38" i="80"/>
  <c r="BZ138" i="80" s="1"/>
  <c r="BT138" i="80"/>
  <c r="CF38" i="80"/>
  <c r="CF138" i="80" s="1"/>
  <c r="BS107" i="80"/>
  <c r="CE7" i="80"/>
  <c r="CE107" i="80" s="1"/>
  <c r="BP123" i="80"/>
  <c r="CB23" i="80"/>
  <c r="CB123" i="80" s="1"/>
  <c r="BN139" i="80"/>
  <c r="BZ39" i="80"/>
  <c r="BZ139" i="80" s="1"/>
  <c r="BT139" i="80"/>
  <c r="CF39" i="80"/>
  <c r="CF139" i="80" s="1"/>
  <c r="BS106" i="80"/>
  <c r="CE6" i="80"/>
  <c r="BS47" i="80"/>
  <c r="CE48" i="80" s="1"/>
  <c r="CE148" i="80" s="1"/>
  <c r="BR108" i="80"/>
  <c r="CD8" i="80"/>
  <c r="CD108" i="80" s="1"/>
  <c r="BS116" i="80"/>
  <c r="CE16" i="80"/>
  <c r="CE116" i="80" s="1"/>
  <c r="BO124" i="80"/>
  <c r="CA24" i="80"/>
  <c r="CA124" i="80" s="1"/>
  <c r="BU124" i="80"/>
  <c r="CG24" i="80"/>
  <c r="CG124" i="80" s="1"/>
  <c r="BN132" i="80"/>
  <c r="BZ32" i="80"/>
  <c r="BZ132" i="80" s="1"/>
  <c r="BQ140" i="80"/>
  <c r="CC40" i="80"/>
  <c r="CC140" i="80" s="1"/>
  <c r="BM109" i="80"/>
  <c r="BY9" i="80"/>
  <c r="BY109" i="80" s="1"/>
  <c r="BT117" i="80"/>
  <c r="CF17" i="80"/>
  <c r="CF117" i="80" s="1"/>
  <c r="BS125" i="80"/>
  <c r="CE25" i="80"/>
  <c r="CE125" i="80" s="1"/>
  <c r="BP125" i="80"/>
  <c r="CB25" i="80"/>
  <c r="CB125" i="80" s="1"/>
  <c r="BR133" i="80"/>
  <c r="CD33" i="80"/>
  <c r="CD133" i="80" s="1"/>
  <c r="BT141" i="80"/>
  <c r="CF41" i="80"/>
  <c r="CF141" i="80" s="1"/>
  <c r="BU110" i="80"/>
  <c r="CG10" i="80"/>
  <c r="CG110" i="80" s="1"/>
  <c r="BP110" i="80"/>
  <c r="CB10" i="80"/>
  <c r="CB110" i="80" s="1"/>
  <c r="BZ18" i="80"/>
  <c r="BZ118" i="80" s="1"/>
  <c r="BN118" i="80"/>
  <c r="BU126" i="80"/>
  <c r="CG26" i="80"/>
  <c r="CG126" i="80" s="1"/>
  <c r="BP134" i="80"/>
  <c r="CB34" i="80"/>
  <c r="CB134" i="80" s="1"/>
  <c r="BN134" i="80"/>
  <c r="BZ34" i="80"/>
  <c r="BZ134" i="80" s="1"/>
  <c r="BM111" i="80"/>
  <c r="BY11" i="80"/>
  <c r="BY111" i="80" s="1"/>
  <c r="BU119" i="80"/>
  <c r="CG19" i="80"/>
  <c r="CG119" i="80" s="1"/>
  <c r="BU127" i="80"/>
  <c r="CG27" i="80"/>
  <c r="CG127" i="80" s="1"/>
  <c r="BP135" i="80"/>
  <c r="CB35" i="80"/>
  <c r="CB135" i="80" s="1"/>
  <c r="BN135" i="80"/>
  <c r="BZ35" i="80"/>
  <c r="BZ135" i="80" s="1"/>
  <c r="BQ144" i="80"/>
  <c r="CC44" i="80"/>
  <c r="CC144" i="80" s="1"/>
  <c r="BO137" i="80"/>
  <c r="CA37" i="80"/>
  <c r="CA137" i="80" s="1"/>
  <c r="BS138" i="80"/>
  <c r="CE38" i="80"/>
  <c r="CE138" i="80" s="1"/>
  <c r="CB6" i="80"/>
  <c r="BP106" i="80"/>
  <c r="BP47" i="80"/>
  <c r="CB48" i="80" s="1"/>
  <c r="CB148" i="80" s="1"/>
  <c r="BS109" i="80"/>
  <c r="CE9" i="80"/>
  <c r="CE109" i="80" s="1"/>
  <c r="BM118" i="80"/>
  <c r="BY18" i="80"/>
  <c r="BY118" i="80" s="1"/>
  <c r="BM135" i="80"/>
  <c r="BY35" i="80"/>
  <c r="BY135" i="80" s="1"/>
  <c r="BM112" i="80"/>
  <c r="BY12" i="80"/>
  <c r="BY112" i="80" s="1"/>
  <c r="CD20" i="80"/>
  <c r="CD120" i="80" s="1"/>
  <c r="BR120" i="80"/>
  <c r="CC20" i="80"/>
  <c r="CC120" i="80" s="1"/>
  <c r="BQ120" i="80"/>
  <c r="BR128" i="80"/>
  <c r="CD28" i="80"/>
  <c r="CD128" i="80" s="1"/>
  <c r="BT136" i="80"/>
  <c r="CF36" i="80"/>
  <c r="CF136" i="80" s="1"/>
  <c r="BU144" i="80"/>
  <c r="CG44" i="80"/>
  <c r="CG144" i="80" s="1"/>
  <c r="BL144" i="80"/>
  <c r="BX44" i="80"/>
  <c r="BX144" i="80" s="1"/>
  <c r="BU131" i="80"/>
  <c r="CG31" i="80"/>
  <c r="CG131" i="80" s="1"/>
  <c r="BS113" i="80"/>
  <c r="CE13" i="80"/>
  <c r="CE113" i="80" s="1"/>
  <c r="BL121" i="80"/>
  <c r="BX21" i="80"/>
  <c r="BX121" i="80" s="1"/>
  <c r="BQ121" i="80"/>
  <c r="CC21" i="80"/>
  <c r="CC121" i="80" s="1"/>
  <c r="BL129" i="80"/>
  <c r="BX29" i="80"/>
  <c r="BX129" i="80" s="1"/>
  <c r="BT137" i="80"/>
  <c r="CF37" i="80"/>
  <c r="CF137" i="80" s="1"/>
  <c r="BR137" i="80"/>
  <c r="CD37" i="80"/>
  <c r="CD137" i="80" s="1"/>
  <c r="BU115" i="80"/>
  <c r="CG15" i="80"/>
  <c r="CG115" i="80" s="1"/>
  <c r="BT114" i="80"/>
  <c r="CF14" i="80"/>
  <c r="CF114" i="80" s="1"/>
  <c r="BO122" i="80"/>
  <c r="CA22" i="80"/>
  <c r="CA122" i="80" s="1"/>
  <c r="BX22" i="80"/>
  <c r="BX122" i="80" s="1"/>
  <c r="BL122" i="80"/>
  <c r="BU130" i="80"/>
  <c r="CG30" i="80"/>
  <c r="CG130" i="80" s="1"/>
  <c r="BY7" i="80"/>
  <c r="BY107" i="80" s="1"/>
  <c r="BM107" i="80"/>
  <c r="BQ123" i="80"/>
  <c r="CC23" i="80"/>
  <c r="CC123" i="80" s="1"/>
  <c r="CA6" i="80"/>
  <c r="BO106" i="80"/>
  <c r="BO47" i="80"/>
  <c r="CA48" i="80" s="1"/>
  <c r="CA148" i="80" s="1"/>
  <c r="BY6" i="80"/>
  <c r="BM106" i="80"/>
  <c r="BM47" i="80"/>
  <c r="BY48" i="80" s="1"/>
  <c r="BY148" i="80" s="1"/>
  <c r="BT108" i="80"/>
  <c r="CF8" i="80"/>
  <c r="CF108" i="80" s="1"/>
  <c r="BL116" i="80"/>
  <c r="BX16" i="80"/>
  <c r="BX116" i="80" s="1"/>
  <c r="BP124" i="80"/>
  <c r="CB24" i="80"/>
  <c r="CB124" i="80" s="1"/>
  <c r="BN124" i="80"/>
  <c r="BZ24" i="80"/>
  <c r="BZ124" i="80" s="1"/>
  <c r="BR140" i="80"/>
  <c r="CD40" i="80"/>
  <c r="CD140" i="80" s="1"/>
  <c r="BO109" i="80"/>
  <c r="CA9" i="80"/>
  <c r="CA109" i="80" s="1"/>
  <c r="BU109" i="80"/>
  <c r="CG9" i="80"/>
  <c r="CG109" i="80" s="1"/>
  <c r="BY17" i="80"/>
  <c r="BY117" i="80" s="1"/>
  <c r="BM117" i="80"/>
  <c r="BL125" i="80"/>
  <c r="BX25" i="80"/>
  <c r="BX125" i="80" s="1"/>
  <c r="BM133" i="80"/>
  <c r="BY33" i="80"/>
  <c r="BY133" i="80" s="1"/>
  <c r="BS133" i="80"/>
  <c r="CE33" i="80"/>
  <c r="CE133" i="80" s="1"/>
  <c r="BY41" i="80"/>
  <c r="BY141" i="80" s="1"/>
  <c r="BM141" i="80"/>
  <c r="BQ118" i="80"/>
  <c r="CC18" i="80"/>
  <c r="CC118" i="80" s="1"/>
  <c r="BN126" i="80"/>
  <c r="BZ26" i="80"/>
  <c r="BZ126" i="80" s="1"/>
  <c r="BQ134" i="80"/>
  <c r="CC34" i="80"/>
  <c r="CC134" i="80" s="1"/>
  <c r="BO142" i="80"/>
  <c r="CA42" i="80"/>
  <c r="CA142" i="80" s="1"/>
  <c r="BL111" i="80"/>
  <c r="BL47" i="80"/>
  <c r="BP119" i="80"/>
  <c r="CB19" i="80"/>
  <c r="CB119" i="80" s="1"/>
  <c r="BZ19" i="80"/>
  <c r="BZ119" i="80" s="1"/>
  <c r="BN119" i="80"/>
  <c r="BN127" i="80"/>
  <c r="BZ27" i="80"/>
  <c r="BZ127" i="80" s="1"/>
  <c r="BQ135" i="80"/>
  <c r="CC35" i="80"/>
  <c r="CC135" i="80" s="1"/>
  <c r="BO143" i="80"/>
  <c r="CA43" i="80"/>
  <c r="CA143" i="80" s="1"/>
  <c r="BQ122" i="80"/>
  <c r="CC22" i="80"/>
  <c r="CC122" i="80" s="1"/>
  <c r="BM139" i="80"/>
  <c r="BY39" i="80"/>
  <c r="BY139" i="80" s="1"/>
  <c r="BT124" i="80"/>
  <c r="CF24" i="80"/>
  <c r="CF124" i="80" s="1"/>
  <c r="BQ125" i="80"/>
  <c r="CC25" i="80"/>
  <c r="CC125" i="80" s="1"/>
  <c r="BM134" i="80"/>
  <c r="BY34" i="80"/>
  <c r="BY134" i="80" s="1"/>
  <c r="BT127" i="80"/>
  <c r="CF27" i="80"/>
  <c r="CF127" i="80" s="1"/>
  <c r="CG12" i="80"/>
  <c r="CG112" i="80" s="1"/>
  <c r="BU112" i="80"/>
  <c r="BS120" i="80"/>
  <c r="CE20" i="80"/>
  <c r="CE120" i="80" s="1"/>
  <c r="BM128" i="80"/>
  <c r="BY28" i="80"/>
  <c r="BY128" i="80" s="1"/>
  <c r="BS128" i="80"/>
  <c r="CE28" i="80"/>
  <c r="CE128" i="80" s="1"/>
  <c r="BM136" i="80"/>
  <c r="BY36" i="80"/>
  <c r="BY136" i="80" s="1"/>
  <c r="BN144" i="80"/>
  <c r="BZ44" i="80"/>
  <c r="BZ144" i="80" s="1"/>
  <c r="BT144" i="80"/>
  <c r="CF44" i="80"/>
  <c r="CF144" i="80" s="1"/>
  <c r="BN131" i="80"/>
  <c r="BZ31" i="80"/>
  <c r="BZ131" i="80" s="1"/>
  <c r="BM113" i="80"/>
  <c r="BY13" i="80"/>
  <c r="BY113" i="80" s="1"/>
  <c r="BN121" i="80"/>
  <c r="BZ21" i="80"/>
  <c r="BZ121" i="80" s="1"/>
  <c r="BR121" i="80"/>
  <c r="CD21" i="80"/>
  <c r="CD121" i="80" s="1"/>
  <c r="BT129" i="80"/>
  <c r="CF29" i="80"/>
  <c r="CF129" i="80" s="1"/>
  <c r="BM137" i="80"/>
  <c r="BY37" i="80"/>
  <c r="BY137" i="80" s="1"/>
  <c r="BR115" i="80"/>
  <c r="CD15" i="80"/>
  <c r="CD115" i="80" s="1"/>
  <c r="BZ15" i="80"/>
  <c r="BZ115" i="80" s="1"/>
  <c r="BN115" i="80"/>
  <c r="BY14" i="80"/>
  <c r="BY114" i="80" s="1"/>
  <c r="BM114" i="80"/>
  <c r="BY22" i="80"/>
  <c r="BY122" i="80" s="1"/>
  <c r="BM122" i="80"/>
  <c r="CF22" i="80"/>
  <c r="CF122" i="80" s="1"/>
  <c r="BT122" i="80"/>
  <c r="BN130" i="80"/>
  <c r="BZ30" i="80"/>
  <c r="BZ130" i="80" s="1"/>
  <c r="CA38" i="80"/>
  <c r="CA138" i="80" s="1"/>
  <c r="BO138" i="80"/>
  <c r="BO107" i="80"/>
  <c r="CA7" i="80"/>
  <c r="CA107" i="80" s="1"/>
  <c r="CG7" i="80"/>
  <c r="CG107" i="80" s="1"/>
  <c r="BU107" i="80"/>
  <c r="BR123" i="80"/>
  <c r="CD23" i="80"/>
  <c r="CD123" i="80" s="1"/>
  <c r="BO139" i="80"/>
  <c r="CA39" i="80"/>
  <c r="CA139" i="80" s="1"/>
  <c r="CC6" i="80"/>
  <c r="BQ106" i="80"/>
  <c r="BQ47" i="80"/>
  <c r="CC48" i="80" s="1"/>
  <c r="CC148" i="80" s="1"/>
  <c r="CG6" i="80"/>
  <c r="BU106" i="80"/>
  <c r="BU47" i="80"/>
  <c r="CG48" i="80" s="1"/>
  <c r="CG148" i="80" s="1"/>
  <c r="BS108" i="80"/>
  <c r="CE8" i="80"/>
  <c r="CE108" i="80" s="1"/>
  <c r="BT116" i="80"/>
  <c r="CF16" i="80"/>
  <c r="CF116" i="80" s="1"/>
  <c r="BQ124" i="80"/>
  <c r="CC24" i="80"/>
  <c r="CC124" i="80" s="1"/>
  <c r="BO132" i="80"/>
  <c r="CA32" i="80"/>
  <c r="CA132" i="80" s="1"/>
  <c r="BS140" i="80"/>
  <c r="CE40" i="80"/>
  <c r="CE140" i="80" s="1"/>
  <c r="BN109" i="80"/>
  <c r="BZ9" i="80"/>
  <c r="BZ109" i="80" s="1"/>
  <c r="CG17" i="80"/>
  <c r="CG117" i="80" s="1"/>
  <c r="BU117" i="80"/>
  <c r="BT125" i="80"/>
  <c r="CF25" i="80"/>
  <c r="CF125" i="80" s="1"/>
  <c r="BU133" i="80"/>
  <c r="CG33" i="80"/>
  <c r="CG133" i="80" s="1"/>
  <c r="BL133" i="80"/>
  <c r="BX33" i="80"/>
  <c r="BX133" i="80" s="1"/>
  <c r="BU141" i="80"/>
  <c r="CG41" i="80"/>
  <c r="CG141" i="80" s="1"/>
  <c r="BM110" i="80"/>
  <c r="BY10" i="80"/>
  <c r="BY110" i="80" s="1"/>
  <c r="BS118" i="80"/>
  <c r="CE18" i="80"/>
  <c r="CE118" i="80" s="1"/>
  <c r="BO118" i="80"/>
  <c r="CA18" i="80"/>
  <c r="CA118" i="80" s="1"/>
  <c r="BR134" i="80"/>
  <c r="CD34" i="80"/>
  <c r="CD134" i="80" s="1"/>
  <c r="BS142" i="80"/>
  <c r="CE42" i="80"/>
  <c r="CE142" i="80" s="1"/>
  <c r="BP142" i="80"/>
  <c r="CB42" i="80"/>
  <c r="CB142" i="80" s="1"/>
  <c r="BT111" i="80"/>
  <c r="CF11" i="80"/>
  <c r="CF111" i="80" s="1"/>
  <c r="BR119" i="80"/>
  <c r="CD19" i="80"/>
  <c r="CD119" i="80" s="1"/>
  <c r="CD35" i="80"/>
  <c r="CD135" i="80" s="1"/>
  <c r="BR135" i="80"/>
  <c r="BS143" i="80"/>
  <c r="CE43" i="80"/>
  <c r="CE143" i="80" s="1"/>
  <c r="BP143" i="80"/>
  <c r="CB43" i="80"/>
  <c r="CB143" i="80" s="1"/>
  <c r="BO128" i="80"/>
  <c r="CA28" i="80"/>
  <c r="CA128" i="80" s="1"/>
  <c r="BS111" i="80"/>
  <c r="CE11" i="80"/>
  <c r="CE111" i="80" s="1"/>
  <c r="BU128" i="80"/>
  <c r="CG28" i="80"/>
  <c r="CG128" i="80" s="1"/>
  <c r="BU136" i="80"/>
  <c r="CG36" i="80"/>
  <c r="CG136" i="80" s="1"/>
  <c r="CC31" i="80"/>
  <c r="CC131" i="80" s="1"/>
  <c r="BQ131" i="80"/>
  <c r="BU113" i="80"/>
  <c r="CG13" i="80"/>
  <c r="CG113" i="80" s="1"/>
  <c r="BS121" i="80"/>
  <c r="CE21" i="80"/>
  <c r="CE121" i="80" s="1"/>
  <c r="BY29" i="80"/>
  <c r="BY129" i="80" s="1"/>
  <c r="BM129" i="80"/>
  <c r="CG37" i="80"/>
  <c r="CG137" i="80" s="1"/>
  <c r="BU137" i="80"/>
  <c r="BP115" i="80"/>
  <c r="CB15" i="80"/>
  <c r="CB115" i="80" s="1"/>
  <c r="BU114" i="80"/>
  <c r="CG14" i="80"/>
  <c r="CG114" i="80" s="1"/>
  <c r="BN122" i="80"/>
  <c r="BZ22" i="80"/>
  <c r="BZ122" i="80" s="1"/>
  <c r="BQ130" i="80"/>
  <c r="CC30" i="80"/>
  <c r="CC130" i="80" s="1"/>
  <c r="CB38" i="80"/>
  <c r="CB138" i="80" s="1"/>
  <c r="BP138" i="80"/>
  <c r="BQ107" i="80"/>
  <c r="CC7" i="80"/>
  <c r="CC107" i="80" s="1"/>
  <c r="BM123" i="80"/>
  <c r="BY23" i="80"/>
  <c r="BY123" i="80" s="1"/>
  <c r="BS123" i="80"/>
  <c r="CE23" i="80"/>
  <c r="CE123" i="80" s="1"/>
  <c r="BP139" i="80"/>
  <c r="CB39" i="80"/>
  <c r="CB139" i="80" s="1"/>
  <c r="BR106" i="80"/>
  <c r="BR47" i="80"/>
  <c r="CD48" i="80" s="1"/>
  <c r="CD148" i="80" s="1"/>
  <c r="CD6" i="80"/>
  <c r="BO108" i="80"/>
  <c r="CA8" i="80"/>
  <c r="CA108" i="80" s="1"/>
  <c r="BM108" i="80"/>
  <c r="BY8" i="80"/>
  <c r="BY108" i="80" s="1"/>
  <c r="BM116" i="80"/>
  <c r="BY16" i="80"/>
  <c r="BY116" i="80" s="1"/>
  <c r="BR124" i="80"/>
  <c r="CD24" i="80"/>
  <c r="CD124" i="80" s="1"/>
  <c r="BS132" i="80"/>
  <c r="CE32" i="80"/>
  <c r="CE132" i="80" s="1"/>
  <c r="BP132" i="80"/>
  <c r="CB32" i="80"/>
  <c r="CB132" i="80" s="1"/>
  <c r="BX40" i="80"/>
  <c r="BX140" i="80" s="1"/>
  <c r="BL140" i="80"/>
  <c r="BQ109" i="80"/>
  <c r="CC9" i="80"/>
  <c r="CC109" i="80" s="1"/>
  <c r="BP117" i="80"/>
  <c r="CB17" i="80"/>
  <c r="CB117" i="80" s="1"/>
  <c r="BZ17" i="80"/>
  <c r="BZ117" i="80" s="1"/>
  <c r="BN117" i="80"/>
  <c r="BM125" i="80"/>
  <c r="BY25" i="80"/>
  <c r="BY125" i="80" s="1"/>
  <c r="BZ33" i="80"/>
  <c r="BZ133" i="80" s="1"/>
  <c r="BN133" i="80"/>
  <c r="BT133" i="80"/>
  <c r="CF33" i="80"/>
  <c r="CF133" i="80" s="1"/>
  <c r="BN141" i="80"/>
  <c r="BZ41" i="80"/>
  <c r="BZ141" i="80" s="1"/>
  <c r="BS110" i="80"/>
  <c r="CE10" i="80"/>
  <c r="CE110" i="80" s="1"/>
  <c r="BR118" i="80"/>
  <c r="CD18" i="80"/>
  <c r="CD118" i="80" s="1"/>
  <c r="BP118" i="80"/>
  <c r="CB18" i="80"/>
  <c r="CB118" i="80" s="1"/>
  <c r="BO126" i="80"/>
  <c r="CA26" i="80"/>
  <c r="CA126" i="80" s="1"/>
  <c r="BS134" i="80"/>
  <c r="CE34" i="80"/>
  <c r="CE134" i="80" s="1"/>
  <c r="BL142" i="80"/>
  <c r="BX42" i="80"/>
  <c r="BX142" i="80" s="1"/>
  <c r="BQ142" i="80"/>
  <c r="CC42" i="80"/>
  <c r="CC142" i="80" s="1"/>
  <c r="BN111" i="80"/>
  <c r="BZ11" i="80"/>
  <c r="BZ111" i="80" s="1"/>
  <c r="BQ119" i="80"/>
  <c r="CC19" i="80"/>
  <c r="CC119" i="80" s="1"/>
  <c r="BO119" i="80"/>
  <c r="CA19" i="80"/>
  <c r="CA119" i="80" s="1"/>
  <c r="BO127" i="80"/>
  <c r="CA27" i="80"/>
  <c r="CA127" i="80" s="1"/>
  <c r="BS135" i="80"/>
  <c r="CE35" i="80"/>
  <c r="CE135" i="80" s="1"/>
  <c r="BL143" i="80"/>
  <c r="BX43" i="80"/>
  <c r="BX143" i="80" s="1"/>
  <c r="CC43" i="80"/>
  <c r="CC143" i="80" s="1"/>
  <c r="BQ143" i="80"/>
  <c r="BO136" i="80"/>
  <c r="CA36" i="80"/>
  <c r="CA136" i="80" s="1"/>
  <c r="BU121" i="80"/>
  <c r="CG21" i="80"/>
  <c r="CG121" i="80" s="1"/>
  <c r="BL115" i="80"/>
  <c r="BX15" i="80"/>
  <c r="BX115" i="80" s="1"/>
  <c r="BM138" i="80"/>
  <c r="BY38" i="80"/>
  <c r="BY138" i="80" s="1"/>
  <c r="BN123" i="80"/>
  <c r="BZ23" i="80"/>
  <c r="BZ123" i="80" s="1"/>
  <c r="CD16" i="80"/>
  <c r="CD116" i="80" s="1"/>
  <c r="BR116" i="80"/>
  <c r="BM132" i="80"/>
  <c r="BY32" i="80"/>
  <c r="BY132" i="80" s="1"/>
  <c r="BS117" i="80"/>
  <c r="CE17" i="80"/>
  <c r="CE117" i="80" s="1"/>
  <c r="BS141" i="80"/>
  <c r="CE41" i="80"/>
  <c r="CE141" i="80" s="1"/>
  <c r="BR126" i="80"/>
  <c r="CD26" i="80"/>
  <c r="CD126" i="80" s="1"/>
  <c r="BT119" i="80"/>
  <c r="CF19" i="80"/>
  <c r="CF119" i="80" s="1"/>
  <c r="BN112" i="80"/>
  <c r="BZ12" i="80"/>
  <c r="BZ112" i="80" s="1"/>
  <c r="BX28" i="80"/>
  <c r="BX128" i="80" s="1"/>
  <c r="BL128" i="80"/>
  <c r="BT121" i="80"/>
  <c r="CF21" i="80"/>
  <c r="CF121" i="80" s="1"/>
  <c r="BQ112" i="80"/>
  <c r="CC12" i="80"/>
  <c r="CC112" i="80" s="1"/>
  <c r="BU120" i="80"/>
  <c r="CG20" i="80"/>
  <c r="CG120" i="80" s="1"/>
  <c r="BN128" i="80"/>
  <c r="BZ28" i="80"/>
  <c r="BZ128" i="80" s="1"/>
  <c r="BT128" i="80"/>
  <c r="CF28" i="80"/>
  <c r="CF128" i="80" s="1"/>
  <c r="BN136" i="80"/>
  <c r="BZ36" i="80"/>
  <c r="BZ136" i="80" s="1"/>
  <c r="BO144" i="80"/>
  <c r="CA44" i="80"/>
  <c r="CA144" i="80" s="1"/>
  <c r="BR131" i="80"/>
  <c r="CD31" i="80"/>
  <c r="CD131" i="80" s="1"/>
  <c r="CA31" i="80"/>
  <c r="CA131" i="80" s="1"/>
  <c r="BO131" i="80"/>
  <c r="BN113" i="80"/>
  <c r="BZ13" i="80"/>
  <c r="BZ113" i="80" s="1"/>
  <c r="BO129" i="80"/>
  <c r="CA29" i="80"/>
  <c r="CA129" i="80" s="1"/>
  <c r="BU129" i="80"/>
  <c r="CG29" i="80"/>
  <c r="CG129" i="80" s="1"/>
  <c r="BN137" i="80"/>
  <c r="BZ37" i="80"/>
  <c r="BZ137" i="80" s="1"/>
  <c r="BQ115" i="80"/>
  <c r="CC15" i="80"/>
  <c r="CC115" i="80" s="1"/>
  <c r="BO115" i="80"/>
  <c r="CA15" i="80"/>
  <c r="CA115" i="80" s="1"/>
  <c r="BN114" i="80"/>
  <c r="BZ14" i="80"/>
  <c r="BZ114" i="80" s="1"/>
  <c r="BR130" i="80"/>
  <c r="CD30" i="80"/>
  <c r="CD130" i="80" s="1"/>
  <c r="BO130" i="80"/>
  <c r="CA30" i="80"/>
  <c r="CA130" i="80" s="1"/>
  <c r="BQ138" i="80"/>
  <c r="CC38" i="80"/>
  <c r="CC138" i="80" s="1"/>
  <c r="BR107" i="80"/>
  <c r="CD7" i="80"/>
  <c r="CD107" i="80" s="1"/>
  <c r="BO123" i="80"/>
  <c r="CA23" i="80"/>
  <c r="CA123" i="80" s="1"/>
  <c r="BX23" i="80"/>
  <c r="BX123" i="80" s="1"/>
  <c r="BL123" i="80"/>
  <c r="BQ139" i="80"/>
  <c r="CC39" i="80"/>
  <c r="CC139" i="80" s="1"/>
  <c r="BN106" i="80"/>
  <c r="BN47" i="80"/>
  <c r="BZ48" i="80" s="1"/>
  <c r="BZ148" i="80" s="1"/>
  <c r="BZ6" i="80"/>
  <c r="BU108" i="80"/>
  <c r="CG8" i="80"/>
  <c r="CG108" i="80" s="1"/>
  <c r="BU116" i="80"/>
  <c r="CG16" i="80"/>
  <c r="CG116" i="80" s="1"/>
  <c r="BS124" i="80"/>
  <c r="CE24" i="80"/>
  <c r="CE124" i="80" s="1"/>
  <c r="BL132" i="80"/>
  <c r="BX32" i="80"/>
  <c r="BX132" i="80" s="1"/>
  <c r="BQ132" i="80"/>
  <c r="CC32" i="80"/>
  <c r="CC132" i="80" s="1"/>
  <c r="BT140" i="80"/>
  <c r="CF40" i="80"/>
  <c r="CF140" i="80" s="1"/>
  <c r="BP109" i="80"/>
  <c r="CB9" i="80"/>
  <c r="CB109" i="80" s="1"/>
  <c r="BR117" i="80"/>
  <c r="CD17" i="80"/>
  <c r="CD117" i="80" s="1"/>
  <c r="BU125" i="80"/>
  <c r="CG25" i="80"/>
  <c r="CG125" i="80" s="1"/>
  <c r="BQ141" i="80"/>
  <c r="CC41" i="80"/>
  <c r="CC141" i="80" s="1"/>
  <c r="BN110" i="80"/>
  <c r="BZ10" i="80"/>
  <c r="BZ110" i="80" s="1"/>
  <c r="BL118" i="80"/>
  <c r="BX18" i="80"/>
  <c r="BX118" i="80" s="1"/>
  <c r="BS126" i="80"/>
  <c r="CE26" i="80"/>
  <c r="CE126" i="80" s="1"/>
  <c r="BP126" i="80"/>
  <c r="CB26" i="80"/>
  <c r="CB126" i="80" s="1"/>
  <c r="BL134" i="80"/>
  <c r="BX34" i="80"/>
  <c r="BX134" i="80" s="1"/>
  <c r="BT142" i="80"/>
  <c r="CF42" i="80"/>
  <c r="CF142" i="80" s="1"/>
  <c r="BR142" i="80"/>
  <c r="CD42" i="80"/>
  <c r="CD142" i="80" s="1"/>
  <c r="BS119" i="80"/>
  <c r="CE19" i="80"/>
  <c r="CE119" i="80" s="1"/>
  <c r="BS127" i="80"/>
  <c r="CE27" i="80"/>
  <c r="CE127" i="80" s="1"/>
  <c r="BP127" i="80"/>
  <c r="CB27" i="80"/>
  <c r="CB127" i="80" s="1"/>
  <c r="BL135" i="80"/>
  <c r="BX35" i="80"/>
  <c r="BX135" i="80" s="1"/>
  <c r="BT143" i="80"/>
  <c r="CF43" i="80"/>
  <c r="CF143" i="80" s="1"/>
  <c r="BR143" i="80"/>
  <c r="CD43" i="80"/>
  <c r="CD143" i="80" s="1"/>
  <c r="BH60" i="54"/>
  <c r="BI19" i="54" s="1"/>
  <c r="BH57" i="54"/>
  <c r="BF60" i="54"/>
  <c r="BG16" i="54" s="1"/>
  <c r="BF57" i="54"/>
  <c r="BF70" i="54"/>
  <c r="BI42" i="54" l="1"/>
  <c r="BG27" i="54"/>
  <c r="BI26" i="54"/>
  <c r="BG43" i="54"/>
  <c r="BG23" i="54"/>
  <c r="BG39" i="54"/>
  <c r="BG19" i="54"/>
  <c r="BG35" i="54"/>
  <c r="BI15" i="54"/>
  <c r="BI46" i="54"/>
  <c r="BI18" i="54"/>
  <c r="BI30" i="54"/>
  <c r="BG31" i="54"/>
  <c r="BG15" i="54"/>
  <c r="BI34" i="54"/>
  <c r="BG42" i="54"/>
  <c r="BG38" i="54"/>
  <c r="BG34" i="54"/>
  <c r="BG30" i="54"/>
  <c r="BG26" i="54"/>
  <c r="BG22" i="54"/>
  <c r="BG18" i="54"/>
  <c r="BG13" i="54"/>
  <c r="BX112" i="80"/>
  <c r="BX47" i="80"/>
  <c r="BG45" i="54"/>
  <c r="BG41" i="54"/>
  <c r="BG37" i="54"/>
  <c r="BG33" i="54"/>
  <c r="BG29" i="54"/>
  <c r="BG25" i="54"/>
  <c r="BG21" i="54"/>
  <c r="BG17" i="54"/>
  <c r="BG14" i="54"/>
  <c r="BI38" i="54"/>
  <c r="BI22" i="54"/>
  <c r="BG44" i="54"/>
  <c r="BG40" i="54"/>
  <c r="BG36" i="54"/>
  <c r="BG32" i="54"/>
  <c r="BG28" i="54"/>
  <c r="BG24" i="54"/>
  <c r="BG20" i="54"/>
  <c r="BX48" i="80"/>
  <c r="BX148" i="80" s="1"/>
  <c r="BS147" i="80"/>
  <c r="BS150" i="80" s="1"/>
  <c r="BZ47" i="80"/>
  <c r="BZ106" i="80"/>
  <c r="CG106" i="80"/>
  <c r="CG47" i="80"/>
  <c r="BO147" i="80"/>
  <c r="BO150" i="80" s="1"/>
  <c r="BN147" i="80"/>
  <c r="BN150" i="80" s="1"/>
  <c r="BQ147" i="80"/>
  <c r="BQ150" i="80" s="1"/>
  <c r="CA106" i="80"/>
  <c r="CA47" i="80"/>
  <c r="CD47" i="80"/>
  <c r="CD106" i="80"/>
  <c r="CC47" i="80"/>
  <c r="CC106" i="80"/>
  <c r="BX111" i="80"/>
  <c r="CE106" i="80"/>
  <c r="CE47" i="80"/>
  <c r="BL147" i="80"/>
  <c r="BP147" i="80"/>
  <c r="BP150" i="80" s="1"/>
  <c r="CF106" i="80"/>
  <c r="CF47" i="80"/>
  <c r="CF50" i="80" s="1"/>
  <c r="CF49" i="80" s="1"/>
  <c r="BR147" i="80"/>
  <c r="BR150" i="80" s="1"/>
  <c r="CB106" i="80"/>
  <c r="CB47" i="80"/>
  <c r="BM147" i="80"/>
  <c r="BM150" i="80" s="1"/>
  <c r="BU147" i="80"/>
  <c r="BU150" i="80" s="1"/>
  <c r="BT147" i="80"/>
  <c r="BT150" i="80" s="1"/>
  <c r="BY47" i="80"/>
  <c r="BY106" i="80"/>
  <c r="BI45" i="54"/>
  <c r="BI37" i="54"/>
  <c r="BI29" i="54"/>
  <c r="BI21" i="54"/>
  <c r="BI49" i="54"/>
  <c r="BI41" i="54"/>
  <c r="BI33" i="54"/>
  <c r="BI25" i="54"/>
  <c r="BI17" i="54"/>
  <c r="BI48" i="54"/>
  <c r="BI44" i="54"/>
  <c r="BI40" i="54"/>
  <c r="BI36" i="54"/>
  <c r="BI32" i="54"/>
  <c r="BI28" i="54"/>
  <c r="BI24" i="54"/>
  <c r="BI20" i="54"/>
  <c r="BI16" i="54"/>
  <c r="BI47" i="54"/>
  <c r="BI43" i="54"/>
  <c r="BI39" i="54"/>
  <c r="BI35" i="54"/>
  <c r="BI31" i="54"/>
  <c r="BI27" i="54"/>
  <c r="BI23" i="54"/>
  <c r="BX50" i="80" l="1"/>
  <c r="BX49" i="80" s="1"/>
  <c r="BG57" i="54"/>
  <c r="BJ42" i="54" s="1"/>
  <c r="CB50" i="80"/>
  <c r="CB49" i="80" s="1"/>
  <c r="CB147" i="80"/>
  <c r="BY147" i="80"/>
  <c r="BY149" i="80" s="1"/>
  <c r="BY150" i="80" s="1"/>
  <c r="BY151" i="80" s="1"/>
  <c r="BY50" i="80"/>
  <c r="BY49" i="80" s="1"/>
  <c r="CC147" i="80"/>
  <c r="CC50" i="80"/>
  <c r="CC49" i="80" s="1"/>
  <c r="CG147" i="80"/>
  <c r="CG149" i="80" s="1"/>
  <c r="CG150" i="80" s="1"/>
  <c r="CG151" i="80" s="1"/>
  <c r="BX147" i="80"/>
  <c r="CF147" i="80"/>
  <c r="CF149" i="80" s="1"/>
  <c r="CF150" i="80" s="1"/>
  <c r="CF151" i="80" s="1"/>
  <c r="CD147" i="80"/>
  <c r="CD149" i="80" s="1"/>
  <c r="CD150" i="80" s="1"/>
  <c r="CD151" i="80" s="1"/>
  <c r="CD50" i="80"/>
  <c r="CD49" i="80" s="1"/>
  <c r="CE147" i="80"/>
  <c r="CE149" i="80" s="1"/>
  <c r="CE150" i="80" s="1"/>
  <c r="CE151" i="80" s="1"/>
  <c r="CE50" i="80"/>
  <c r="CE49" i="80" s="1"/>
  <c r="CA50" i="80"/>
  <c r="CA49" i="80" s="1"/>
  <c r="CA147" i="80"/>
  <c r="BZ147" i="80"/>
  <c r="BZ50" i="80"/>
  <c r="BZ49" i="80" s="1"/>
  <c r="BI57" i="54"/>
  <c r="BK36" i="54" s="1"/>
  <c r="BJ22" i="54" l="1"/>
  <c r="BJ49" i="54"/>
  <c r="BJ39" i="54"/>
  <c r="BJ29" i="54"/>
  <c r="BJ31" i="54"/>
  <c r="BJ36" i="54"/>
  <c r="BJ48" i="54"/>
  <c r="BJ15" i="54"/>
  <c r="BJ13" i="54"/>
  <c r="BJ33" i="54"/>
  <c r="BJ47" i="54"/>
  <c r="BJ24" i="54"/>
  <c r="BJ21" i="54"/>
  <c r="BJ25" i="54"/>
  <c r="BJ19" i="54"/>
  <c r="BJ27" i="54"/>
  <c r="BJ46" i="54"/>
  <c r="BJ30" i="54"/>
  <c r="BJ37" i="54"/>
  <c r="BJ45" i="54"/>
  <c r="BJ35" i="54"/>
  <c r="BJ41" i="54"/>
  <c r="BJ32" i="54"/>
  <c r="BJ38" i="54"/>
  <c r="BJ34" i="54"/>
  <c r="BJ43" i="54"/>
  <c r="BJ23" i="54"/>
  <c r="BJ17" i="54"/>
  <c r="BJ16" i="54"/>
  <c r="BJ14" i="54"/>
  <c r="BJ20" i="54"/>
  <c r="BJ28" i="54"/>
  <c r="BK21" i="54"/>
  <c r="BK16" i="54"/>
  <c r="BJ26" i="54"/>
  <c r="BJ44" i="54"/>
  <c r="BJ40" i="54"/>
  <c r="BK33" i="54"/>
  <c r="BJ18" i="54"/>
  <c r="BK44" i="54"/>
  <c r="BK49" i="54"/>
  <c r="BK35" i="54"/>
  <c r="BK47" i="54"/>
  <c r="BK40" i="54"/>
  <c r="BK29" i="54"/>
  <c r="BK43" i="54"/>
  <c r="CC149" i="80"/>
  <c r="CC150" i="80" s="1"/>
  <c r="CC151" i="80" s="1"/>
  <c r="BZ149" i="80"/>
  <c r="BZ150" i="80" s="1"/>
  <c r="BZ151" i="80" s="1"/>
  <c r="CA149" i="80"/>
  <c r="CA150" i="80" s="1"/>
  <c r="CA151" i="80" s="1"/>
  <c r="CB149" i="80"/>
  <c r="CB150" i="80" s="1"/>
  <c r="CB151" i="80" s="1"/>
  <c r="BK50" i="54"/>
  <c r="BK54" i="54"/>
  <c r="BK19" i="54"/>
  <c r="BK51" i="54"/>
  <c r="BK53" i="54"/>
  <c r="BK55" i="54"/>
  <c r="BK15" i="54"/>
  <c r="BK52" i="54"/>
  <c r="BK56" i="54"/>
  <c r="BK30" i="54"/>
  <c r="BK18" i="54"/>
  <c r="BK42" i="54"/>
  <c r="BK34" i="54"/>
  <c r="BK22" i="54"/>
  <c r="BK26" i="54"/>
  <c r="BK38" i="54"/>
  <c r="BK46" i="54"/>
  <c r="BK28" i="54"/>
  <c r="BK48" i="54"/>
  <c r="BK17" i="54"/>
  <c r="BK27" i="54"/>
  <c r="BK37" i="54"/>
  <c r="BK20" i="54"/>
  <c r="BK41" i="54"/>
  <c r="BK39" i="54"/>
  <c r="BK25" i="54"/>
  <c r="BK31" i="54"/>
  <c r="BK45" i="54"/>
  <c r="BK24" i="54"/>
  <c r="BK32" i="54"/>
  <c r="BK23" i="54"/>
  <c r="AN105" i="79"/>
  <c r="BJ57" i="54" l="1"/>
  <c r="BK57" i="54"/>
  <c r="AM70" i="79"/>
  <c r="AM69" i="79"/>
  <c r="AM68" i="79"/>
  <c r="AM67" i="79"/>
  <c r="AM62" i="79"/>
  <c r="AM61" i="79"/>
  <c r="AM60" i="79"/>
  <c r="AM59" i="79"/>
  <c r="AM50" i="79"/>
  <c r="AM49" i="79"/>
  <c r="AM48" i="79"/>
  <c r="AM47" i="79"/>
  <c r="AM41" i="79"/>
  <c r="AM40" i="79"/>
  <c r="AM39" i="79"/>
  <c r="AM38" i="79"/>
  <c r="AN48" i="79" l="1"/>
  <c r="AM100" i="79"/>
  <c r="AM99" i="79"/>
  <c r="AN99" i="79" s="1"/>
  <c r="AM94" i="79"/>
  <c r="AM93" i="79"/>
  <c r="AN93" i="79" s="1"/>
  <c r="AL88" i="79"/>
  <c r="AK88" i="79"/>
  <c r="AJ88" i="79"/>
  <c r="AI88" i="79"/>
  <c r="AM87" i="79"/>
  <c r="AN87" i="79" s="1"/>
  <c r="AL82" i="79"/>
  <c r="AK82" i="79"/>
  <c r="AJ82" i="79"/>
  <c r="AI82" i="79"/>
  <c r="AM81" i="79"/>
  <c r="AN81" i="79" s="1"/>
  <c r="AN68" i="79"/>
  <c r="AN60" i="79"/>
  <c r="AN39" i="79"/>
  <c r="AN31" i="79"/>
  <c r="AN11" i="79"/>
  <c r="AN7" i="79"/>
  <c r="AC15" i="3"/>
  <c r="S15" i="3"/>
  <c r="T15" i="3"/>
  <c r="V15" i="3"/>
  <c r="W15" i="3"/>
  <c r="X15" i="3"/>
  <c r="Z15" i="3"/>
  <c r="AA15" i="3"/>
  <c r="AB15" i="3"/>
  <c r="D7" i="3"/>
  <c r="D17" i="3" s="1"/>
  <c r="E7" i="3"/>
  <c r="E17" i="3" s="1"/>
  <c r="F7" i="3"/>
  <c r="F17" i="3" s="1"/>
  <c r="G7" i="3"/>
  <c r="G17" i="3" s="1"/>
  <c r="H7" i="3"/>
  <c r="H17" i="3" s="1"/>
  <c r="I7" i="3"/>
  <c r="I17" i="3" s="1"/>
  <c r="J7" i="3"/>
  <c r="J17" i="3" s="1"/>
  <c r="K7" i="3"/>
  <c r="K17" i="3" s="1"/>
  <c r="L7" i="3"/>
  <c r="L17" i="3" s="1"/>
  <c r="M7" i="3"/>
  <c r="M17" i="3" s="1"/>
  <c r="N7" i="3"/>
  <c r="N17" i="3" s="1"/>
  <c r="O7" i="3"/>
  <c r="O17" i="3" s="1"/>
  <c r="P7" i="3"/>
  <c r="P17" i="3" s="1"/>
  <c r="Q7" i="3"/>
  <c r="Q17" i="3" s="1"/>
  <c r="R7" i="3"/>
  <c r="R17" i="3" s="1"/>
  <c r="S7" i="3"/>
  <c r="S17" i="3" s="1"/>
  <c r="T7" i="3"/>
  <c r="T17" i="3" s="1"/>
  <c r="U7" i="3"/>
  <c r="U17" i="3" s="1"/>
  <c r="V7" i="3"/>
  <c r="V17" i="3" s="1"/>
  <c r="W7" i="3"/>
  <c r="W17" i="3" s="1"/>
  <c r="X7" i="3"/>
  <c r="X17" i="3" s="1"/>
  <c r="Y7" i="3"/>
  <c r="Y17" i="3" s="1"/>
  <c r="Z7" i="3"/>
  <c r="Z17" i="3" s="1"/>
  <c r="AA7" i="3"/>
  <c r="AA17" i="3" s="1"/>
  <c r="AB7" i="3"/>
  <c r="AB17" i="3" s="1"/>
  <c r="AC7" i="3"/>
  <c r="AC17" i="3" s="1"/>
  <c r="AD7" i="3"/>
  <c r="AD17" i="3" s="1"/>
  <c r="AD14" i="2"/>
  <c r="AA14" i="2"/>
  <c r="AC14" i="2"/>
  <c r="AM82" i="79" l="1"/>
  <c r="AM88" i="79"/>
  <c r="AA99" i="1" l="1"/>
  <c r="AD94" i="1"/>
  <c r="AD93" i="1" l="1"/>
  <c r="AD98" i="1" l="1"/>
  <c r="AD96" i="1"/>
  <c r="AT14" i="54"/>
  <c r="AD99" i="1" l="1"/>
  <c r="U9" i="80"/>
  <c r="AG9" i="80" s="1"/>
  <c r="AT12" i="54" l="1"/>
  <c r="AT13" i="54"/>
  <c r="AT15" i="54"/>
  <c r="AT16" i="54"/>
  <c r="AT17" i="54"/>
  <c r="AT18" i="54"/>
  <c r="AT19" i="54"/>
  <c r="AT20" i="54"/>
  <c r="AT21" i="54"/>
  <c r="AT22" i="54"/>
  <c r="AT23" i="54"/>
  <c r="AT24" i="54"/>
  <c r="AT25" i="54"/>
  <c r="AT26" i="54"/>
  <c r="AT27" i="54"/>
  <c r="AT28" i="54"/>
  <c r="AT29" i="54"/>
  <c r="AT30" i="54"/>
  <c r="AT31" i="54"/>
  <c r="AT32" i="54"/>
  <c r="AT33" i="54"/>
  <c r="AT34" i="54"/>
  <c r="AT35" i="54"/>
  <c r="AT36" i="54"/>
  <c r="AT37" i="54"/>
  <c r="AT38" i="54"/>
  <c r="AT39" i="54"/>
  <c r="AT40" i="54"/>
  <c r="AT41" i="54"/>
  <c r="AT42" i="54"/>
  <c r="AT43" i="54"/>
  <c r="AT44" i="54"/>
  <c r="AT45" i="54"/>
  <c r="AT46" i="54"/>
  <c r="AT47" i="54"/>
  <c r="AT48" i="54"/>
  <c r="AT49" i="54"/>
  <c r="AT50" i="54"/>
  <c r="AT51" i="54"/>
  <c r="AT52" i="54"/>
  <c r="AT53" i="54"/>
  <c r="AT54" i="54"/>
  <c r="AT55" i="54"/>
  <c r="AT56" i="54"/>
  <c r="AT57" i="54"/>
  <c r="AT11" i="54"/>
  <c r="AC75" i="79" l="1"/>
  <c r="AB75" i="79"/>
  <c r="AA75" i="79"/>
  <c r="Z75" i="79"/>
  <c r="Y75" i="79"/>
  <c r="AD52" i="79"/>
  <c r="AC53" i="79"/>
  <c r="AC100" i="79" l="1"/>
  <c r="AC99" i="79"/>
  <c r="AD99" i="79" s="1"/>
  <c r="AC94" i="79"/>
  <c r="AC93" i="79"/>
  <c r="AD93" i="79" s="1"/>
  <c r="AB88" i="79"/>
  <c r="AA88" i="79"/>
  <c r="Z88" i="79"/>
  <c r="Y88" i="79"/>
  <c r="AC87" i="79"/>
  <c r="AD87" i="79" s="1"/>
  <c r="AB82" i="79"/>
  <c r="AA82" i="79"/>
  <c r="Z82" i="79"/>
  <c r="Y82" i="79"/>
  <c r="AC81" i="79"/>
  <c r="AD81" i="79" s="1"/>
  <c r="AC88" i="79" l="1"/>
  <c r="AC82" i="79"/>
  <c r="AT7" i="54"/>
  <c r="AT8" i="54"/>
  <c r="AT9" i="54"/>
  <c r="AT10" i="54"/>
  <c r="AT6" i="54"/>
  <c r="AP60" i="54"/>
  <c r="AR60" i="54"/>
  <c r="AS14" i="54" s="1"/>
  <c r="BD6" i="91"/>
  <c r="BD7" i="91"/>
  <c r="BD8" i="91"/>
  <c r="BD9" i="91"/>
  <c r="BD10" i="91"/>
  <c r="BD11" i="91"/>
  <c r="BD12" i="91"/>
  <c r="BD13" i="91"/>
  <c r="BD14" i="91"/>
  <c r="BD15" i="91"/>
  <c r="BD16" i="91"/>
  <c r="BD17" i="91"/>
  <c r="BD18" i="91"/>
  <c r="BD19" i="91"/>
  <c r="BD20" i="91"/>
  <c r="BD21" i="91"/>
  <c r="BD22" i="91"/>
  <c r="BD23" i="91"/>
  <c r="BD24" i="91"/>
  <c r="BD25" i="91"/>
  <c r="BD26" i="91"/>
  <c r="BD27" i="91"/>
  <c r="BD28" i="91"/>
  <c r="BD29" i="91"/>
  <c r="BD30" i="91"/>
  <c r="BD31" i="91"/>
  <c r="BD32" i="91"/>
  <c r="BD33" i="91"/>
  <c r="BD34" i="91"/>
  <c r="BD35" i="91"/>
  <c r="BD36" i="91"/>
  <c r="BD37" i="91"/>
  <c r="BD38" i="91"/>
  <c r="BD39" i="91"/>
  <c r="BD40" i="91"/>
  <c r="BD41" i="91"/>
  <c r="BD42" i="91"/>
  <c r="BD43" i="91"/>
  <c r="BD44" i="91"/>
  <c r="BD45" i="91"/>
  <c r="BD46" i="91"/>
  <c r="BD5" i="91"/>
  <c r="BE5" i="91"/>
  <c r="BF6" i="91"/>
  <c r="BF7" i="91"/>
  <c r="BF8" i="91"/>
  <c r="BF9" i="91"/>
  <c r="BF10" i="91"/>
  <c r="BF11" i="91"/>
  <c r="BF12" i="91"/>
  <c r="BF13" i="91"/>
  <c r="BF14" i="91"/>
  <c r="BF15" i="91"/>
  <c r="BF16" i="91"/>
  <c r="BF17" i="91"/>
  <c r="BF18" i="91"/>
  <c r="BF19" i="91"/>
  <c r="BF20" i="91"/>
  <c r="BF21" i="91"/>
  <c r="BF22" i="91"/>
  <c r="BF23" i="91"/>
  <c r="BF24" i="91"/>
  <c r="BF25" i="91"/>
  <c r="BF26" i="91"/>
  <c r="BF27" i="91"/>
  <c r="BF28" i="91"/>
  <c r="BF29" i="91"/>
  <c r="BF30" i="91"/>
  <c r="BF31" i="91"/>
  <c r="BF32" i="91"/>
  <c r="BF33" i="91"/>
  <c r="BF34" i="91"/>
  <c r="BF35" i="91"/>
  <c r="BF36" i="91"/>
  <c r="BF37" i="91"/>
  <c r="BF38" i="91"/>
  <c r="BF39" i="91"/>
  <c r="BF40" i="91"/>
  <c r="BF41" i="91"/>
  <c r="BF42" i="91"/>
  <c r="BF43" i="91"/>
  <c r="BF44" i="91"/>
  <c r="BF45" i="91"/>
  <c r="BF46" i="91"/>
  <c r="BF5" i="91"/>
  <c r="BE6" i="91"/>
  <c r="BE7" i="91"/>
  <c r="BE8" i="91"/>
  <c r="BE9" i="91"/>
  <c r="BE10" i="91"/>
  <c r="BE11" i="91"/>
  <c r="BE12" i="91"/>
  <c r="BE13" i="91"/>
  <c r="BE14" i="91"/>
  <c r="BE15" i="91"/>
  <c r="BE16" i="91"/>
  <c r="BE17" i="91"/>
  <c r="BE18" i="91"/>
  <c r="BE19" i="91"/>
  <c r="BE20" i="91"/>
  <c r="BE21" i="91"/>
  <c r="BE22" i="91"/>
  <c r="BE23" i="91"/>
  <c r="BE24" i="91"/>
  <c r="BE25" i="91"/>
  <c r="BE26" i="91"/>
  <c r="BE27" i="91"/>
  <c r="BE28" i="91"/>
  <c r="BE29" i="91"/>
  <c r="BE30" i="91"/>
  <c r="BE31" i="91"/>
  <c r="BE32" i="91"/>
  <c r="BE33" i="91"/>
  <c r="BE34" i="91"/>
  <c r="BE35" i="91"/>
  <c r="BE36" i="91"/>
  <c r="BE37" i="91"/>
  <c r="BE38" i="91"/>
  <c r="BE39" i="91"/>
  <c r="BE40" i="91"/>
  <c r="BE41" i="91"/>
  <c r="BE42" i="91"/>
  <c r="BE43" i="91"/>
  <c r="BE44" i="91"/>
  <c r="BE45" i="91"/>
  <c r="BE46" i="91"/>
  <c r="AY49" i="91"/>
  <c r="AS53" i="54" l="1"/>
  <c r="AS41" i="54"/>
  <c r="AS29" i="54"/>
  <c r="AS17" i="54"/>
  <c r="AS56" i="54"/>
  <c r="AS52" i="54"/>
  <c r="AS48" i="54"/>
  <c r="AS44" i="54"/>
  <c r="AS40" i="54"/>
  <c r="AS36" i="54"/>
  <c r="AS32" i="54"/>
  <c r="AS28" i="54"/>
  <c r="AS24" i="54"/>
  <c r="AS20" i="54"/>
  <c r="AS16" i="54"/>
  <c r="AS12" i="54"/>
  <c r="AS49" i="54"/>
  <c r="AS37" i="54"/>
  <c r="AS21" i="54"/>
  <c r="AS13" i="54"/>
  <c r="AS11" i="54"/>
  <c r="AS55" i="54"/>
  <c r="AS51" i="54"/>
  <c r="AS47" i="54"/>
  <c r="AS43" i="54"/>
  <c r="AS39" i="54"/>
  <c r="AS35" i="54"/>
  <c r="AS31" i="54"/>
  <c r="AS27" i="54"/>
  <c r="AS23" i="54"/>
  <c r="AS19" i="54"/>
  <c r="AS15" i="54"/>
  <c r="AS57" i="54"/>
  <c r="AS45" i="54"/>
  <c r="AS33" i="54"/>
  <c r="AS25" i="54"/>
  <c r="AS58" i="54"/>
  <c r="AS54" i="54"/>
  <c r="AS50" i="54"/>
  <c r="AS46" i="54"/>
  <c r="AS42" i="54"/>
  <c r="AU42" i="54" s="1"/>
  <c r="AS38" i="54"/>
  <c r="AS34" i="54"/>
  <c r="AS30" i="54"/>
  <c r="AS26" i="54"/>
  <c r="AU26" i="54" s="1"/>
  <c r="AS22" i="54"/>
  <c r="AS18" i="54"/>
  <c r="AC70" i="79"/>
  <c r="AC69" i="79"/>
  <c r="AC68" i="79"/>
  <c r="AC67" i="79"/>
  <c r="AC62" i="79"/>
  <c r="AC61" i="79"/>
  <c r="AC60" i="79"/>
  <c r="AC59" i="79"/>
  <c r="AC50" i="79"/>
  <c r="AC49" i="79"/>
  <c r="AC48" i="79"/>
  <c r="AC47" i="79"/>
  <c r="AC41" i="79"/>
  <c r="AC40" i="79"/>
  <c r="AC39" i="79"/>
  <c r="AC38" i="79"/>
  <c r="AC33" i="79"/>
  <c r="AC32" i="79"/>
  <c r="AC31" i="79"/>
  <c r="AD31" i="79" s="1"/>
  <c r="AC25" i="79"/>
  <c r="AC24" i="79"/>
  <c r="AC23" i="79"/>
  <c r="AC22" i="79"/>
  <c r="AC7" i="79"/>
  <c r="AC8" i="79"/>
  <c r="AC10" i="79"/>
  <c r="AC11" i="79"/>
  <c r="AC12" i="79"/>
  <c r="AC18" i="79"/>
  <c r="AC19" i="79"/>
  <c r="AC20" i="79"/>
  <c r="AC6" i="79"/>
  <c r="Q96" i="1"/>
  <c r="R96" i="1"/>
  <c r="S96" i="1"/>
  <c r="AD19" i="79" l="1"/>
  <c r="AU54" i="54"/>
  <c r="AU18" i="54"/>
  <c r="AU50" i="54"/>
  <c r="AU33" i="54"/>
  <c r="AU22" i="54"/>
  <c r="AU38" i="54"/>
  <c r="AU34" i="54"/>
  <c r="AU19" i="54"/>
  <c r="AU35" i="54"/>
  <c r="AD23" i="79"/>
  <c r="AD11" i="79"/>
  <c r="AU51" i="54"/>
  <c r="AU21" i="54"/>
  <c r="AD39" i="79"/>
  <c r="AU16" i="54"/>
  <c r="AU32" i="54"/>
  <c r="AU48" i="54"/>
  <c r="AU29" i="54"/>
  <c r="AD48" i="79"/>
  <c r="AD60" i="79"/>
  <c r="AD68" i="79"/>
  <c r="AU45" i="54"/>
  <c r="AU23" i="54"/>
  <c r="AU39" i="54"/>
  <c r="AU55" i="54"/>
  <c r="AU37" i="54"/>
  <c r="AU20" i="54"/>
  <c r="AU36" i="54"/>
  <c r="AU52" i="54"/>
  <c r="AU41" i="54"/>
  <c r="AD7" i="79"/>
  <c r="AU10" i="54"/>
  <c r="AU6" i="54"/>
  <c r="AU7" i="54"/>
  <c r="AU9" i="54"/>
  <c r="AU8" i="54"/>
  <c r="AU57" i="54"/>
  <c r="AU27" i="54"/>
  <c r="AU43" i="54"/>
  <c r="AU11" i="54"/>
  <c r="AU49" i="54"/>
  <c r="AU24" i="54"/>
  <c r="AU40" i="54"/>
  <c r="AU56" i="54"/>
  <c r="AU53" i="54"/>
  <c r="AU30" i="54"/>
  <c r="AU46" i="54"/>
  <c r="AU25" i="54"/>
  <c r="AU15" i="54"/>
  <c r="AU31" i="54"/>
  <c r="AU47" i="54"/>
  <c r="AU13" i="54"/>
  <c r="AU12" i="54"/>
  <c r="AU28" i="54"/>
  <c r="AU44" i="54"/>
  <c r="AU17" i="54"/>
  <c r="AU14" i="54"/>
  <c r="AC94" i="1" l="1"/>
  <c r="AC92" i="1" l="1"/>
  <c r="AC93" i="1"/>
  <c r="AC98" i="1" l="1"/>
  <c r="AC96" i="1"/>
  <c r="AC99" i="1" l="1"/>
  <c r="AA13" i="10" l="1"/>
  <c r="AA16" i="10" s="1"/>
  <c r="AA50" i="54" l="1"/>
  <c r="AB19" i="54" s="1"/>
  <c r="X51" i="54"/>
  <c r="Y5" i="54" s="1"/>
  <c r="X47" i="54"/>
  <c r="Y36" i="54" l="1"/>
  <c r="Y47" i="54"/>
  <c r="AC47" i="54" s="1"/>
  <c r="Y28" i="54"/>
  <c r="Y20" i="54"/>
  <c r="Y44" i="54"/>
  <c r="Y43" i="54"/>
  <c r="Y27" i="54"/>
  <c r="Y4" i="54"/>
  <c r="Y40" i="54"/>
  <c r="Y32" i="54"/>
  <c r="AC32" i="54" s="1"/>
  <c r="Y24" i="54"/>
  <c r="Y12" i="54"/>
  <c r="Y35" i="54"/>
  <c r="Y16" i="54"/>
  <c r="AC16" i="54" s="1"/>
  <c r="Y48" i="54"/>
  <c r="Y39" i="54"/>
  <c r="Y31" i="54"/>
  <c r="Y23" i="54"/>
  <c r="AC23" i="54" s="1"/>
  <c r="Y8" i="54"/>
  <c r="AB46" i="54"/>
  <c r="AB34" i="54"/>
  <c r="AB26" i="54"/>
  <c r="Y46" i="54"/>
  <c r="Y42" i="54"/>
  <c r="Y38" i="54"/>
  <c r="Y34" i="54"/>
  <c r="Y30" i="54"/>
  <c r="Y26" i="54"/>
  <c r="Y22" i="54"/>
  <c r="AC22" i="54" s="1"/>
  <c r="Y18" i="54"/>
  <c r="Y14" i="54"/>
  <c r="Y10" i="54"/>
  <c r="Y6" i="54"/>
  <c r="AB48" i="54"/>
  <c r="AB44" i="54"/>
  <c r="AB40" i="54"/>
  <c r="AB36" i="54"/>
  <c r="AB32" i="54"/>
  <c r="AB28" i="54"/>
  <c r="AB24" i="54"/>
  <c r="AB20" i="54"/>
  <c r="AB38" i="54"/>
  <c r="AB22" i="54"/>
  <c r="Y19" i="54"/>
  <c r="Y15" i="54"/>
  <c r="Y11" i="54"/>
  <c r="Y7" i="54"/>
  <c r="AB18" i="54"/>
  <c r="AB45" i="54"/>
  <c r="AB41" i="54"/>
  <c r="AB37" i="54"/>
  <c r="AB33" i="54"/>
  <c r="AB29" i="54"/>
  <c r="AB25" i="54"/>
  <c r="AB21" i="54"/>
  <c r="AB42" i="54"/>
  <c r="AB30" i="54"/>
  <c r="Y45" i="54"/>
  <c r="Y41" i="54"/>
  <c r="Y37" i="54"/>
  <c r="Y33" i="54"/>
  <c r="AC33" i="54" s="1"/>
  <c r="Y29" i="54"/>
  <c r="Y25" i="54"/>
  <c r="Y21" i="54"/>
  <c r="Y17" i="54"/>
  <c r="AC17" i="54" s="1"/>
  <c r="Y13" i="54"/>
  <c r="Y9" i="54"/>
  <c r="AB47" i="54"/>
  <c r="AD19" i="54" s="1"/>
  <c r="AB43" i="54"/>
  <c r="AB39" i="54"/>
  <c r="AB35" i="54"/>
  <c r="AB31" i="54"/>
  <c r="AD31" i="54" s="1"/>
  <c r="AB27" i="54"/>
  <c r="AB23" i="54"/>
  <c r="AC38" i="54" l="1"/>
  <c r="AC36" i="54"/>
  <c r="AC43" i="54"/>
  <c r="AC21" i="54"/>
  <c r="AC37" i="54"/>
  <c r="AC19" i="54"/>
  <c r="AC26" i="54"/>
  <c r="AC42" i="54"/>
  <c r="AC29" i="54"/>
  <c r="AC45" i="54"/>
  <c r="AC18" i="54"/>
  <c r="AC34" i="54"/>
  <c r="AC25" i="54"/>
  <c r="AC41" i="54"/>
  <c r="AC30" i="54"/>
  <c r="AC39" i="54"/>
  <c r="AC20" i="54"/>
  <c r="AC28" i="54"/>
  <c r="AC24" i="54"/>
  <c r="AC46" i="54"/>
  <c r="AC27" i="54"/>
  <c r="AC31" i="54"/>
  <c r="AC35" i="54"/>
  <c r="AC40" i="54"/>
  <c r="AC44" i="54"/>
  <c r="AD24" i="54"/>
  <c r="AD23" i="54"/>
  <c r="AD39" i="54"/>
  <c r="AD25" i="54"/>
  <c r="AD41" i="54"/>
  <c r="AD38" i="54"/>
  <c r="AD32" i="54"/>
  <c r="AD35" i="54"/>
  <c r="AD21" i="54"/>
  <c r="AD37" i="54"/>
  <c r="AD22" i="54"/>
  <c r="AD28" i="54"/>
  <c r="AD44" i="54"/>
  <c r="AD46" i="54"/>
  <c r="AD33" i="54"/>
  <c r="AD18" i="54"/>
  <c r="AD40" i="54"/>
  <c r="AD34" i="54"/>
  <c r="AD17" i="54"/>
  <c r="AD16" i="54"/>
  <c r="AD47" i="54"/>
  <c r="AD42" i="54"/>
  <c r="AD27" i="54"/>
  <c r="AD43" i="54"/>
  <c r="AD30" i="54"/>
  <c r="AD29" i="54"/>
  <c r="AD45" i="54"/>
  <c r="AD20" i="54"/>
  <c r="AD36" i="54"/>
  <c r="AD26" i="54"/>
  <c r="U59" i="80" l="1"/>
  <c r="AG59" i="80" s="1"/>
  <c r="V59" i="80"/>
  <c r="AH59" i="80" s="1"/>
  <c r="W59" i="80"/>
  <c r="AI59" i="80" s="1"/>
  <c r="X59" i="80"/>
  <c r="AJ59" i="80" s="1"/>
  <c r="Y59" i="80"/>
  <c r="AK59" i="80" s="1"/>
  <c r="Z59" i="80"/>
  <c r="AL59" i="80" s="1"/>
  <c r="AA59" i="80"/>
  <c r="AM59" i="80" s="1"/>
  <c r="AB59" i="80"/>
  <c r="AN59" i="80" s="1"/>
  <c r="AC59" i="80"/>
  <c r="AO59" i="80" s="1"/>
  <c r="AD59" i="80"/>
  <c r="AP59" i="80" s="1"/>
  <c r="U60" i="80"/>
  <c r="AG60" i="80" s="1"/>
  <c r="V60" i="80"/>
  <c r="AH60" i="80" s="1"/>
  <c r="W60" i="80"/>
  <c r="AI60" i="80" s="1"/>
  <c r="X60" i="80"/>
  <c r="AJ60" i="80" s="1"/>
  <c r="Y60" i="80"/>
  <c r="AK60" i="80" s="1"/>
  <c r="Z60" i="80"/>
  <c r="AL60" i="80" s="1"/>
  <c r="AA60" i="80"/>
  <c r="AM60" i="80" s="1"/>
  <c r="AB60" i="80"/>
  <c r="AN60" i="80" s="1"/>
  <c r="AC60" i="80"/>
  <c r="AO60" i="80" s="1"/>
  <c r="AD60" i="80"/>
  <c r="AP60" i="80" s="1"/>
  <c r="U61" i="80"/>
  <c r="AG61" i="80" s="1"/>
  <c r="V61" i="80"/>
  <c r="AH61" i="80" s="1"/>
  <c r="W61" i="80"/>
  <c r="AI61" i="80" s="1"/>
  <c r="X61" i="80"/>
  <c r="AJ61" i="80" s="1"/>
  <c r="Y61" i="80"/>
  <c r="AK61" i="80" s="1"/>
  <c r="Z61" i="80"/>
  <c r="AL61" i="80" s="1"/>
  <c r="AA61" i="80"/>
  <c r="AM61" i="80" s="1"/>
  <c r="AB61" i="80"/>
  <c r="AN61" i="80" s="1"/>
  <c r="AC61" i="80"/>
  <c r="AO61" i="80" s="1"/>
  <c r="AD61" i="80"/>
  <c r="AP61" i="80" s="1"/>
  <c r="U62" i="80"/>
  <c r="AG62" i="80" s="1"/>
  <c r="V62" i="80"/>
  <c r="AH62" i="80" s="1"/>
  <c r="W62" i="80"/>
  <c r="AI62" i="80" s="1"/>
  <c r="X62" i="80"/>
  <c r="AJ62" i="80" s="1"/>
  <c r="Y62" i="80"/>
  <c r="AK62" i="80" s="1"/>
  <c r="Z62" i="80"/>
  <c r="AL62" i="80" s="1"/>
  <c r="AA62" i="80"/>
  <c r="AM62" i="80" s="1"/>
  <c r="AB62" i="80"/>
  <c r="AN62" i="80" s="1"/>
  <c r="AC62" i="80"/>
  <c r="AO62" i="80" s="1"/>
  <c r="AD62" i="80"/>
  <c r="AP62" i="80" s="1"/>
  <c r="U63" i="80"/>
  <c r="AG63" i="80" s="1"/>
  <c r="AG111" i="80" s="1"/>
  <c r="V63" i="80"/>
  <c r="AH63" i="80" s="1"/>
  <c r="W63" i="80"/>
  <c r="AI63" i="80" s="1"/>
  <c r="X63" i="80"/>
  <c r="AJ63" i="80" s="1"/>
  <c r="Y63" i="80"/>
  <c r="AK63" i="80" s="1"/>
  <c r="Z63" i="80"/>
  <c r="AL63" i="80" s="1"/>
  <c r="AA63" i="80"/>
  <c r="AM63" i="80" s="1"/>
  <c r="AB63" i="80"/>
  <c r="AN63" i="80" s="1"/>
  <c r="AC63" i="80"/>
  <c r="AO63" i="80" s="1"/>
  <c r="AD63" i="80"/>
  <c r="AP63" i="80" s="1"/>
  <c r="U64" i="80"/>
  <c r="AG64" i="80" s="1"/>
  <c r="V64" i="80"/>
  <c r="AH64" i="80" s="1"/>
  <c r="W64" i="80"/>
  <c r="AI64" i="80" s="1"/>
  <c r="X64" i="80"/>
  <c r="AJ64" i="80" s="1"/>
  <c r="Y64" i="80"/>
  <c r="AK64" i="80" s="1"/>
  <c r="Z64" i="80"/>
  <c r="AL64" i="80" s="1"/>
  <c r="AA64" i="80"/>
  <c r="AM64" i="80" s="1"/>
  <c r="AB64" i="80"/>
  <c r="AN64" i="80" s="1"/>
  <c r="AC64" i="80"/>
  <c r="AO64" i="80" s="1"/>
  <c r="AD64" i="80"/>
  <c r="AP64" i="80" s="1"/>
  <c r="U65" i="80"/>
  <c r="AG65" i="80" s="1"/>
  <c r="V65" i="80"/>
  <c r="AH65" i="80" s="1"/>
  <c r="W65" i="80"/>
  <c r="AI65" i="80" s="1"/>
  <c r="X65" i="80"/>
  <c r="AJ65" i="80" s="1"/>
  <c r="Y65" i="80"/>
  <c r="AK65" i="80" s="1"/>
  <c r="Z65" i="80"/>
  <c r="AL65" i="80" s="1"/>
  <c r="AA65" i="80"/>
  <c r="AM65" i="80" s="1"/>
  <c r="AB65" i="80"/>
  <c r="AN65" i="80" s="1"/>
  <c r="AC65" i="80"/>
  <c r="AO65" i="80" s="1"/>
  <c r="AD65" i="80"/>
  <c r="AP65" i="80" s="1"/>
  <c r="U66" i="80"/>
  <c r="AG66" i="80" s="1"/>
  <c r="V66" i="80"/>
  <c r="AH66" i="80" s="1"/>
  <c r="W66" i="80"/>
  <c r="AI66" i="80" s="1"/>
  <c r="X66" i="80"/>
  <c r="AJ66" i="80" s="1"/>
  <c r="Y66" i="80"/>
  <c r="AK66" i="80" s="1"/>
  <c r="Z66" i="80"/>
  <c r="AL66" i="80" s="1"/>
  <c r="AA66" i="80"/>
  <c r="AM66" i="80" s="1"/>
  <c r="AB66" i="80"/>
  <c r="AN66" i="80" s="1"/>
  <c r="AC66" i="80"/>
  <c r="AO66" i="80" s="1"/>
  <c r="AD66" i="80"/>
  <c r="AP66" i="80" s="1"/>
  <c r="U67" i="80"/>
  <c r="AG67" i="80" s="1"/>
  <c r="V67" i="80"/>
  <c r="AH67" i="80" s="1"/>
  <c r="W67" i="80"/>
  <c r="AI67" i="80" s="1"/>
  <c r="X67" i="80"/>
  <c r="AJ67" i="80" s="1"/>
  <c r="Y67" i="80"/>
  <c r="AK67" i="80" s="1"/>
  <c r="Z67" i="80"/>
  <c r="AL67" i="80" s="1"/>
  <c r="AA67" i="80"/>
  <c r="AM67" i="80" s="1"/>
  <c r="AB67" i="80"/>
  <c r="AN67" i="80" s="1"/>
  <c r="AC67" i="80"/>
  <c r="AO67" i="80" s="1"/>
  <c r="AD67" i="80"/>
  <c r="AP67" i="80" s="1"/>
  <c r="U68" i="80"/>
  <c r="AG68" i="80" s="1"/>
  <c r="V68" i="80"/>
  <c r="AH68" i="80" s="1"/>
  <c r="W68" i="80"/>
  <c r="AI68" i="80" s="1"/>
  <c r="X68" i="80"/>
  <c r="AJ68" i="80" s="1"/>
  <c r="Y68" i="80"/>
  <c r="AK68" i="80" s="1"/>
  <c r="Z68" i="80"/>
  <c r="AL68" i="80" s="1"/>
  <c r="AA68" i="80"/>
  <c r="AM68" i="80" s="1"/>
  <c r="AB68" i="80"/>
  <c r="AN68" i="80" s="1"/>
  <c r="AC68" i="80"/>
  <c r="AO68" i="80" s="1"/>
  <c r="AD68" i="80"/>
  <c r="AP68" i="80" s="1"/>
  <c r="U69" i="80"/>
  <c r="AG69" i="80" s="1"/>
  <c r="V69" i="80"/>
  <c r="AH69" i="80" s="1"/>
  <c r="W69" i="80"/>
  <c r="AI69" i="80" s="1"/>
  <c r="X69" i="80"/>
  <c r="AJ69" i="80" s="1"/>
  <c r="Y69" i="80"/>
  <c r="AK69" i="80" s="1"/>
  <c r="Z69" i="80"/>
  <c r="AL69" i="80" s="1"/>
  <c r="AA69" i="80"/>
  <c r="AM69" i="80" s="1"/>
  <c r="AB69" i="80"/>
  <c r="AN69" i="80" s="1"/>
  <c r="AC69" i="80"/>
  <c r="AO69" i="80" s="1"/>
  <c r="AD69" i="80"/>
  <c r="AP69" i="80" s="1"/>
  <c r="U70" i="80"/>
  <c r="AG70" i="80" s="1"/>
  <c r="V70" i="80"/>
  <c r="AH70" i="80" s="1"/>
  <c r="W70" i="80"/>
  <c r="AI70" i="80" s="1"/>
  <c r="X70" i="80"/>
  <c r="AJ70" i="80" s="1"/>
  <c r="Y70" i="80"/>
  <c r="AK70" i="80" s="1"/>
  <c r="Z70" i="80"/>
  <c r="AL70" i="80" s="1"/>
  <c r="AA70" i="80"/>
  <c r="AM70" i="80" s="1"/>
  <c r="AB70" i="80"/>
  <c r="AN70" i="80" s="1"/>
  <c r="AC70" i="80"/>
  <c r="AO70" i="80" s="1"/>
  <c r="AD70" i="80"/>
  <c r="AP70" i="80" s="1"/>
  <c r="U71" i="80"/>
  <c r="AG71" i="80" s="1"/>
  <c r="V71" i="80"/>
  <c r="AH71" i="80" s="1"/>
  <c r="W71" i="80"/>
  <c r="AI71" i="80" s="1"/>
  <c r="X71" i="80"/>
  <c r="AJ71" i="80" s="1"/>
  <c r="Y71" i="80"/>
  <c r="AK71" i="80" s="1"/>
  <c r="Z71" i="80"/>
  <c r="AL71" i="80" s="1"/>
  <c r="AA71" i="80"/>
  <c r="AM71" i="80" s="1"/>
  <c r="AB71" i="80"/>
  <c r="AN71" i="80" s="1"/>
  <c r="AC71" i="80"/>
  <c r="AO71" i="80" s="1"/>
  <c r="AD71" i="80"/>
  <c r="AP71" i="80" s="1"/>
  <c r="U72" i="80"/>
  <c r="AG72" i="80" s="1"/>
  <c r="V72" i="80"/>
  <c r="AH72" i="80" s="1"/>
  <c r="W72" i="80"/>
  <c r="AI72" i="80" s="1"/>
  <c r="X72" i="80"/>
  <c r="AJ72" i="80" s="1"/>
  <c r="Y72" i="80"/>
  <c r="AK72" i="80" s="1"/>
  <c r="Z72" i="80"/>
  <c r="AL72" i="80" s="1"/>
  <c r="AA72" i="80"/>
  <c r="AM72" i="80" s="1"/>
  <c r="AB72" i="80"/>
  <c r="AN72" i="80" s="1"/>
  <c r="AC72" i="80"/>
  <c r="AO72" i="80" s="1"/>
  <c r="AD72" i="80"/>
  <c r="AP72" i="80" s="1"/>
  <c r="U73" i="80"/>
  <c r="AG73" i="80" s="1"/>
  <c r="V73" i="80"/>
  <c r="AH73" i="80" s="1"/>
  <c r="W73" i="80"/>
  <c r="AI73" i="80" s="1"/>
  <c r="X73" i="80"/>
  <c r="AJ73" i="80" s="1"/>
  <c r="Y73" i="80"/>
  <c r="AK73" i="80" s="1"/>
  <c r="Z73" i="80"/>
  <c r="AL73" i="80" s="1"/>
  <c r="AA73" i="80"/>
  <c r="AM73" i="80" s="1"/>
  <c r="AB73" i="80"/>
  <c r="AN73" i="80" s="1"/>
  <c r="AC73" i="80"/>
  <c r="AO73" i="80" s="1"/>
  <c r="AD73" i="80"/>
  <c r="AP73" i="80" s="1"/>
  <c r="U74" i="80"/>
  <c r="AG74" i="80" s="1"/>
  <c r="V74" i="80"/>
  <c r="AH74" i="80" s="1"/>
  <c r="W74" i="80"/>
  <c r="AI74" i="80" s="1"/>
  <c r="X74" i="80"/>
  <c r="AJ74" i="80" s="1"/>
  <c r="Y74" i="80"/>
  <c r="AK74" i="80" s="1"/>
  <c r="Z74" i="80"/>
  <c r="AL74" i="80" s="1"/>
  <c r="AA74" i="80"/>
  <c r="AM74" i="80" s="1"/>
  <c r="AB74" i="80"/>
  <c r="AN74" i="80" s="1"/>
  <c r="AC74" i="80"/>
  <c r="AO74" i="80" s="1"/>
  <c r="AD74" i="80"/>
  <c r="AP74" i="80" s="1"/>
  <c r="U75" i="80"/>
  <c r="AG75" i="80" s="1"/>
  <c r="V75" i="80"/>
  <c r="AH75" i="80" s="1"/>
  <c r="W75" i="80"/>
  <c r="AI75" i="80" s="1"/>
  <c r="X75" i="80"/>
  <c r="AJ75" i="80" s="1"/>
  <c r="Y75" i="80"/>
  <c r="AK75" i="80" s="1"/>
  <c r="Z75" i="80"/>
  <c r="AL75" i="80" s="1"/>
  <c r="AA75" i="80"/>
  <c r="AM75" i="80" s="1"/>
  <c r="AB75" i="80"/>
  <c r="AN75" i="80" s="1"/>
  <c r="AC75" i="80"/>
  <c r="AO75" i="80" s="1"/>
  <c r="AD75" i="80"/>
  <c r="AP75" i="80" s="1"/>
  <c r="U76" i="80"/>
  <c r="AG76" i="80" s="1"/>
  <c r="V76" i="80"/>
  <c r="AH76" i="80" s="1"/>
  <c r="W76" i="80"/>
  <c r="AI76" i="80" s="1"/>
  <c r="X76" i="80"/>
  <c r="AJ76" i="80" s="1"/>
  <c r="Y76" i="80"/>
  <c r="AK76" i="80" s="1"/>
  <c r="Z76" i="80"/>
  <c r="AL76" i="80" s="1"/>
  <c r="AA76" i="80"/>
  <c r="AM76" i="80" s="1"/>
  <c r="AB76" i="80"/>
  <c r="AN76" i="80" s="1"/>
  <c r="AC76" i="80"/>
  <c r="AO76" i="80" s="1"/>
  <c r="AD76" i="80"/>
  <c r="AP76" i="80" s="1"/>
  <c r="U77" i="80"/>
  <c r="AG77" i="80" s="1"/>
  <c r="V77" i="80"/>
  <c r="AH77" i="80" s="1"/>
  <c r="W77" i="80"/>
  <c r="AI77" i="80" s="1"/>
  <c r="X77" i="80"/>
  <c r="AJ77" i="80" s="1"/>
  <c r="Y77" i="80"/>
  <c r="AK77" i="80" s="1"/>
  <c r="Z77" i="80"/>
  <c r="AL77" i="80" s="1"/>
  <c r="AA77" i="80"/>
  <c r="AM77" i="80" s="1"/>
  <c r="AB77" i="80"/>
  <c r="AN77" i="80" s="1"/>
  <c r="AC77" i="80"/>
  <c r="AO77" i="80" s="1"/>
  <c r="AD77" i="80"/>
  <c r="AP77" i="80" s="1"/>
  <c r="U78" i="80"/>
  <c r="AG78" i="80" s="1"/>
  <c r="V78" i="80"/>
  <c r="AH78" i="80" s="1"/>
  <c r="W78" i="80"/>
  <c r="AI78" i="80" s="1"/>
  <c r="X78" i="80"/>
  <c r="AJ78" i="80" s="1"/>
  <c r="Y78" i="80"/>
  <c r="AK78" i="80" s="1"/>
  <c r="Z78" i="80"/>
  <c r="AL78" i="80" s="1"/>
  <c r="AA78" i="80"/>
  <c r="AM78" i="80" s="1"/>
  <c r="AB78" i="80"/>
  <c r="AN78" i="80" s="1"/>
  <c r="AC78" i="80"/>
  <c r="AO78" i="80" s="1"/>
  <c r="AD78" i="80"/>
  <c r="AP78" i="80" s="1"/>
  <c r="U79" i="80"/>
  <c r="AG79" i="80" s="1"/>
  <c r="V79" i="80"/>
  <c r="AH79" i="80" s="1"/>
  <c r="W79" i="80"/>
  <c r="AI79" i="80" s="1"/>
  <c r="X79" i="80"/>
  <c r="AJ79" i="80" s="1"/>
  <c r="Y79" i="80"/>
  <c r="AK79" i="80" s="1"/>
  <c r="Z79" i="80"/>
  <c r="AL79" i="80" s="1"/>
  <c r="AA79" i="80"/>
  <c r="AM79" i="80" s="1"/>
  <c r="AB79" i="80"/>
  <c r="AN79" i="80" s="1"/>
  <c r="AC79" i="80"/>
  <c r="AO79" i="80" s="1"/>
  <c r="AD79" i="80"/>
  <c r="AP79" i="80" s="1"/>
  <c r="U80" i="80"/>
  <c r="AG80" i="80" s="1"/>
  <c r="V80" i="80"/>
  <c r="AH80" i="80" s="1"/>
  <c r="W80" i="80"/>
  <c r="AI80" i="80" s="1"/>
  <c r="X80" i="80"/>
  <c r="AJ80" i="80" s="1"/>
  <c r="Y80" i="80"/>
  <c r="AK80" i="80" s="1"/>
  <c r="Z80" i="80"/>
  <c r="AL80" i="80" s="1"/>
  <c r="AA80" i="80"/>
  <c r="AM80" i="80" s="1"/>
  <c r="AB80" i="80"/>
  <c r="AN80" i="80" s="1"/>
  <c r="AC80" i="80"/>
  <c r="AO80" i="80" s="1"/>
  <c r="AD80" i="80"/>
  <c r="AP80" i="80" s="1"/>
  <c r="U81" i="80"/>
  <c r="AG81" i="80" s="1"/>
  <c r="V81" i="80"/>
  <c r="AH81" i="80" s="1"/>
  <c r="W81" i="80"/>
  <c r="AI81" i="80" s="1"/>
  <c r="X81" i="80"/>
  <c r="AJ81" i="80" s="1"/>
  <c r="Y81" i="80"/>
  <c r="AK81" i="80" s="1"/>
  <c r="Z81" i="80"/>
  <c r="AL81" i="80" s="1"/>
  <c r="AA81" i="80"/>
  <c r="AM81" i="80" s="1"/>
  <c r="AB81" i="80"/>
  <c r="AN81" i="80" s="1"/>
  <c r="AC81" i="80"/>
  <c r="AO81" i="80" s="1"/>
  <c r="AD81" i="80"/>
  <c r="AP81" i="80" s="1"/>
  <c r="U82" i="80"/>
  <c r="AG82" i="80" s="1"/>
  <c r="V82" i="80"/>
  <c r="AH82" i="80" s="1"/>
  <c r="W82" i="80"/>
  <c r="AI82" i="80" s="1"/>
  <c r="X82" i="80"/>
  <c r="AJ82" i="80" s="1"/>
  <c r="Y82" i="80"/>
  <c r="AK82" i="80" s="1"/>
  <c r="Z82" i="80"/>
  <c r="AL82" i="80" s="1"/>
  <c r="AA82" i="80"/>
  <c r="AM82" i="80" s="1"/>
  <c r="AB82" i="80"/>
  <c r="AN82" i="80" s="1"/>
  <c r="AC82" i="80"/>
  <c r="AO82" i="80" s="1"/>
  <c r="AD82" i="80"/>
  <c r="AP82" i="80" s="1"/>
  <c r="U83" i="80"/>
  <c r="AG83" i="80" s="1"/>
  <c r="V83" i="80"/>
  <c r="AH83" i="80" s="1"/>
  <c r="W83" i="80"/>
  <c r="AI83" i="80" s="1"/>
  <c r="X83" i="80"/>
  <c r="AJ83" i="80" s="1"/>
  <c r="Y83" i="80"/>
  <c r="AK83" i="80" s="1"/>
  <c r="Z83" i="80"/>
  <c r="AL83" i="80" s="1"/>
  <c r="AA83" i="80"/>
  <c r="AM83" i="80" s="1"/>
  <c r="AB83" i="80"/>
  <c r="AN83" i="80" s="1"/>
  <c r="AC83" i="80"/>
  <c r="AO83" i="80" s="1"/>
  <c r="AD83" i="80"/>
  <c r="AP83" i="80" s="1"/>
  <c r="U84" i="80"/>
  <c r="AG84" i="80" s="1"/>
  <c r="V84" i="80"/>
  <c r="AH84" i="80" s="1"/>
  <c r="W84" i="80"/>
  <c r="AI84" i="80" s="1"/>
  <c r="X84" i="80"/>
  <c r="AJ84" i="80" s="1"/>
  <c r="Y84" i="80"/>
  <c r="AK84" i="80" s="1"/>
  <c r="Z84" i="80"/>
  <c r="AL84" i="80" s="1"/>
  <c r="AA84" i="80"/>
  <c r="AM84" i="80" s="1"/>
  <c r="AB84" i="80"/>
  <c r="AN84" i="80" s="1"/>
  <c r="AC84" i="80"/>
  <c r="AO84" i="80" s="1"/>
  <c r="AD84" i="80"/>
  <c r="AP84" i="80" s="1"/>
  <c r="U85" i="80"/>
  <c r="AG85" i="80" s="1"/>
  <c r="V85" i="80"/>
  <c r="AH85" i="80" s="1"/>
  <c r="W85" i="80"/>
  <c r="AI85" i="80" s="1"/>
  <c r="X85" i="80"/>
  <c r="AJ85" i="80" s="1"/>
  <c r="Y85" i="80"/>
  <c r="AK85" i="80" s="1"/>
  <c r="Z85" i="80"/>
  <c r="AL85" i="80" s="1"/>
  <c r="AA85" i="80"/>
  <c r="AM85" i="80" s="1"/>
  <c r="AB85" i="80"/>
  <c r="AN85" i="80" s="1"/>
  <c r="AC85" i="80"/>
  <c r="AO85" i="80" s="1"/>
  <c r="AD85" i="80"/>
  <c r="AP85" i="80" s="1"/>
  <c r="U86" i="80"/>
  <c r="AG86" i="80" s="1"/>
  <c r="V86" i="80"/>
  <c r="AH86" i="80" s="1"/>
  <c r="W86" i="80"/>
  <c r="AI86" i="80" s="1"/>
  <c r="X86" i="80"/>
  <c r="AJ86" i="80" s="1"/>
  <c r="Y86" i="80"/>
  <c r="AK86" i="80" s="1"/>
  <c r="Z86" i="80"/>
  <c r="AL86" i="80" s="1"/>
  <c r="AA86" i="80"/>
  <c r="AM86" i="80" s="1"/>
  <c r="AB86" i="80"/>
  <c r="AN86" i="80" s="1"/>
  <c r="AC86" i="80"/>
  <c r="AO86" i="80" s="1"/>
  <c r="AD86" i="80"/>
  <c r="AP86" i="80" s="1"/>
  <c r="U87" i="80"/>
  <c r="AG87" i="80" s="1"/>
  <c r="V87" i="80"/>
  <c r="AH87" i="80" s="1"/>
  <c r="W87" i="80"/>
  <c r="AI87" i="80" s="1"/>
  <c r="X87" i="80"/>
  <c r="AJ87" i="80" s="1"/>
  <c r="Y87" i="80"/>
  <c r="AK87" i="80" s="1"/>
  <c r="Z87" i="80"/>
  <c r="AL87" i="80" s="1"/>
  <c r="AA87" i="80"/>
  <c r="AM87" i="80" s="1"/>
  <c r="AB87" i="80"/>
  <c r="AN87" i="80" s="1"/>
  <c r="AC87" i="80"/>
  <c r="AO87" i="80" s="1"/>
  <c r="AD87" i="80"/>
  <c r="AP87" i="80" s="1"/>
  <c r="U88" i="80"/>
  <c r="AG88" i="80" s="1"/>
  <c r="V88" i="80"/>
  <c r="AH88" i="80" s="1"/>
  <c r="W88" i="80"/>
  <c r="AI88" i="80" s="1"/>
  <c r="X88" i="80"/>
  <c r="AJ88" i="80" s="1"/>
  <c r="Y88" i="80"/>
  <c r="AK88" i="80" s="1"/>
  <c r="Z88" i="80"/>
  <c r="AL88" i="80" s="1"/>
  <c r="AA88" i="80"/>
  <c r="AM88" i="80" s="1"/>
  <c r="AB88" i="80"/>
  <c r="AN88" i="80" s="1"/>
  <c r="AC88" i="80"/>
  <c r="AO88" i="80" s="1"/>
  <c r="AD88" i="80"/>
  <c r="AP88" i="80" s="1"/>
  <c r="U89" i="80"/>
  <c r="AG89" i="80" s="1"/>
  <c r="V89" i="80"/>
  <c r="AH89" i="80" s="1"/>
  <c r="W89" i="80"/>
  <c r="AI89" i="80" s="1"/>
  <c r="X89" i="80"/>
  <c r="AJ89" i="80" s="1"/>
  <c r="Y89" i="80"/>
  <c r="AK89" i="80" s="1"/>
  <c r="Z89" i="80"/>
  <c r="AL89" i="80" s="1"/>
  <c r="AA89" i="80"/>
  <c r="AM89" i="80" s="1"/>
  <c r="AB89" i="80"/>
  <c r="AN89" i="80" s="1"/>
  <c r="AC89" i="80"/>
  <c r="AO89" i="80" s="1"/>
  <c r="AD89" i="80"/>
  <c r="AP89" i="80" s="1"/>
  <c r="U90" i="80"/>
  <c r="AG90" i="80" s="1"/>
  <c r="V90" i="80"/>
  <c r="AH90" i="80" s="1"/>
  <c r="W90" i="80"/>
  <c r="AI90" i="80" s="1"/>
  <c r="X90" i="80"/>
  <c r="AJ90" i="80" s="1"/>
  <c r="Y90" i="80"/>
  <c r="AK90" i="80" s="1"/>
  <c r="Z90" i="80"/>
  <c r="AL90" i="80" s="1"/>
  <c r="AA90" i="80"/>
  <c r="AM90" i="80" s="1"/>
  <c r="AB90" i="80"/>
  <c r="AN90" i="80" s="1"/>
  <c r="AC90" i="80"/>
  <c r="AO90" i="80" s="1"/>
  <c r="AD90" i="80"/>
  <c r="AP90" i="80" s="1"/>
  <c r="U91" i="80"/>
  <c r="AG91" i="80" s="1"/>
  <c r="V91" i="80"/>
  <c r="AH91" i="80" s="1"/>
  <c r="W91" i="80"/>
  <c r="AI91" i="80" s="1"/>
  <c r="X91" i="80"/>
  <c r="AJ91" i="80" s="1"/>
  <c r="Y91" i="80"/>
  <c r="AK91" i="80" s="1"/>
  <c r="Z91" i="80"/>
  <c r="AL91" i="80" s="1"/>
  <c r="AA91" i="80"/>
  <c r="AM91" i="80" s="1"/>
  <c r="AB91" i="80"/>
  <c r="AN91" i="80" s="1"/>
  <c r="AC91" i="80"/>
  <c r="AO91" i="80" s="1"/>
  <c r="AD91" i="80"/>
  <c r="AP91" i="80" s="1"/>
  <c r="U92" i="80"/>
  <c r="AG92" i="80" s="1"/>
  <c r="V92" i="80"/>
  <c r="AH92" i="80" s="1"/>
  <c r="W92" i="80"/>
  <c r="AI92" i="80" s="1"/>
  <c r="X92" i="80"/>
  <c r="AJ92" i="80" s="1"/>
  <c r="Y92" i="80"/>
  <c r="AK92" i="80" s="1"/>
  <c r="Z92" i="80"/>
  <c r="AL92" i="80" s="1"/>
  <c r="AA92" i="80"/>
  <c r="AM92" i="80" s="1"/>
  <c r="AB92" i="80"/>
  <c r="AN92" i="80" s="1"/>
  <c r="AC92" i="80"/>
  <c r="AO92" i="80" s="1"/>
  <c r="AD92" i="80"/>
  <c r="AP92" i="80" s="1"/>
  <c r="U93" i="80"/>
  <c r="AG93" i="80" s="1"/>
  <c r="V93" i="80"/>
  <c r="AH93" i="80" s="1"/>
  <c r="W93" i="80"/>
  <c r="AI93" i="80" s="1"/>
  <c r="X93" i="80"/>
  <c r="AJ93" i="80" s="1"/>
  <c r="Y93" i="80"/>
  <c r="AK93" i="80" s="1"/>
  <c r="Z93" i="80"/>
  <c r="AL93" i="80" s="1"/>
  <c r="AA93" i="80"/>
  <c r="AM93" i="80" s="1"/>
  <c r="AB93" i="80"/>
  <c r="AN93" i="80" s="1"/>
  <c r="AC93" i="80"/>
  <c r="AO93" i="80" s="1"/>
  <c r="AD93" i="80"/>
  <c r="AP93" i="80" s="1"/>
  <c r="U94" i="80"/>
  <c r="AG94" i="80" s="1"/>
  <c r="V94" i="80"/>
  <c r="AH94" i="80" s="1"/>
  <c r="W94" i="80"/>
  <c r="AI94" i="80" s="1"/>
  <c r="X94" i="80"/>
  <c r="AJ94" i="80" s="1"/>
  <c r="Y94" i="80"/>
  <c r="AK94" i="80" s="1"/>
  <c r="Z94" i="80"/>
  <c r="AL94" i="80" s="1"/>
  <c r="AA94" i="80"/>
  <c r="AM94" i="80" s="1"/>
  <c r="AB94" i="80"/>
  <c r="AN94" i="80" s="1"/>
  <c r="AC94" i="80"/>
  <c r="AO94" i="80" s="1"/>
  <c r="AD94" i="80"/>
  <c r="AP94" i="80" s="1"/>
  <c r="U95" i="80"/>
  <c r="AG95" i="80" s="1"/>
  <c r="V95" i="80"/>
  <c r="AH95" i="80" s="1"/>
  <c r="W95" i="80"/>
  <c r="AI95" i="80" s="1"/>
  <c r="X95" i="80"/>
  <c r="AJ95" i="80" s="1"/>
  <c r="Y95" i="80"/>
  <c r="AK95" i="80" s="1"/>
  <c r="Z95" i="80"/>
  <c r="AL95" i="80" s="1"/>
  <c r="AA95" i="80"/>
  <c r="AM95" i="80" s="1"/>
  <c r="AB95" i="80"/>
  <c r="AN95" i="80" s="1"/>
  <c r="AC95" i="80"/>
  <c r="AO95" i="80" s="1"/>
  <c r="AD95" i="80"/>
  <c r="AP95" i="80" s="1"/>
  <c r="U96" i="80"/>
  <c r="AG96" i="80" s="1"/>
  <c r="V96" i="80"/>
  <c r="AH96" i="80" s="1"/>
  <c r="W96" i="80"/>
  <c r="AI96" i="80" s="1"/>
  <c r="X96" i="80"/>
  <c r="AJ96" i="80" s="1"/>
  <c r="Y96" i="80"/>
  <c r="AK96" i="80" s="1"/>
  <c r="Z96" i="80"/>
  <c r="AL96" i="80" s="1"/>
  <c r="AA96" i="80"/>
  <c r="AM96" i="80" s="1"/>
  <c r="AB96" i="80"/>
  <c r="AN96" i="80" s="1"/>
  <c r="AC96" i="80"/>
  <c r="AO96" i="80" s="1"/>
  <c r="AD96" i="80"/>
  <c r="AP96" i="80" s="1"/>
  <c r="U97" i="80"/>
  <c r="U145" i="80" s="1"/>
  <c r="V97" i="80"/>
  <c r="V145" i="80" s="1"/>
  <c r="W97" i="80"/>
  <c r="W145" i="80" s="1"/>
  <c r="X97" i="80"/>
  <c r="X145" i="80" s="1"/>
  <c r="Y97" i="80"/>
  <c r="Y145" i="80" s="1"/>
  <c r="Z97" i="80"/>
  <c r="Z145" i="80" s="1"/>
  <c r="AA97" i="80"/>
  <c r="AA145" i="80" s="1"/>
  <c r="AB97" i="80"/>
  <c r="AB145" i="80" s="1"/>
  <c r="AC97" i="80"/>
  <c r="AC145" i="80" s="1"/>
  <c r="AD97" i="80"/>
  <c r="AD145" i="80" s="1"/>
  <c r="AE145" i="80"/>
  <c r="U98" i="80"/>
  <c r="U146" i="80" s="1"/>
  <c r="V98" i="80"/>
  <c r="V146" i="80" s="1"/>
  <c r="W98" i="80"/>
  <c r="W146" i="80" s="1"/>
  <c r="X98" i="80"/>
  <c r="X146" i="80" s="1"/>
  <c r="Y98" i="80"/>
  <c r="Y146" i="80" s="1"/>
  <c r="Z98" i="80"/>
  <c r="Z146" i="80" s="1"/>
  <c r="AA98" i="80"/>
  <c r="AA146" i="80" s="1"/>
  <c r="AB98" i="80"/>
  <c r="AB146" i="80" s="1"/>
  <c r="AC98" i="80"/>
  <c r="AC146" i="80" s="1"/>
  <c r="AD98" i="80"/>
  <c r="AD146" i="80" s="1"/>
  <c r="AE146" i="80"/>
  <c r="V58" i="80"/>
  <c r="AH58" i="80" s="1"/>
  <c r="W58" i="80"/>
  <c r="X58" i="80"/>
  <c r="Y58" i="80"/>
  <c r="AK58" i="80" s="1"/>
  <c r="Z58" i="80"/>
  <c r="AL58" i="80" s="1"/>
  <c r="AA58" i="80"/>
  <c r="AB58" i="80"/>
  <c r="AC58" i="80"/>
  <c r="AO58" i="80" s="1"/>
  <c r="AD58" i="80"/>
  <c r="AP58" i="80" s="1"/>
  <c r="U58" i="80"/>
  <c r="U99" i="80" l="1"/>
  <c r="X99" i="80"/>
  <c r="AA99" i="80"/>
  <c r="W99" i="80"/>
  <c r="AB99" i="80"/>
  <c r="AG58" i="80"/>
  <c r="AN58" i="80"/>
  <c r="AJ58" i="80"/>
  <c r="AP98" i="80"/>
  <c r="AP146" i="80" s="1"/>
  <c r="AL98" i="80"/>
  <c r="AL146" i="80" s="1"/>
  <c r="AH98" i="80"/>
  <c r="AH146" i="80" s="1"/>
  <c r="AO97" i="80"/>
  <c r="AO145" i="80" s="1"/>
  <c r="AK97" i="80"/>
  <c r="AK145" i="80" s="1"/>
  <c r="AG97" i="80"/>
  <c r="AG145" i="80" s="1"/>
  <c r="AM98" i="80"/>
  <c r="AM146" i="80" s="1"/>
  <c r="AI98" i="80"/>
  <c r="AI146" i="80" s="1"/>
  <c r="AP97" i="80"/>
  <c r="AP145" i="80" s="1"/>
  <c r="AL97" i="80"/>
  <c r="AL145" i="80" s="1"/>
  <c r="AH97" i="80"/>
  <c r="AH145" i="80" s="1"/>
  <c r="AG109" i="80"/>
  <c r="U109" i="80"/>
  <c r="AD99" i="80"/>
  <c r="AM58" i="80"/>
  <c r="AI58" i="80"/>
  <c r="AO98" i="80"/>
  <c r="AO146" i="80" s="1"/>
  <c r="AK98" i="80"/>
  <c r="AK146" i="80" s="1"/>
  <c r="AG98" i="80"/>
  <c r="AG146" i="80" s="1"/>
  <c r="AN97" i="80"/>
  <c r="AN145" i="80" s="1"/>
  <c r="AJ97" i="80"/>
  <c r="AJ145" i="80" s="1"/>
  <c r="AC99" i="80"/>
  <c r="Y99" i="80"/>
  <c r="Z99" i="80"/>
  <c r="V99" i="80"/>
  <c r="AN98" i="80"/>
  <c r="AN146" i="80" s="1"/>
  <c r="AJ98" i="80"/>
  <c r="AJ146" i="80" s="1"/>
  <c r="AM97" i="80"/>
  <c r="AM145" i="80" s="1"/>
  <c r="AI97" i="80"/>
  <c r="AI145" i="80" s="1"/>
  <c r="Y6" i="91"/>
  <c r="Y7" i="91"/>
  <c r="Y8" i="91"/>
  <c r="Y9" i="91"/>
  <c r="Y10" i="91"/>
  <c r="Y11" i="91"/>
  <c r="Y12" i="91"/>
  <c r="Y13" i="91"/>
  <c r="Y14" i="91"/>
  <c r="Y15" i="91"/>
  <c r="Y16" i="91"/>
  <c r="Y17" i="91"/>
  <c r="Y18" i="91"/>
  <c r="Y19" i="91"/>
  <c r="Y20" i="91"/>
  <c r="Y21" i="91"/>
  <c r="Y22" i="91"/>
  <c r="Y23" i="91"/>
  <c r="Y24" i="91"/>
  <c r="Y25" i="91"/>
  <c r="Y26" i="91"/>
  <c r="Y27" i="91"/>
  <c r="Y28" i="91"/>
  <c r="Y29" i="91"/>
  <c r="Y30" i="91"/>
  <c r="Y31" i="91"/>
  <c r="Y32" i="91"/>
  <c r="Y33" i="91"/>
  <c r="Y34" i="91"/>
  <c r="Y35" i="91"/>
  <c r="Y36" i="91"/>
  <c r="Y37" i="91"/>
  <c r="Y38" i="91"/>
  <c r="Y39" i="91"/>
  <c r="Y40" i="91"/>
  <c r="Y41" i="91"/>
  <c r="Y42" i="91"/>
  <c r="Y43" i="91"/>
  <c r="Y44" i="91"/>
  <c r="Y46" i="91"/>
  <c r="Y5" i="91"/>
  <c r="AM99" i="80" l="1"/>
  <c r="AM101" i="80" s="1"/>
  <c r="AM102" i="80" s="1"/>
  <c r="AH99" i="80"/>
  <c r="AH101" i="80" s="1"/>
  <c r="AH102" i="80" s="1"/>
  <c r="AL99" i="80"/>
  <c r="AL101" i="80" s="1"/>
  <c r="AL102" i="80" s="1"/>
  <c r="AP99" i="80"/>
  <c r="AJ99" i="80"/>
  <c r="AJ101" i="80" s="1"/>
  <c r="AJ102" i="80" s="1"/>
  <c r="AG99" i="80"/>
  <c r="AO99" i="80"/>
  <c r="AI99" i="80"/>
  <c r="AI101" i="80" s="1"/>
  <c r="AI102" i="80" s="1"/>
  <c r="AN99" i="80"/>
  <c r="AN101" i="80" s="1"/>
  <c r="AN102" i="80" s="1"/>
  <c r="AK99" i="80"/>
  <c r="AK101" i="80" s="1"/>
  <c r="AK102" i="80" s="1"/>
  <c r="Z50" i="54"/>
  <c r="Z47" i="54" l="1"/>
  <c r="AB14" i="2" l="1"/>
  <c r="AA43" i="91" l="1"/>
  <c r="AA44" i="91"/>
  <c r="AA46" i="91"/>
  <c r="AA47" i="91"/>
  <c r="AC46" i="91"/>
  <c r="AC6" i="91"/>
  <c r="AC7" i="91"/>
  <c r="AC8" i="91"/>
  <c r="AC9" i="91"/>
  <c r="AC10" i="91"/>
  <c r="AC11" i="91"/>
  <c r="AC12" i="91"/>
  <c r="AC13" i="91"/>
  <c r="AC14" i="91"/>
  <c r="AC15" i="91"/>
  <c r="AC16" i="91"/>
  <c r="AC17" i="91"/>
  <c r="AC18" i="91"/>
  <c r="AC19" i="91"/>
  <c r="AC20" i="91"/>
  <c r="AC21" i="91"/>
  <c r="AC22" i="91"/>
  <c r="AC23" i="91"/>
  <c r="AC24" i="91"/>
  <c r="AC25" i="91"/>
  <c r="AC26" i="91"/>
  <c r="AC27" i="91"/>
  <c r="AC28" i="91"/>
  <c r="AC29" i="91"/>
  <c r="AC30" i="91"/>
  <c r="AC31" i="91"/>
  <c r="AC32" i="91"/>
  <c r="AC33" i="91"/>
  <c r="AC34" i="91"/>
  <c r="AC35" i="91"/>
  <c r="AC36" i="91"/>
  <c r="AC37" i="91"/>
  <c r="AC38" i="91"/>
  <c r="AC39" i="91"/>
  <c r="AC40" i="91"/>
  <c r="AC41" i="91"/>
  <c r="AC42" i="91"/>
  <c r="AC43" i="91"/>
  <c r="AC44" i="91"/>
  <c r="AC5" i="91"/>
  <c r="AE6" i="91"/>
  <c r="AE7" i="91"/>
  <c r="AE8" i="91"/>
  <c r="AE9" i="91"/>
  <c r="AE10" i="91"/>
  <c r="AE11" i="91"/>
  <c r="AE12" i="91"/>
  <c r="AE13" i="91"/>
  <c r="AE14" i="91"/>
  <c r="AE15" i="91"/>
  <c r="AE16" i="91"/>
  <c r="AE17" i="91"/>
  <c r="AE18" i="91"/>
  <c r="AE19" i="91"/>
  <c r="AE20" i="91"/>
  <c r="AE21" i="91"/>
  <c r="AE22" i="91"/>
  <c r="AE23" i="91"/>
  <c r="AE24" i="91"/>
  <c r="AE25" i="91"/>
  <c r="AE26" i="91"/>
  <c r="AE27" i="91"/>
  <c r="AE28" i="91"/>
  <c r="AE29" i="91"/>
  <c r="AE30" i="91"/>
  <c r="AE31" i="91"/>
  <c r="AE32" i="91"/>
  <c r="AE33" i="91"/>
  <c r="AE34" i="91"/>
  <c r="AE35" i="91"/>
  <c r="AE36" i="91"/>
  <c r="AE37" i="91"/>
  <c r="AE38" i="91"/>
  <c r="AE39" i="91"/>
  <c r="AE40" i="91"/>
  <c r="AE41" i="91"/>
  <c r="AE42" i="91"/>
  <c r="AE43" i="91"/>
  <c r="AE44" i="91"/>
  <c r="AE45" i="91"/>
  <c r="AE5" i="91"/>
  <c r="X45" i="91"/>
  <c r="W45" i="91"/>
  <c r="U45" i="91"/>
  <c r="V45" i="91"/>
  <c r="T63" i="91"/>
  <c r="U52" i="79"/>
  <c r="S50" i="79"/>
  <c r="S49" i="79"/>
  <c r="S48" i="79"/>
  <c r="S47" i="79"/>
  <c r="U46" i="79" s="1"/>
  <c r="S41" i="79"/>
  <c r="S40" i="79"/>
  <c r="S39" i="79"/>
  <c r="S38" i="79"/>
  <c r="S33" i="79"/>
  <c r="S32" i="79"/>
  <c r="T28" i="79" s="1"/>
  <c r="S31" i="79"/>
  <c r="S30" i="79"/>
  <c r="T26" i="79" s="1"/>
  <c r="S25" i="79"/>
  <c r="S24" i="79"/>
  <c r="S23" i="79"/>
  <c r="S22" i="79"/>
  <c r="S20" i="79"/>
  <c r="S19" i="79"/>
  <c r="S18" i="79"/>
  <c r="S12" i="79"/>
  <c r="S11" i="79"/>
  <c r="S10" i="79"/>
  <c r="S8" i="79"/>
  <c r="S7" i="79"/>
  <c r="S6" i="79"/>
  <c r="T7" i="79" l="1"/>
  <c r="T8" i="79"/>
  <c r="T23" i="79"/>
  <c r="T27" i="79"/>
  <c r="U27" i="79" s="1"/>
  <c r="T31" i="79"/>
  <c r="T48" i="79"/>
  <c r="T19" i="79"/>
  <c r="T39" i="79"/>
  <c r="T6" i="79"/>
  <c r="T11" i="79"/>
  <c r="AC45" i="91"/>
  <c r="AD14" i="91" s="1"/>
  <c r="AA45" i="91"/>
  <c r="AB38" i="91" s="1"/>
  <c r="Y45" i="91"/>
  <c r="U39" i="79"/>
  <c r="U48" i="79"/>
  <c r="U47" i="79"/>
  <c r="U7" i="79" l="1"/>
  <c r="AD16" i="91"/>
  <c r="AD32" i="91"/>
  <c r="AD24" i="91"/>
  <c r="AD40" i="91"/>
  <c r="AB12" i="91"/>
  <c r="AD45" i="91"/>
  <c r="AD12" i="91"/>
  <c r="AD15" i="91"/>
  <c r="AD20" i="91"/>
  <c r="AD28" i="91"/>
  <c r="AD36" i="91"/>
  <c r="AD44" i="91"/>
  <c r="AD11" i="91"/>
  <c r="AD29" i="91"/>
  <c r="AD31" i="91"/>
  <c r="AD41" i="91"/>
  <c r="AD25" i="91"/>
  <c r="AB28" i="91"/>
  <c r="AD8" i="91"/>
  <c r="AD35" i="91"/>
  <c r="AB44" i="91"/>
  <c r="AD19" i="91"/>
  <c r="AD13" i="91"/>
  <c r="AD18" i="91"/>
  <c r="AD22" i="91"/>
  <c r="AD26" i="91"/>
  <c r="AD30" i="91"/>
  <c r="AD34" i="91"/>
  <c r="AD38" i="91"/>
  <c r="AD42" i="91"/>
  <c r="AD5" i="91"/>
  <c r="AB20" i="91"/>
  <c r="AB36" i="91"/>
  <c r="AD7" i="91"/>
  <c r="AD9" i="91"/>
  <c r="AD37" i="91"/>
  <c r="AD21" i="91"/>
  <c r="AD39" i="91"/>
  <c r="AD23" i="91"/>
  <c r="AD6" i="91"/>
  <c r="AD33" i="91"/>
  <c r="AD17" i="91"/>
  <c r="AD43" i="91"/>
  <c r="AD27" i="91"/>
  <c r="AD10" i="91"/>
  <c r="AB14" i="91"/>
  <c r="AB22" i="91"/>
  <c r="AB30" i="91"/>
  <c r="AB5" i="91"/>
  <c r="AB21" i="91"/>
  <c r="AB37" i="91"/>
  <c r="AB45" i="91"/>
  <c r="AB11" i="91"/>
  <c r="AB27" i="91"/>
  <c r="AB17" i="91"/>
  <c r="AB33" i="91"/>
  <c r="AB7" i="91"/>
  <c r="AB23" i="91"/>
  <c r="AB39" i="91"/>
  <c r="AB13" i="91"/>
  <c r="AB29" i="91"/>
  <c r="AB6" i="91"/>
  <c r="AB19" i="91"/>
  <c r="AB35" i="91"/>
  <c r="AB9" i="91"/>
  <c r="AB25" i="91"/>
  <c r="AB41" i="91"/>
  <c r="AB15" i="91"/>
  <c r="AB31" i="91"/>
  <c r="AB43" i="91"/>
  <c r="AB10" i="91"/>
  <c r="AB18" i="91"/>
  <c r="AB26" i="91"/>
  <c r="AB34" i="91"/>
  <c r="AB42" i="91"/>
  <c r="AB8" i="91"/>
  <c r="AB16" i="91"/>
  <c r="AB24" i="91"/>
  <c r="AB32" i="91"/>
  <c r="AB40" i="91"/>
  <c r="AB92" i="1"/>
  <c r="AA92" i="1" l="1"/>
  <c r="AB94" i="1"/>
  <c r="AB93" i="1"/>
  <c r="L13" i="91"/>
  <c r="Z83" i="1"/>
  <c r="K72" i="79"/>
  <c r="K52" i="79"/>
  <c r="AB98" i="1" l="1"/>
  <c r="AB96" i="1"/>
  <c r="Z2" i="1"/>
  <c r="AA2" i="1"/>
  <c r="AB99" i="1" l="1"/>
  <c r="K10" i="91"/>
  <c r="K11" i="91"/>
  <c r="K12" i="91"/>
  <c r="K13" i="91"/>
  <c r="K14" i="91"/>
  <c r="K15" i="91"/>
  <c r="K16" i="91"/>
  <c r="K17" i="91"/>
  <c r="K18" i="91"/>
  <c r="K19" i="91"/>
  <c r="K20" i="91"/>
  <c r="K21" i="91"/>
  <c r="K22" i="91"/>
  <c r="K23" i="91"/>
  <c r="K24" i="91"/>
  <c r="K25" i="91"/>
  <c r="K26" i="91"/>
  <c r="K27" i="91"/>
  <c r="K28" i="91"/>
  <c r="K29" i="91"/>
  <c r="K30" i="91"/>
  <c r="K31" i="91"/>
  <c r="K32" i="91"/>
  <c r="K33" i="91"/>
  <c r="K34" i="91"/>
  <c r="K35" i="91"/>
  <c r="K36" i="91"/>
  <c r="K37" i="91"/>
  <c r="K38" i="91"/>
  <c r="K39" i="91"/>
  <c r="K40" i="91"/>
  <c r="K41" i="91"/>
  <c r="K42" i="91"/>
  <c r="K43" i="91"/>
  <c r="K44" i="91"/>
  <c r="K45" i="91"/>
  <c r="K46" i="91"/>
  <c r="K9" i="91"/>
  <c r="F20" i="6" l="1"/>
  <c r="F21" i="6"/>
  <c r="F22" i="6"/>
  <c r="F23" i="6"/>
  <c r="E21" i="5"/>
  <c r="S54" i="39" l="1"/>
  <c r="R54" i="39"/>
  <c r="Q54" i="39"/>
  <c r="P54" i="39"/>
  <c r="H99" i="91" l="1"/>
  <c r="H100" i="91"/>
  <c r="H101" i="91"/>
  <c r="H102" i="91"/>
  <c r="H103" i="91"/>
  <c r="H104" i="91"/>
  <c r="H105" i="91"/>
  <c r="H106" i="91"/>
  <c r="H107" i="91"/>
  <c r="H108" i="91"/>
  <c r="H109" i="91"/>
  <c r="H110" i="91"/>
  <c r="H111" i="91"/>
  <c r="H112" i="91"/>
  <c r="H113" i="91"/>
  <c r="H114" i="91"/>
  <c r="H115" i="91"/>
  <c r="H116" i="91"/>
  <c r="H117" i="91"/>
  <c r="H118" i="91"/>
  <c r="H119" i="91"/>
  <c r="H120" i="91"/>
  <c r="H121" i="91"/>
  <c r="H122" i="91"/>
  <c r="H123" i="91"/>
  <c r="H124" i="91"/>
  <c r="H125" i="91"/>
  <c r="H126" i="91"/>
  <c r="H127" i="91"/>
  <c r="H128" i="91"/>
  <c r="H129" i="91"/>
  <c r="H130" i="91"/>
  <c r="H131" i="91"/>
  <c r="H132" i="91"/>
  <c r="H133" i="91"/>
  <c r="H134" i="91"/>
  <c r="H135" i="91"/>
  <c r="H136" i="91"/>
  <c r="L138" i="91" s="1"/>
  <c r="H98" i="91"/>
  <c r="F98" i="91"/>
  <c r="F99" i="91"/>
  <c r="I99" i="91" s="1"/>
  <c r="F100" i="91"/>
  <c r="I100" i="91" s="1"/>
  <c r="F101" i="91"/>
  <c r="I101" i="91" s="1"/>
  <c r="F102" i="91"/>
  <c r="I102" i="91" s="1"/>
  <c r="F103" i="91"/>
  <c r="I103" i="91" s="1"/>
  <c r="F104" i="91"/>
  <c r="I104" i="91" s="1"/>
  <c r="F105" i="91"/>
  <c r="I105" i="91" s="1"/>
  <c r="F106" i="91"/>
  <c r="I106" i="91" s="1"/>
  <c r="F107" i="91"/>
  <c r="F108" i="91"/>
  <c r="F109" i="91"/>
  <c r="F110" i="91"/>
  <c r="F111" i="91"/>
  <c r="F112" i="91"/>
  <c r="F113" i="91"/>
  <c r="F114" i="91"/>
  <c r="F115" i="91"/>
  <c r="I115" i="91" s="1"/>
  <c r="F116" i="91"/>
  <c r="I116" i="91" s="1"/>
  <c r="F117" i="91"/>
  <c r="I117" i="91" s="1"/>
  <c r="F118" i="91"/>
  <c r="I118" i="91" s="1"/>
  <c r="F119" i="91"/>
  <c r="I119" i="91" s="1"/>
  <c r="F120" i="91"/>
  <c r="I120" i="91" s="1"/>
  <c r="F121" i="91"/>
  <c r="I121" i="91" s="1"/>
  <c r="F122" i="91"/>
  <c r="I122" i="91" s="1"/>
  <c r="F123" i="91"/>
  <c r="F124" i="91"/>
  <c r="F125" i="91"/>
  <c r="F126" i="91"/>
  <c r="F127" i="91"/>
  <c r="F128" i="91"/>
  <c r="F129" i="91"/>
  <c r="F130" i="91"/>
  <c r="F131" i="91"/>
  <c r="I131" i="91" s="1"/>
  <c r="F132" i="91"/>
  <c r="I132" i="91" s="1"/>
  <c r="F133" i="91"/>
  <c r="I133" i="91" s="1"/>
  <c r="F134" i="91"/>
  <c r="I134" i="91" s="1"/>
  <c r="F135" i="91"/>
  <c r="I135" i="91" s="1"/>
  <c r="F136" i="91"/>
  <c r="G136" i="91"/>
  <c r="K102" i="91" s="1"/>
  <c r="M4" i="91"/>
  <c r="M5" i="91"/>
  <c r="M6" i="91"/>
  <c r="M7" i="91"/>
  <c r="L4" i="91"/>
  <c r="L5" i="91"/>
  <c r="L6" i="91"/>
  <c r="I55" i="91"/>
  <c r="I56" i="91"/>
  <c r="I57" i="91"/>
  <c r="I58" i="91"/>
  <c r="I59" i="91"/>
  <c r="I60" i="91"/>
  <c r="I61" i="91"/>
  <c r="I62" i="91"/>
  <c r="I63" i="91"/>
  <c r="I64" i="91"/>
  <c r="I65" i="91"/>
  <c r="I66" i="91"/>
  <c r="I67" i="91"/>
  <c r="I68" i="91"/>
  <c r="I69" i="91"/>
  <c r="I70" i="91"/>
  <c r="I71" i="91"/>
  <c r="I72" i="91"/>
  <c r="I73" i="91"/>
  <c r="I74" i="91"/>
  <c r="I75" i="91"/>
  <c r="I76" i="91"/>
  <c r="I77" i="91"/>
  <c r="I78" i="91"/>
  <c r="I79" i="91"/>
  <c r="I80" i="91"/>
  <c r="I81" i="91"/>
  <c r="I82" i="91"/>
  <c r="I83" i="91"/>
  <c r="I84" i="91"/>
  <c r="I85" i="91"/>
  <c r="I86" i="91"/>
  <c r="I87" i="91"/>
  <c r="I88" i="91"/>
  <c r="I89" i="91"/>
  <c r="I90" i="91"/>
  <c r="I91" i="91"/>
  <c r="I92" i="91"/>
  <c r="I93" i="91"/>
  <c r="L93" i="91" s="1"/>
  <c r="I94" i="91"/>
  <c r="I95" i="91"/>
  <c r="H55" i="91"/>
  <c r="H56" i="91"/>
  <c r="H57" i="91"/>
  <c r="H58" i="91"/>
  <c r="H59" i="91"/>
  <c r="H60" i="91"/>
  <c r="H61" i="91"/>
  <c r="H62" i="91"/>
  <c r="H63" i="91"/>
  <c r="H64" i="91"/>
  <c r="H65" i="91"/>
  <c r="H66" i="91"/>
  <c r="H67" i="91"/>
  <c r="H68" i="91"/>
  <c r="H69" i="91"/>
  <c r="H70" i="91"/>
  <c r="H71" i="91"/>
  <c r="H72" i="91"/>
  <c r="H73" i="91"/>
  <c r="H74" i="91"/>
  <c r="H75" i="91"/>
  <c r="H76" i="91"/>
  <c r="H77" i="91"/>
  <c r="H78" i="91"/>
  <c r="H79" i="91"/>
  <c r="H80" i="91"/>
  <c r="H81" i="91"/>
  <c r="H82" i="91"/>
  <c r="H83" i="91"/>
  <c r="H84" i="91"/>
  <c r="H85" i="91"/>
  <c r="H86" i="91"/>
  <c r="H87" i="91"/>
  <c r="H88" i="91"/>
  <c r="H89" i="91"/>
  <c r="H90" i="91"/>
  <c r="H91" i="91"/>
  <c r="H92" i="91"/>
  <c r="H93" i="91"/>
  <c r="H94" i="91"/>
  <c r="H95" i="91"/>
  <c r="E15" i="3"/>
  <c r="M8" i="91"/>
  <c r="M9" i="91"/>
  <c r="M10" i="91"/>
  <c r="M11" i="91"/>
  <c r="M12" i="91"/>
  <c r="M13" i="91"/>
  <c r="M14" i="91"/>
  <c r="M15" i="91"/>
  <c r="M16" i="91"/>
  <c r="M17" i="91"/>
  <c r="M18" i="91"/>
  <c r="M19" i="91"/>
  <c r="M20" i="91"/>
  <c r="M21" i="91"/>
  <c r="M22" i="91"/>
  <c r="M23" i="91"/>
  <c r="M24" i="91"/>
  <c r="M25" i="91"/>
  <c r="M26" i="91"/>
  <c r="M27" i="91"/>
  <c r="M28" i="91"/>
  <c r="M29" i="91"/>
  <c r="M30" i="91"/>
  <c r="M31" i="91"/>
  <c r="M32" i="91"/>
  <c r="M33" i="91"/>
  <c r="M34" i="91"/>
  <c r="M35" i="91"/>
  <c r="M36" i="91"/>
  <c r="M37" i="91"/>
  <c r="M38" i="91"/>
  <c r="M39" i="91"/>
  <c r="M40" i="91"/>
  <c r="M41" i="91"/>
  <c r="M42" i="91"/>
  <c r="M43" i="91"/>
  <c r="M44" i="91"/>
  <c r="M45" i="91"/>
  <c r="M46" i="91"/>
  <c r="M47" i="91"/>
  <c r="L7" i="91"/>
  <c r="L8" i="91"/>
  <c r="L9" i="91"/>
  <c r="L10" i="91"/>
  <c r="L11" i="91"/>
  <c r="L12" i="91"/>
  <c r="L14" i="91"/>
  <c r="L15" i="91"/>
  <c r="L16" i="91"/>
  <c r="L17" i="91"/>
  <c r="L18" i="91"/>
  <c r="L19" i="91"/>
  <c r="L20" i="91"/>
  <c r="L21" i="91"/>
  <c r="L22" i="91"/>
  <c r="L23" i="91"/>
  <c r="L24" i="91"/>
  <c r="L25" i="91"/>
  <c r="L26" i="91"/>
  <c r="L27" i="91"/>
  <c r="L28" i="91"/>
  <c r="L29" i="91"/>
  <c r="L30" i="91"/>
  <c r="L31" i="91"/>
  <c r="L32" i="91"/>
  <c r="L33" i="91"/>
  <c r="L34" i="91"/>
  <c r="L35" i="91"/>
  <c r="L36" i="91"/>
  <c r="L37" i="91"/>
  <c r="L38" i="91"/>
  <c r="L39" i="91"/>
  <c r="L40" i="91"/>
  <c r="L41" i="91"/>
  <c r="L42" i="91"/>
  <c r="L43" i="91"/>
  <c r="L44" i="91"/>
  <c r="L45" i="91"/>
  <c r="L46" i="91"/>
  <c r="L47" i="91"/>
  <c r="J47" i="91"/>
  <c r="K47" i="91" s="1"/>
  <c r="F138" i="91"/>
  <c r="G95" i="91"/>
  <c r="D47" i="91"/>
  <c r="D49" i="91" s="1"/>
  <c r="E47" i="91"/>
  <c r="E49" i="91" s="1"/>
  <c r="F47" i="91"/>
  <c r="C47" i="91"/>
  <c r="B47" i="91"/>
  <c r="B49" i="91" s="1"/>
  <c r="G94" i="91"/>
  <c r="G6" i="91"/>
  <c r="K6" i="91" s="1"/>
  <c r="G7" i="91"/>
  <c r="K7" i="91" s="1"/>
  <c r="G8" i="91"/>
  <c r="K8" i="91" s="1"/>
  <c r="G9" i="91"/>
  <c r="G10" i="91"/>
  <c r="G11" i="91"/>
  <c r="G12" i="91"/>
  <c r="G13" i="91"/>
  <c r="G14" i="91"/>
  <c r="G15" i="91"/>
  <c r="G16" i="91"/>
  <c r="G17" i="91"/>
  <c r="G18" i="91"/>
  <c r="G19" i="91"/>
  <c r="G20" i="91"/>
  <c r="G21" i="91"/>
  <c r="G22" i="91"/>
  <c r="G23" i="91"/>
  <c r="G24" i="91"/>
  <c r="G25" i="91"/>
  <c r="G26" i="91"/>
  <c r="G27" i="91"/>
  <c r="G28" i="91"/>
  <c r="G29" i="91"/>
  <c r="G30" i="91"/>
  <c r="G31" i="91"/>
  <c r="G32" i="91"/>
  <c r="G33" i="91"/>
  <c r="G34" i="91"/>
  <c r="G35" i="91"/>
  <c r="G37" i="91"/>
  <c r="G38" i="91"/>
  <c r="G39" i="91"/>
  <c r="G40" i="91"/>
  <c r="G41" i="91"/>
  <c r="G42" i="91"/>
  <c r="G43" i="91"/>
  <c r="G44" i="91"/>
  <c r="G45" i="91"/>
  <c r="G46" i="91"/>
  <c r="G48" i="91"/>
  <c r="K48" i="91" s="1"/>
  <c r="G50" i="91"/>
  <c r="K50" i="91" s="1"/>
  <c r="G36" i="91"/>
  <c r="F137" i="91"/>
  <c r="G56" i="91"/>
  <c r="G57" i="91"/>
  <c r="G58" i="91"/>
  <c r="G59" i="91"/>
  <c r="G60" i="91"/>
  <c r="G61" i="91"/>
  <c r="G62" i="91"/>
  <c r="G63" i="91"/>
  <c r="G64" i="91"/>
  <c r="G65" i="91"/>
  <c r="G66" i="91"/>
  <c r="G67" i="91"/>
  <c r="G68" i="91"/>
  <c r="G69" i="91"/>
  <c r="G70" i="91"/>
  <c r="G71" i="91"/>
  <c r="G72" i="91"/>
  <c r="G73" i="91"/>
  <c r="G74" i="91"/>
  <c r="G75" i="91"/>
  <c r="G76" i="91"/>
  <c r="G77" i="91"/>
  <c r="G78" i="91"/>
  <c r="G79" i="91"/>
  <c r="G80" i="91"/>
  <c r="G81" i="91"/>
  <c r="G82" i="91"/>
  <c r="G83" i="91"/>
  <c r="G84" i="91"/>
  <c r="G85" i="91"/>
  <c r="G86" i="91"/>
  <c r="G87" i="91"/>
  <c r="G88" i="91"/>
  <c r="G89" i="91"/>
  <c r="G90" i="91"/>
  <c r="G91" i="91"/>
  <c r="G92" i="91"/>
  <c r="G93" i="91"/>
  <c r="G55" i="91"/>
  <c r="I129" i="91" l="1"/>
  <c r="I128" i="91"/>
  <c r="I111" i="91"/>
  <c r="I126" i="91"/>
  <c r="I130" i="91"/>
  <c r="I112" i="91"/>
  <c r="I127" i="91"/>
  <c r="I125" i="91"/>
  <c r="I109" i="91"/>
  <c r="I124" i="91"/>
  <c r="I108" i="91"/>
  <c r="I113" i="91"/>
  <c r="I123" i="91"/>
  <c r="I107" i="91"/>
  <c r="I110" i="91"/>
  <c r="I114" i="91"/>
  <c r="J95" i="91"/>
  <c r="J93" i="91"/>
  <c r="M93" i="91" s="1"/>
  <c r="J91" i="91"/>
  <c r="J89" i="91"/>
  <c r="J87" i="91"/>
  <c r="J85" i="91"/>
  <c r="J83" i="91"/>
  <c r="J81" i="91"/>
  <c r="I136" i="91"/>
  <c r="M138" i="91" s="1"/>
  <c r="I98" i="91"/>
  <c r="J94" i="91"/>
  <c r="J92" i="91"/>
  <c r="J90" i="91"/>
  <c r="J88" i="91"/>
  <c r="M88" i="91" s="1"/>
  <c r="J86" i="91"/>
  <c r="J84" i="91"/>
  <c r="J82" i="91"/>
  <c r="J80" i="91"/>
  <c r="M80" i="91" s="1"/>
  <c r="J78" i="91"/>
  <c r="J76" i="91"/>
  <c r="J74" i="91"/>
  <c r="J72" i="91"/>
  <c r="M72" i="91" s="1"/>
  <c r="J70" i="91"/>
  <c r="J68" i="91"/>
  <c r="J66" i="91"/>
  <c r="J64" i="91"/>
  <c r="M64" i="91" s="1"/>
  <c r="J62" i="91"/>
  <c r="J60" i="91"/>
  <c r="J58" i="91"/>
  <c r="J56" i="91"/>
  <c r="M56" i="91" s="1"/>
  <c r="L100" i="91"/>
  <c r="L137" i="91"/>
  <c r="L91" i="91"/>
  <c r="L89" i="91"/>
  <c r="L87" i="91"/>
  <c r="L85" i="91"/>
  <c r="L83" i="91"/>
  <c r="L81" i="91"/>
  <c r="L79" i="91"/>
  <c r="L77" i="91"/>
  <c r="L75" i="91"/>
  <c r="L73" i="91"/>
  <c r="L71" i="91"/>
  <c r="L69" i="91"/>
  <c r="L67" i="91"/>
  <c r="L65" i="91"/>
  <c r="L63" i="91"/>
  <c r="L61" i="91"/>
  <c r="L59" i="91"/>
  <c r="L57" i="91"/>
  <c r="L55" i="91"/>
  <c r="L135" i="91"/>
  <c r="L133" i="91"/>
  <c r="L131" i="91"/>
  <c r="L129" i="91"/>
  <c r="L127" i="91"/>
  <c r="L125" i="91"/>
  <c r="L123" i="91"/>
  <c r="L121" i="91"/>
  <c r="L119" i="91"/>
  <c r="L117" i="91"/>
  <c r="L115" i="91"/>
  <c r="L113" i="91"/>
  <c r="L111" i="91"/>
  <c r="L109" i="91"/>
  <c r="L107" i="91"/>
  <c r="L105" i="91"/>
  <c r="L103" i="91"/>
  <c r="L101" i="91"/>
  <c r="M85" i="91"/>
  <c r="L92" i="91"/>
  <c r="L90" i="91"/>
  <c r="L88" i="91"/>
  <c r="L86" i="91"/>
  <c r="L84" i="91"/>
  <c r="L82" i="91"/>
  <c r="L80" i="91"/>
  <c r="L78" i="91"/>
  <c r="L76" i="91"/>
  <c r="L74" i="91"/>
  <c r="L72" i="91"/>
  <c r="L70" i="91"/>
  <c r="L68" i="91"/>
  <c r="L66" i="91"/>
  <c r="L64" i="91"/>
  <c r="L62" i="91"/>
  <c r="L60" i="91"/>
  <c r="L58" i="91"/>
  <c r="L56" i="91"/>
  <c r="L136" i="91"/>
  <c r="L134" i="91"/>
  <c r="L132" i="91"/>
  <c r="L130" i="91"/>
  <c r="L128" i="91"/>
  <c r="L126" i="91"/>
  <c r="L124" i="91"/>
  <c r="L122" i="91"/>
  <c r="L120" i="91"/>
  <c r="L118" i="91"/>
  <c r="L116" i="91"/>
  <c r="L114" i="91"/>
  <c r="L112" i="91"/>
  <c r="L110" i="91"/>
  <c r="L108" i="91"/>
  <c r="L106" i="91"/>
  <c r="L104" i="91"/>
  <c r="L102" i="91"/>
  <c r="J79" i="91"/>
  <c r="J77" i="91"/>
  <c r="J75" i="91"/>
  <c r="J73" i="91"/>
  <c r="J71" i="91"/>
  <c r="J69" i="91"/>
  <c r="J67" i="91"/>
  <c r="J65" i="91"/>
  <c r="J63" i="91"/>
  <c r="J61" i="91"/>
  <c r="J59" i="91"/>
  <c r="J57" i="91"/>
  <c r="J55" i="91"/>
  <c r="K93" i="91"/>
  <c r="K91" i="91"/>
  <c r="K89" i="91"/>
  <c r="K87" i="91"/>
  <c r="K85" i="91"/>
  <c r="K83" i="91"/>
  <c r="K81" i="91"/>
  <c r="K79" i="91"/>
  <c r="K77" i="91"/>
  <c r="K75" i="91"/>
  <c r="K73" i="91"/>
  <c r="K71" i="91"/>
  <c r="K69" i="91"/>
  <c r="K67" i="91"/>
  <c r="K65" i="91"/>
  <c r="K63" i="91"/>
  <c r="K61" i="91"/>
  <c r="K59" i="91"/>
  <c r="K57" i="91"/>
  <c r="K100" i="91"/>
  <c r="K137" i="91"/>
  <c r="K135" i="91"/>
  <c r="K133" i="91"/>
  <c r="K131" i="91"/>
  <c r="K129" i="91"/>
  <c r="K127" i="91"/>
  <c r="K125" i="91"/>
  <c r="K123" i="91"/>
  <c r="K121" i="91"/>
  <c r="K119" i="91"/>
  <c r="K117" i="91"/>
  <c r="K115" i="91"/>
  <c r="K113" i="91"/>
  <c r="K111" i="91"/>
  <c r="K109" i="91"/>
  <c r="K107" i="91"/>
  <c r="K105" i="91"/>
  <c r="K103" i="91"/>
  <c r="K101" i="91"/>
  <c r="P7" i="91"/>
  <c r="P6" i="91"/>
  <c r="P5" i="91"/>
  <c r="P4" i="91"/>
  <c r="K55" i="91"/>
  <c r="K92" i="91"/>
  <c r="K90" i="91"/>
  <c r="K88" i="91"/>
  <c r="K86" i="91"/>
  <c r="K84" i="91"/>
  <c r="K82" i="91"/>
  <c r="K80" i="91"/>
  <c r="K78" i="91"/>
  <c r="K76" i="91"/>
  <c r="K74" i="91"/>
  <c r="K72" i="91"/>
  <c r="K70" i="91"/>
  <c r="K68" i="91"/>
  <c r="K66" i="91"/>
  <c r="K64" i="91"/>
  <c r="K62" i="91"/>
  <c r="K60" i="91"/>
  <c r="K58" i="91"/>
  <c r="K56" i="91"/>
  <c r="K138" i="91"/>
  <c r="K136" i="91"/>
  <c r="K134" i="91"/>
  <c r="K132" i="91"/>
  <c r="K130" i="91"/>
  <c r="K128" i="91"/>
  <c r="K126" i="91"/>
  <c r="K124" i="91"/>
  <c r="K122" i="91"/>
  <c r="K120" i="91"/>
  <c r="K118" i="91"/>
  <c r="K116" i="91"/>
  <c r="K114" i="91"/>
  <c r="K112" i="91"/>
  <c r="K110" i="91"/>
  <c r="K108" i="91"/>
  <c r="K106" i="91"/>
  <c r="K104" i="91"/>
  <c r="P46" i="91"/>
  <c r="P38" i="91"/>
  <c r="P14" i="91"/>
  <c r="P22" i="91"/>
  <c r="P30" i="91"/>
  <c r="Q36" i="91"/>
  <c r="P40" i="91"/>
  <c r="P32" i="91"/>
  <c r="P24" i="91"/>
  <c r="P16" i="91"/>
  <c r="P8" i="91"/>
  <c r="P44" i="91"/>
  <c r="P36" i="91"/>
  <c r="P28" i="91"/>
  <c r="P20" i="91"/>
  <c r="P12" i="91"/>
  <c r="P42" i="91"/>
  <c r="P34" i="91"/>
  <c r="P26" i="91"/>
  <c r="P18" i="91"/>
  <c r="P10" i="91"/>
  <c r="K49" i="91"/>
  <c r="P47" i="91"/>
  <c r="P45" i="91"/>
  <c r="P43" i="91"/>
  <c r="P41" i="91"/>
  <c r="P39" i="91"/>
  <c r="P37" i="91"/>
  <c r="P35" i="91"/>
  <c r="P33" i="91"/>
  <c r="P31" i="91"/>
  <c r="P29" i="91"/>
  <c r="P27" i="91"/>
  <c r="P25" i="91"/>
  <c r="P23" i="91"/>
  <c r="P21" i="91"/>
  <c r="P19" i="91"/>
  <c r="P17" i="91"/>
  <c r="P15" i="91"/>
  <c r="P13" i="91"/>
  <c r="P11" i="91"/>
  <c r="P9" i="91"/>
  <c r="G47" i="91"/>
  <c r="G49" i="91" s="1"/>
  <c r="C49" i="91"/>
  <c r="M57" i="91" l="1"/>
  <c r="M65" i="91"/>
  <c r="M73" i="91"/>
  <c r="M134" i="91"/>
  <c r="M129" i="91"/>
  <c r="M102" i="91"/>
  <c r="M126" i="91"/>
  <c r="M110" i="91"/>
  <c r="M105" i="91"/>
  <c r="M137" i="91"/>
  <c r="M121" i="91"/>
  <c r="M118" i="91"/>
  <c r="M113" i="91"/>
  <c r="M108" i="91"/>
  <c r="M124" i="91"/>
  <c r="M103" i="91"/>
  <c r="M119" i="91"/>
  <c r="M135" i="91"/>
  <c r="M104" i="91"/>
  <c r="M112" i="91"/>
  <c r="M120" i="91"/>
  <c r="M128" i="91"/>
  <c r="M136" i="91"/>
  <c r="M107" i="91"/>
  <c r="M115" i="91"/>
  <c r="M123" i="91"/>
  <c r="M131" i="91"/>
  <c r="M100" i="91"/>
  <c r="M116" i="91"/>
  <c r="M132" i="91"/>
  <c r="M111" i="91"/>
  <c r="M127" i="91"/>
  <c r="M55" i="91"/>
  <c r="M63" i="91"/>
  <c r="M71" i="91"/>
  <c r="M79" i="91"/>
  <c r="M106" i="91"/>
  <c r="M114" i="91"/>
  <c r="M122" i="91"/>
  <c r="M130" i="91"/>
  <c r="M101" i="91"/>
  <c r="M109" i="91"/>
  <c r="M117" i="91"/>
  <c r="M125" i="91"/>
  <c r="M133" i="91"/>
  <c r="M81" i="91"/>
  <c r="M61" i="91"/>
  <c r="M69" i="91"/>
  <c r="M77" i="91"/>
  <c r="M59" i="91"/>
  <c r="M67" i="91"/>
  <c r="M75" i="91"/>
  <c r="M60" i="91"/>
  <c r="M68" i="91"/>
  <c r="M76" i="91"/>
  <c r="M84" i="91"/>
  <c r="M92" i="91"/>
  <c r="M89" i="91"/>
  <c r="M83" i="91"/>
  <c r="M87" i="91"/>
  <c r="M91" i="91"/>
  <c r="M74" i="91"/>
  <c r="M58" i="91"/>
  <c r="M62" i="91"/>
  <c r="M66" i="91"/>
  <c r="M70" i="91"/>
  <c r="M78" i="91"/>
  <c r="M82" i="91"/>
  <c r="M86" i="91"/>
  <c r="M90" i="91"/>
  <c r="Q43" i="91"/>
  <c r="Q7" i="91"/>
  <c r="Q6" i="91"/>
  <c r="Q4" i="91"/>
  <c r="Q5" i="91"/>
  <c r="Q9" i="91"/>
  <c r="Q32" i="91"/>
  <c r="Q46" i="91"/>
  <c r="Q13" i="91"/>
  <c r="Q22" i="91"/>
  <c r="Q23" i="91"/>
  <c r="Q26" i="91"/>
  <c r="Q42" i="91"/>
  <c r="Q20" i="91"/>
  <c r="Q35" i="91"/>
  <c r="Q25" i="91"/>
  <c r="Q16" i="91"/>
  <c r="Q11" i="91"/>
  <c r="Q39" i="91"/>
  <c r="Q29" i="91"/>
  <c r="Q31" i="91"/>
  <c r="Q37" i="91"/>
  <c r="Q10" i="91"/>
  <c r="Q40" i="91"/>
  <c r="Q47" i="91"/>
  <c r="Q44" i="91"/>
  <c r="Q21" i="91"/>
  <c r="Q38" i="91"/>
  <c r="Q15" i="91"/>
  <c r="Q12" i="91"/>
  <c r="Q28" i="91"/>
  <c r="Q45" i="91"/>
  <c r="Q27" i="91"/>
  <c r="Q18" i="91"/>
  <c r="Q34" i="91"/>
  <c r="Q17" i="91"/>
  <c r="Q33" i="91"/>
  <c r="Q8" i="91"/>
  <c r="Q24" i="91"/>
  <c r="Q41" i="91"/>
  <c r="Q19" i="91"/>
  <c r="Q14" i="91"/>
  <c r="Q30" i="91"/>
  <c r="I70" i="79"/>
  <c r="I69" i="79"/>
  <c r="I68" i="79"/>
  <c r="I67" i="79"/>
  <c r="I62" i="79"/>
  <c r="I61" i="79"/>
  <c r="I60" i="79"/>
  <c r="I59" i="79"/>
  <c r="I50" i="79"/>
  <c r="I49" i="79"/>
  <c r="I48" i="79"/>
  <c r="I47" i="79"/>
  <c r="I41" i="79"/>
  <c r="I40" i="79"/>
  <c r="I39" i="79"/>
  <c r="I38" i="79"/>
  <c r="I33" i="79"/>
  <c r="I32" i="79"/>
  <c r="I31" i="79"/>
  <c r="I30" i="79"/>
  <c r="I25" i="79"/>
  <c r="I24" i="79"/>
  <c r="I23" i="79"/>
  <c r="I22" i="79"/>
  <c r="J6" i="79" s="1"/>
  <c r="K39" i="79" l="1"/>
  <c r="I66" i="79"/>
  <c r="I65" i="79"/>
  <c r="I64" i="79"/>
  <c r="K64" i="79" s="1"/>
  <c r="I63" i="79"/>
  <c r="K63" i="79" s="1"/>
  <c r="I45" i="79"/>
  <c r="I44" i="79"/>
  <c r="I43" i="79"/>
  <c r="K47" i="79" s="1"/>
  <c r="I42" i="79"/>
  <c r="K46" i="79" s="1"/>
  <c r="I29" i="79"/>
  <c r="I28" i="79"/>
  <c r="J28" i="79" s="1"/>
  <c r="I27" i="79"/>
  <c r="J27" i="79" s="1"/>
  <c r="I26" i="79"/>
  <c r="J26" i="79" s="1"/>
  <c r="Q14" i="2"/>
  <c r="K27" i="79" l="1"/>
  <c r="I20" i="79"/>
  <c r="I19" i="79"/>
  <c r="I13" i="79" l="1"/>
  <c r="I12" i="79"/>
  <c r="I11" i="79"/>
  <c r="I8" i="79"/>
  <c r="I7" i="79"/>
  <c r="J7" i="79" l="1"/>
  <c r="K7" i="79" s="1"/>
  <c r="J8" i="79"/>
  <c r="AA94" i="1" l="1"/>
  <c r="AA93" i="1"/>
  <c r="AA98" i="1" s="1"/>
  <c r="Y92" i="1"/>
  <c r="T14" i="2"/>
  <c r="E20" i="5"/>
  <c r="X13" i="10"/>
  <c r="X16" i="10" s="1"/>
  <c r="V7" i="80"/>
  <c r="AD7" i="80"/>
  <c r="W8" i="80"/>
  <c r="X8" i="80"/>
  <c r="AA8" i="80"/>
  <c r="AB8" i="80"/>
  <c r="AE8" i="80"/>
  <c r="V9" i="80"/>
  <c r="Y9" i="80"/>
  <c r="Z9" i="80"/>
  <c r="AC9" i="80"/>
  <c r="AD9" i="80"/>
  <c r="X10" i="80"/>
  <c r="AC11" i="80"/>
  <c r="U12" i="80"/>
  <c r="V12" i="80"/>
  <c r="Y12" i="80"/>
  <c r="Z12" i="80"/>
  <c r="AC12" i="80"/>
  <c r="AD12" i="80"/>
  <c r="V13" i="80"/>
  <c r="W13" i="80"/>
  <c r="Z13" i="80"/>
  <c r="AA13" i="80"/>
  <c r="AD13" i="80"/>
  <c r="AE13" i="80"/>
  <c r="AB14" i="80"/>
  <c r="Y15" i="80"/>
  <c r="U16" i="80"/>
  <c r="V16" i="80"/>
  <c r="Y16" i="80"/>
  <c r="Z16" i="80"/>
  <c r="AC16" i="80"/>
  <c r="AD16" i="80"/>
  <c r="V17" i="80"/>
  <c r="W17" i="80"/>
  <c r="Z17" i="80"/>
  <c r="AA17" i="80"/>
  <c r="AD17" i="80"/>
  <c r="AE17" i="80"/>
  <c r="X18" i="80"/>
  <c r="U19" i="80"/>
  <c r="AC19" i="80"/>
  <c r="U20" i="80"/>
  <c r="V20" i="80"/>
  <c r="Y20" i="80"/>
  <c r="Z20" i="80"/>
  <c r="AC20" i="80"/>
  <c r="AD20" i="80"/>
  <c r="V21" i="80"/>
  <c r="W21" i="80"/>
  <c r="Z21" i="80"/>
  <c r="AA21" i="80"/>
  <c r="AD21" i="80"/>
  <c r="AE21" i="80"/>
  <c r="AB22" i="80"/>
  <c r="Y23" i="80"/>
  <c r="U24" i="80"/>
  <c r="V24" i="80"/>
  <c r="Y24" i="80"/>
  <c r="Z24" i="80"/>
  <c r="AC24" i="80"/>
  <c r="AD24" i="80"/>
  <c r="V25" i="80"/>
  <c r="W25" i="80"/>
  <c r="Z25" i="80"/>
  <c r="AA25" i="80"/>
  <c r="AD25" i="80"/>
  <c r="AE25" i="80"/>
  <c r="X26" i="80"/>
  <c r="U27" i="80"/>
  <c r="AC27" i="80"/>
  <c r="U28" i="80"/>
  <c r="V28" i="80"/>
  <c r="Y28" i="80"/>
  <c r="Z28" i="80"/>
  <c r="AC28" i="80"/>
  <c r="AD28" i="80"/>
  <c r="V29" i="80"/>
  <c r="W29" i="80"/>
  <c r="Z29" i="80"/>
  <c r="AA29" i="80"/>
  <c r="AD29" i="80"/>
  <c r="AE29" i="80"/>
  <c r="AB30" i="80"/>
  <c r="Y31" i="80"/>
  <c r="U32" i="80"/>
  <c r="V32" i="80"/>
  <c r="Y32" i="80"/>
  <c r="Z32" i="80"/>
  <c r="AC32" i="80"/>
  <c r="AD32" i="80"/>
  <c r="V33" i="80"/>
  <c r="W33" i="80"/>
  <c r="X33" i="80"/>
  <c r="Z33" i="80"/>
  <c r="AA33" i="80"/>
  <c r="AB33" i="80"/>
  <c r="AD33" i="80"/>
  <c r="AE33" i="80"/>
  <c r="AB34" i="80"/>
  <c r="Y35" i="80"/>
  <c r="U36" i="80"/>
  <c r="V36" i="80"/>
  <c r="Y36" i="80"/>
  <c r="Z36" i="80"/>
  <c r="AC36" i="80"/>
  <c r="AD36" i="80"/>
  <c r="V37" i="80"/>
  <c r="W37" i="80"/>
  <c r="X37" i="80"/>
  <c r="Z37" i="80"/>
  <c r="AA37" i="80"/>
  <c r="AB37" i="80"/>
  <c r="AD37" i="80"/>
  <c r="AE37" i="80"/>
  <c r="AB38" i="80"/>
  <c r="Y39" i="80"/>
  <c r="U40" i="80"/>
  <c r="V40" i="80"/>
  <c r="Y40" i="80"/>
  <c r="Z40" i="80"/>
  <c r="AC40" i="80"/>
  <c r="AD40" i="80"/>
  <c r="V41" i="80"/>
  <c r="W41" i="80"/>
  <c r="X41" i="80"/>
  <c r="Z41" i="80"/>
  <c r="AA41" i="80"/>
  <c r="AB41" i="80"/>
  <c r="AD41" i="80"/>
  <c r="AE41" i="80"/>
  <c r="AB42" i="80"/>
  <c r="Y43" i="80"/>
  <c r="U44" i="80"/>
  <c r="V44" i="80"/>
  <c r="Y44" i="80"/>
  <c r="Z44" i="80"/>
  <c r="AC44" i="80"/>
  <c r="AD44" i="80"/>
  <c r="AC7" i="80"/>
  <c r="AC107" i="80" s="1"/>
  <c r="U8" i="80"/>
  <c r="AB11" i="80"/>
  <c r="AB111" i="80" s="1"/>
  <c r="X12" i="80"/>
  <c r="U13" i="80"/>
  <c r="X15" i="80"/>
  <c r="X115" i="80" s="1"/>
  <c r="X16" i="80"/>
  <c r="U17" i="80"/>
  <c r="AB19" i="80"/>
  <c r="AB119" i="80" s="1"/>
  <c r="X20" i="80"/>
  <c r="U21" i="80"/>
  <c r="X23" i="80"/>
  <c r="X123" i="80" s="1"/>
  <c r="X24" i="80"/>
  <c r="U25" i="80"/>
  <c r="AB27" i="80"/>
  <c r="AB127" i="80" s="1"/>
  <c r="X28" i="80"/>
  <c r="U29" i="80"/>
  <c r="X31" i="80"/>
  <c r="X131" i="80" s="1"/>
  <c r="X32" i="80"/>
  <c r="U33" i="80"/>
  <c r="X35" i="80"/>
  <c r="X135" i="80" s="1"/>
  <c r="X36" i="80"/>
  <c r="U37" i="80"/>
  <c r="X39" i="80"/>
  <c r="X139" i="80" s="1"/>
  <c r="X40" i="80"/>
  <c r="U41" i="80"/>
  <c r="X43" i="80"/>
  <c r="X143" i="80" s="1"/>
  <c r="X44" i="80"/>
  <c r="M54" i="39"/>
  <c r="L54" i="39"/>
  <c r="K54" i="39"/>
  <c r="J54" i="39"/>
  <c r="Z94" i="1"/>
  <c r="Z93" i="1"/>
  <c r="Z92" i="1"/>
  <c r="Y93" i="1"/>
  <c r="E20" i="8"/>
  <c r="E19" i="5"/>
  <c r="Z14" i="2"/>
  <c r="Y14" i="2"/>
  <c r="R109" i="54"/>
  <c r="O110" i="54"/>
  <c r="O113" i="54" s="1"/>
  <c r="F17" i="6"/>
  <c r="F18" i="6"/>
  <c r="F19" i="6"/>
  <c r="I47" i="56"/>
  <c r="J47" i="56"/>
  <c r="I48" i="56"/>
  <c r="J48" i="56"/>
  <c r="I49" i="56"/>
  <c r="J49" i="56"/>
  <c r="I50" i="56"/>
  <c r="J50" i="56"/>
  <c r="I51" i="56"/>
  <c r="J51" i="56"/>
  <c r="I52" i="56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I59" i="56"/>
  <c r="J59" i="56"/>
  <c r="I60" i="56"/>
  <c r="J60" i="56"/>
  <c r="I61" i="56"/>
  <c r="J61" i="56"/>
  <c r="I62" i="56"/>
  <c r="J62" i="56"/>
  <c r="I63" i="56"/>
  <c r="J63" i="56"/>
  <c r="I64" i="56"/>
  <c r="J64" i="56"/>
  <c r="I65" i="56"/>
  <c r="J65" i="56"/>
  <c r="I66" i="56"/>
  <c r="J66" i="56"/>
  <c r="I67" i="56"/>
  <c r="J67" i="56"/>
  <c r="I68" i="56"/>
  <c r="J68" i="56"/>
  <c r="I69" i="56"/>
  <c r="J69" i="56"/>
  <c r="I70" i="56"/>
  <c r="J70" i="56"/>
  <c r="I71" i="56"/>
  <c r="J71" i="56"/>
  <c r="I72" i="56"/>
  <c r="J72" i="56"/>
  <c r="I73" i="56"/>
  <c r="J73" i="56"/>
  <c r="I74" i="56"/>
  <c r="J74" i="56"/>
  <c r="I75" i="56"/>
  <c r="J75" i="56"/>
  <c r="I76" i="56"/>
  <c r="J76" i="56"/>
  <c r="I77" i="56"/>
  <c r="J77" i="56"/>
  <c r="I78" i="56"/>
  <c r="J78" i="56"/>
  <c r="I79" i="56"/>
  <c r="J79" i="56"/>
  <c r="I80" i="56"/>
  <c r="J80" i="56"/>
  <c r="I81" i="56"/>
  <c r="J81" i="56"/>
  <c r="I82" i="56"/>
  <c r="J82" i="56"/>
  <c r="I83" i="56"/>
  <c r="J83" i="56"/>
  <c r="I84" i="56"/>
  <c r="J84" i="56"/>
  <c r="I85" i="56"/>
  <c r="J85" i="56"/>
  <c r="I86" i="56"/>
  <c r="J86" i="56"/>
  <c r="J46" i="56"/>
  <c r="I46" i="56"/>
  <c r="Y94" i="1"/>
  <c r="D15" i="3"/>
  <c r="X92" i="1"/>
  <c r="W13" i="10"/>
  <c r="W16" i="10" s="1"/>
  <c r="X13" i="11"/>
  <c r="X17" i="11" s="1"/>
  <c r="W13" i="11"/>
  <c r="W17" i="11" s="1"/>
  <c r="X14" i="2"/>
  <c r="W94" i="1"/>
  <c r="W92" i="1"/>
  <c r="X93" i="1"/>
  <c r="W93" i="1"/>
  <c r="V93" i="1"/>
  <c r="J15" i="5"/>
  <c r="M15" i="5" s="1"/>
  <c r="V13" i="10"/>
  <c r="V16" i="10" s="1"/>
  <c r="V13" i="11"/>
  <c r="V17" i="11" s="1"/>
  <c r="U13" i="10"/>
  <c r="U16" i="10" s="1"/>
  <c r="E18" i="5"/>
  <c r="E19" i="8"/>
  <c r="C18" i="8"/>
  <c r="C17" i="8"/>
  <c r="E14" i="2"/>
  <c r="P13" i="11"/>
  <c r="P17" i="11" s="1"/>
  <c r="Q13" i="11"/>
  <c r="Q17" i="11" s="1"/>
  <c r="R17" i="11"/>
  <c r="S17" i="11"/>
  <c r="Q13" i="10"/>
  <c r="Q16" i="10" s="1"/>
  <c r="F11" i="52"/>
  <c r="K11" i="52"/>
  <c r="F12" i="52"/>
  <c r="K12" i="52"/>
  <c r="F13" i="52"/>
  <c r="K13" i="52"/>
  <c r="F14" i="52"/>
  <c r="K14" i="52"/>
  <c r="F15" i="52"/>
  <c r="K15" i="52"/>
  <c r="F16" i="52"/>
  <c r="K16" i="52"/>
  <c r="F17" i="52"/>
  <c r="K17" i="52"/>
  <c r="F18" i="52"/>
  <c r="K18" i="52"/>
  <c r="F19" i="52"/>
  <c r="K19" i="52"/>
  <c r="F20" i="52"/>
  <c r="K20" i="52"/>
  <c r="F21" i="52"/>
  <c r="K21" i="52"/>
  <c r="F22" i="52"/>
  <c r="K22" i="52"/>
  <c r="F23" i="52"/>
  <c r="K23" i="52"/>
  <c r="F24" i="52"/>
  <c r="K24" i="52"/>
  <c r="F25" i="52"/>
  <c r="K25" i="52"/>
  <c r="F26" i="52"/>
  <c r="K26" i="52"/>
  <c r="F27" i="52"/>
  <c r="K27" i="52"/>
  <c r="F28" i="52"/>
  <c r="K28" i="52"/>
  <c r="F29" i="52"/>
  <c r="K29" i="52"/>
  <c r="F30" i="52"/>
  <c r="K30" i="52"/>
  <c r="F31" i="52"/>
  <c r="K31" i="52"/>
  <c r="F32" i="52"/>
  <c r="K32" i="52"/>
  <c r="F33" i="52"/>
  <c r="K33" i="52"/>
  <c r="F34" i="52"/>
  <c r="K34" i="52"/>
  <c r="F35" i="52"/>
  <c r="K35" i="52"/>
  <c r="F36" i="52"/>
  <c r="K36" i="52"/>
  <c r="F37" i="52"/>
  <c r="K37" i="52"/>
  <c r="B38" i="52"/>
  <c r="C38" i="52"/>
  <c r="D38" i="52"/>
  <c r="E38" i="52"/>
  <c r="G38" i="52"/>
  <c r="H38" i="52"/>
  <c r="I38" i="52"/>
  <c r="J38" i="52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D18" i="8"/>
  <c r="C16" i="7"/>
  <c r="F4" i="6"/>
  <c r="F5" i="6"/>
  <c r="F6" i="6"/>
  <c r="F7" i="6"/>
  <c r="F8" i="6"/>
  <c r="F9" i="6"/>
  <c r="F10" i="6"/>
  <c r="F11" i="6"/>
  <c r="F12" i="6"/>
  <c r="F13" i="6"/>
  <c r="F14" i="6"/>
  <c r="F15" i="6"/>
  <c r="C16" i="6"/>
  <c r="D16" i="6"/>
  <c r="E16" i="6"/>
  <c r="E3" i="5"/>
  <c r="E4" i="5"/>
  <c r="E5" i="5"/>
  <c r="E6" i="5"/>
  <c r="E7" i="5"/>
  <c r="E8" i="5"/>
  <c r="E9" i="5"/>
  <c r="E10" i="5"/>
  <c r="E11" i="5"/>
  <c r="E12" i="5"/>
  <c r="E13" i="5"/>
  <c r="E14" i="5"/>
  <c r="C15" i="5"/>
  <c r="D15" i="5"/>
  <c r="E16" i="5"/>
  <c r="E17" i="5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U11" i="2"/>
  <c r="U14" i="2" s="1"/>
  <c r="V11" i="2"/>
  <c r="V14" i="2" s="1"/>
  <c r="W11" i="2"/>
  <c r="W14" i="2" s="1"/>
  <c r="F14" i="2"/>
  <c r="G14" i="2"/>
  <c r="I14" i="2"/>
  <c r="J14" i="2"/>
  <c r="K14" i="2"/>
  <c r="L14" i="2"/>
  <c r="M14" i="2"/>
  <c r="N14" i="2"/>
  <c r="O14" i="2"/>
  <c r="P14" i="2"/>
  <c r="R14" i="2"/>
  <c r="S14" i="2"/>
  <c r="T92" i="1"/>
  <c r="U92" i="1"/>
  <c r="T93" i="1"/>
  <c r="T94" i="1"/>
  <c r="U94" i="1"/>
  <c r="V94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C18" i="11" l="1"/>
  <c r="C17" i="10"/>
  <c r="G17" i="10" s="1"/>
  <c r="AB17" i="10"/>
  <c r="J17" i="10"/>
  <c r="AI17" i="10"/>
  <c r="W17" i="10"/>
  <c r="M17" i="10"/>
  <c r="AD17" i="10"/>
  <c r="AC17" i="10"/>
  <c r="F17" i="10"/>
  <c r="I17" i="10"/>
  <c r="Z17" i="10"/>
  <c r="AH17" i="10"/>
  <c r="U17" i="10"/>
  <c r="E17" i="10"/>
  <c r="E18" i="8"/>
  <c r="W98" i="1"/>
  <c r="Y98" i="1"/>
  <c r="Z98" i="1"/>
  <c r="X98" i="1"/>
  <c r="T96" i="1"/>
  <c r="W96" i="1"/>
  <c r="Z96" i="1"/>
  <c r="Y96" i="1"/>
  <c r="AA96" i="1"/>
  <c r="P76" i="54"/>
  <c r="R76" i="54" s="1"/>
  <c r="P88" i="54"/>
  <c r="R88" i="54" s="1"/>
  <c r="P78" i="54"/>
  <c r="R78" i="54" s="1"/>
  <c r="P80" i="54"/>
  <c r="R80" i="54" s="1"/>
  <c r="P70" i="54"/>
  <c r="R70" i="54" s="1"/>
  <c r="P97" i="54"/>
  <c r="R97" i="54" s="1"/>
  <c r="P104" i="54"/>
  <c r="R104" i="54" s="1"/>
  <c r="P85" i="54"/>
  <c r="R85" i="54" s="1"/>
  <c r="P96" i="54"/>
  <c r="R96" i="54" s="1"/>
  <c r="P77" i="54"/>
  <c r="R77" i="54" s="1"/>
  <c r="C19" i="7"/>
  <c r="AJ44" i="80"/>
  <c r="AJ144" i="80" s="1"/>
  <c r="X144" i="80"/>
  <c r="AG33" i="80"/>
  <c r="AG133" i="80" s="1"/>
  <c r="U133" i="80"/>
  <c r="AJ28" i="80"/>
  <c r="AJ128" i="80" s="1"/>
  <c r="X128" i="80"/>
  <c r="AG17" i="80"/>
  <c r="AG117" i="80" s="1"/>
  <c r="U117" i="80"/>
  <c r="AJ12" i="80"/>
  <c r="AJ112" i="80" s="1"/>
  <c r="X112" i="80"/>
  <c r="AP44" i="80"/>
  <c r="AP144" i="80" s="1"/>
  <c r="AD144" i="80"/>
  <c r="AH44" i="80"/>
  <c r="AH144" i="80" s="1"/>
  <c r="V144" i="80"/>
  <c r="AE141" i="80"/>
  <c r="AL41" i="80"/>
  <c r="AL141" i="80" s="1"/>
  <c r="Z141" i="80"/>
  <c r="AP40" i="80"/>
  <c r="AP140" i="80" s="1"/>
  <c r="AD140" i="80"/>
  <c r="AH40" i="80"/>
  <c r="AH140" i="80" s="1"/>
  <c r="V140" i="80"/>
  <c r="AE137" i="80"/>
  <c r="AL37" i="80"/>
  <c r="AL137" i="80" s="1"/>
  <c r="Z137" i="80"/>
  <c r="AP36" i="80"/>
  <c r="AP136" i="80" s="1"/>
  <c r="AD136" i="80"/>
  <c r="AH36" i="80"/>
  <c r="AH136" i="80" s="1"/>
  <c r="V136" i="80"/>
  <c r="AE133" i="80"/>
  <c r="AL33" i="80"/>
  <c r="AL133" i="80" s="1"/>
  <c r="Z133" i="80"/>
  <c r="AP32" i="80"/>
  <c r="AP132" i="80" s="1"/>
  <c r="AD132" i="80"/>
  <c r="AH32" i="80"/>
  <c r="AH132" i="80" s="1"/>
  <c r="V132" i="80"/>
  <c r="AE129" i="80"/>
  <c r="AI29" i="80"/>
  <c r="AI129" i="80" s="1"/>
  <c r="W129" i="80"/>
  <c r="AL28" i="80"/>
  <c r="AL128" i="80" s="1"/>
  <c r="Z128" i="80"/>
  <c r="AO27" i="80"/>
  <c r="AO127" i="80" s="1"/>
  <c r="AC127" i="80"/>
  <c r="AP25" i="80"/>
  <c r="AP125" i="80" s="1"/>
  <c r="AD125" i="80"/>
  <c r="AH25" i="80"/>
  <c r="AH125" i="80" s="1"/>
  <c r="V125" i="80"/>
  <c r="AK24" i="80"/>
  <c r="AK124" i="80" s="1"/>
  <c r="Y124" i="80"/>
  <c r="AN22" i="80"/>
  <c r="AN122" i="80" s="1"/>
  <c r="AB122" i="80"/>
  <c r="AL21" i="80"/>
  <c r="AL121" i="80" s="1"/>
  <c r="Z121" i="80"/>
  <c r="AO20" i="80"/>
  <c r="AO120" i="80" s="1"/>
  <c r="AC120" i="80"/>
  <c r="AG20" i="80"/>
  <c r="AG120" i="80" s="1"/>
  <c r="U120" i="80"/>
  <c r="AE117" i="80"/>
  <c r="AI17" i="80"/>
  <c r="AI117" i="80" s="1"/>
  <c r="W117" i="80"/>
  <c r="AL16" i="80"/>
  <c r="AL116" i="80" s="1"/>
  <c r="Z116" i="80"/>
  <c r="AK15" i="80"/>
  <c r="AK115" i="80" s="1"/>
  <c r="Y115" i="80"/>
  <c r="AM13" i="80"/>
  <c r="AM113" i="80" s="1"/>
  <c r="AA113" i="80"/>
  <c r="AP12" i="80"/>
  <c r="AP112" i="80" s="1"/>
  <c r="AD112" i="80"/>
  <c r="AH12" i="80"/>
  <c r="AH112" i="80" s="1"/>
  <c r="V112" i="80"/>
  <c r="AJ10" i="80"/>
  <c r="AJ110" i="80" s="1"/>
  <c r="X110" i="80"/>
  <c r="AK9" i="80"/>
  <c r="AK109" i="80" s="1"/>
  <c r="Y109" i="80"/>
  <c r="AM8" i="80"/>
  <c r="AM108" i="80" s="1"/>
  <c r="AA108" i="80"/>
  <c r="AH7" i="80"/>
  <c r="AH107" i="80" s="1"/>
  <c r="V107" i="80"/>
  <c r="K38" i="52"/>
  <c r="AJ40" i="80"/>
  <c r="AJ140" i="80" s="1"/>
  <c r="X140" i="80"/>
  <c r="AG29" i="80"/>
  <c r="AG129" i="80" s="1"/>
  <c r="U129" i="80"/>
  <c r="AJ24" i="80"/>
  <c r="AJ124" i="80" s="1"/>
  <c r="X124" i="80"/>
  <c r="AG13" i="80"/>
  <c r="AG113" i="80" s="1"/>
  <c r="U113" i="80"/>
  <c r="AK44" i="80"/>
  <c r="AK144" i="80" s="1"/>
  <c r="Y144" i="80"/>
  <c r="AN42" i="80"/>
  <c r="AN142" i="80" s="1"/>
  <c r="AB142" i="80"/>
  <c r="AM41" i="80"/>
  <c r="AM141" i="80" s="1"/>
  <c r="AA141" i="80"/>
  <c r="AH41" i="80"/>
  <c r="AH141" i="80" s="1"/>
  <c r="V141" i="80"/>
  <c r="AK40" i="80"/>
  <c r="AK140" i="80" s="1"/>
  <c r="Y140" i="80"/>
  <c r="AN38" i="80"/>
  <c r="AN138" i="80" s="1"/>
  <c r="AB138" i="80"/>
  <c r="AM37" i="80"/>
  <c r="AM137" i="80" s="1"/>
  <c r="AA137" i="80"/>
  <c r="AH37" i="80"/>
  <c r="AH137" i="80" s="1"/>
  <c r="V137" i="80"/>
  <c r="AK36" i="80"/>
  <c r="AK136" i="80" s="1"/>
  <c r="Y136" i="80"/>
  <c r="AN34" i="80"/>
  <c r="AN134" i="80" s="1"/>
  <c r="AB134" i="80"/>
  <c r="AM33" i="80"/>
  <c r="AM133" i="80" s="1"/>
  <c r="AA133" i="80"/>
  <c r="AH33" i="80"/>
  <c r="AH133" i="80" s="1"/>
  <c r="V133" i="80"/>
  <c r="AK32" i="80"/>
  <c r="AK132" i="80" s="1"/>
  <c r="Y132" i="80"/>
  <c r="AN30" i="80"/>
  <c r="AN130" i="80" s="1"/>
  <c r="AB130" i="80"/>
  <c r="AL29" i="80"/>
  <c r="AL129" i="80" s="1"/>
  <c r="Z129" i="80"/>
  <c r="AO28" i="80"/>
  <c r="AO128" i="80" s="1"/>
  <c r="AC128" i="80"/>
  <c r="AG28" i="80"/>
  <c r="AG128" i="80" s="1"/>
  <c r="U128" i="80"/>
  <c r="AE125" i="80"/>
  <c r="AI25" i="80"/>
  <c r="AI125" i="80" s="1"/>
  <c r="W125" i="80"/>
  <c r="AL24" i="80"/>
  <c r="AL124" i="80" s="1"/>
  <c r="Z124" i="80"/>
  <c r="AK23" i="80"/>
  <c r="AK123" i="80" s="1"/>
  <c r="Y123" i="80"/>
  <c r="AM21" i="80"/>
  <c r="AM121" i="80" s="1"/>
  <c r="AA121" i="80"/>
  <c r="AP20" i="80"/>
  <c r="AP120" i="80" s="1"/>
  <c r="AD120" i="80"/>
  <c r="AH20" i="80"/>
  <c r="AH120" i="80" s="1"/>
  <c r="V120" i="80"/>
  <c r="AJ18" i="80"/>
  <c r="AJ118" i="80" s="1"/>
  <c r="X118" i="80"/>
  <c r="AL17" i="80"/>
  <c r="AL117" i="80" s="1"/>
  <c r="Z117" i="80"/>
  <c r="AO16" i="80"/>
  <c r="AO116" i="80" s="1"/>
  <c r="AC116" i="80"/>
  <c r="AG16" i="80"/>
  <c r="AG116" i="80" s="1"/>
  <c r="U116" i="80"/>
  <c r="AP13" i="80"/>
  <c r="AP113" i="80" s="1"/>
  <c r="AD113" i="80"/>
  <c r="AH13" i="80"/>
  <c r="AH113" i="80" s="1"/>
  <c r="V113" i="80"/>
  <c r="AK12" i="80"/>
  <c r="AK112" i="80" s="1"/>
  <c r="Y112" i="80"/>
  <c r="U111" i="80"/>
  <c r="AL9" i="80"/>
  <c r="AL109" i="80" s="1"/>
  <c r="Z109" i="80"/>
  <c r="AN8" i="80"/>
  <c r="AN108" i="80" s="1"/>
  <c r="AB108" i="80"/>
  <c r="AP7" i="80"/>
  <c r="AP107" i="80" s="1"/>
  <c r="AD107" i="80"/>
  <c r="E15" i="5"/>
  <c r="U6" i="80"/>
  <c r="AG41" i="80"/>
  <c r="AG141" i="80" s="1"/>
  <c r="U141" i="80"/>
  <c r="AJ36" i="80"/>
  <c r="AJ136" i="80" s="1"/>
  <c r="X136" i="80"/>
  <c r="AG25" i="80"/>
  <c r="AG125" i="80" s="1"/>
  <c r="U125" i="80"/>
  <c r="AJ20" i="80"/>
  <c r="AJ120" i="80" s="1"/>
  <c r="X120" i="80"/>
  <c r="AG8" i="80"/>
  <c r="AG108" i="80" s="1"/>
  <c r="U108" i="80"/>
  <c r="AL44" i="80"/>
  <c r="AL144" i="80" s="1"/>
  <c r="Z144" i="80"/>
  <c r="AK43" i="80"/>
  <c r="AK143" i="80" s="1"/>
  <c r="Y143" i="80"/>
  <c r="AN41" i="80"/>
  <c r="AN141" i="80" s="1"/>
  <c r="AB141" i="80"/>
  <c r="AI41" i="80"/>
  <c r="AI141" i="80" s="1"/>
  <c r="W141" i="80"/>
  <c r="AL40" i="80"/>
  <c r="AL140" i="80" s="1"/>
  <c r="Z140" i="80"/>
  <c r="AK39" i="80"/>
  <c r="AK139" i="80" s="1"/>
  <c r="Y139" i="80"/>
  <c r="AN37" i="80"/>
  <c r="AN137" i="80" s="1"/>
  <c r="AB137" i="80"/>
  <c r="AI37" i="80"/>
  <c r="AI137" i="80" s="1"/>
  <c r="W137" i="80"/>
  <c r="AL36" i="80"/>
  <c r="AL136" i="80" s="1"/>
  <c r="Z136" i="80"/>
  <c r="AK35" i="80"/>
  <c r="AK135" i="80" s="1"/>
  <c r="Y135" i="80"/>
  <c r="AN33" i="80"/>
  <c r="AN133" i="80" s="1"/>
  <c r="AB133" i="80"/>
  <c r="AI33" i="80"/>
  <c r="AI133" i="80" s="1"/>
  <c r="W133" i="80"/>
  <c r="AL32" i="80"/>
  <c r="AL132" i="80" s="1"/>
  <c r="Z132" i="80"/>
  <c r="AK31" i="80"/>
  <c r="AK131" i="80" s="1"/>
  <c r="Y131" i="80"/>
  <c r="AM29" i="80"/>
  <c r="AM129" i="80" s="1"/>
  <c r="AA129" i="80"/>
  <c r="AP28" i="80"/>
  <c r="AP128" i="80" s="1"/>
  <c r="AD128" i="80"/>
  <c r="AH28" i="80"/>
  <c r="AH128" i="80" s="1"/>
  <c r="V128" i="80"/>
  <c r="AJ26" i="80"/>
  <c r="AJ126" i="80" s="1"/>
  <c r="X126" i="80"/>
  <c r="AL25" i="80"/>
  <c r="AL125" i="80" s="1"/>
  <c r="Z125" i="80"/>
  <c r="AO24" i="80"/>
  <c r="AO124" i="80" s="1"/>
  <c r="AC124" i="80"/>
  <c r="AG24" i="80"/>
  <c r="AG124" i="80" s="1"/>
  <c r="U124" i="80"/>
  <c r="AP21" i="80"/>
  <c r="AP121" i="80" s="1"/>
  <c r="AD121" i="80"/>
  <c r="AH21" i="80"/>
  <c r="AH121" i="80" s="1"/>
  <c r="V121" i="80"/>
  <c r="AK20" i="80"/>
  <c r="AK120" i="80" s="1"/>
  <c r="Y120" i="80"/>
  <c r="AG19" i="80"/>
  <c r="AG119" i="80" s="1"/>
  <c r="U119" i="80"/>
  <c r="AM17" i="80"/>
  <c r="AM117" i="80" s="1"/>
  <c r="AA117" i="80"/>
  <c r="AP16" i="80"/>
  <c r="AP116" i="80" s="1"/>
  <c r="AD116" i="80"/>
  <c r="AH16" i="80"/>
  <c r="AH116" i="80" s="1"/>
  <c r="V116" i="80"/>
  <c r="AE113" i="80"/>
  <c r="AI13" i="80"/>
  <c r="AI113" i="80" s="1"/>
  <c r="W113" i="80"/>
  <c r="AL12" i="80"/>
  <c r="AL112" i="80" s="1"/>
  <c r="Z112" i="80"/>
  <c r="AO11" i="80"/>
  <c r="AO111" i="80" s="1"/>
  <c r="AC111" i="80"/>
  <c r="AO9" i="80"/>
  <c r="AO109" i="80" s="1"/>
  <c r="AC109" i="80"/>
  <c r="AE108" i="80"/>
  <c r="AI8" i="80"/>
  <c r="AI108" i="80" s="1"/>
  <c r="W108" i="80"/>
  <c r="AG37" i="80"/>
  <c r="AG137" i="80" s="1"/>
  <c r="U137" i="80"/>
  <c r="AJ32" i="80"/>
  <c r="AJ132" i="80" s="1"/>
  <c r="X132" i="80"/>
  <c r="AG21" i="80"/>
  <c r="AG121" i="80" s="1"/>
  <c r="U121" i="80"/>
  <c r="AJ16" i="80"/>
  <c r="AJ116" i="80" s="1"/>
  <c r="X116" i="80"/>
  <c r="AO44" i="80"/>
  <c r="AO144" i="80" s="1"/>
  <c r="AC144" i="80"/>
  <c r="AG44" i="80"/>
  <c r="AG144" i="80" s="1"/>
  <c r="U144" i="80"/>
  <c r="AP41" i="80"/>
  <c r="AP141" i="80" s="1"/>
  <c r="AD141" i="80"/>
  <c r="AJ41" i="80"/>
  <c r="AJ141" i="80" s="1"/>
  <c r="X141" i="80"/>
  <c r="AO40" i="80"/>
  <c r="AO140" i="80" s="1"/>
  <c r="AC140" i="80"/>
  <c r="AG40" i="80"/>
  <c r="AG140" i="80" s="1"/>
  <c r="U140" i="80"/>
  <c r="AP37" i="80"/>
  <c r="AP137" i="80" s="1"/>
  <c r="AD137" i="80"/>
  <c r="AJ37" i="80"/>
  <c r="AJ137" i="80" s="1"/>
  <c r="X137" i="80"/>
  <c r="AO36" i="80"/>
  <c r="AO136" i="80" s="1"/>
  <c r="AC136" i="80"/>
  <c r="AG36" i="80"/>
  <c r="AG136" i="80" s="1"/>
  <c r="U136" i="80"/>
  <c r="AP33" i="80"/>
  <c r="AP133" i="80" s="1"/>
  <c r="AD133" i="80"/>
  <c r="AJ33" i="80"/>
  <c r="AJ133" i="80" s="1"/>
  <c r="X133" i="80"/>
  <c r="AO32" i="80"/>
  <c r="AO132" i="80" s="1"/>
  <c r="AC132" i="80"/>
  <c r="AG32" i="80"/>
  <c r="AG132" i="80" s="1"/>
  <c r="U132" i="80"/>
  <c r="AP29" i="80"/>
  <c r="AP129" i="80" s="1"/>
  <c r="AD129" i="80"/>
  <c r="AH29" i="80"/>
  <c r="AH129" i="80" s="1"/>
  <c r="V129" i="80"/>
  <c r="AK28" i="80"/>
  <c r="AK128" i="80" s="1"/>
  <c r="Y128" i="80"/>
  <c r="AG27" i="80"/>
  <c r="AG127" i="80" s="1"/>
  <c r="U127" i="80"/>
  <c r="AM25" i="80"/>
  <c r="AM125" i="80" s="1"/>
  <c r="AA125" i="80"/>
  <c r="AP24" i="80"/>
  <c r="AP124" i="80" s="1"/>
  <c r="AD124" i="80"/>
  <c r="AH24" i="80"/>
  <c r="AH124" i="80" s="1"/>
  <c r="V124" i="80"/>
  <c r="AE121" i="80"/>
  <c r="AI21" i="80"/>
  <c r="AI121" i="80" s="1"/>
  <c r="W121" i="80"/>
  <c r="AL20" i="80"/>
  <c r="AL120" i="80" s="1"/>
  <c r="Z120" i="80"/>
  <c r="AO19" i="80"/>
  <c r="AO119" i="80" s="1"/>
  <c r="AC119" i="80"/>
  <c r="AP17" i="80"/>
  <c r="AP117" i="80" s="1"/>
  <c r="AD117" i="80"/>
  <c r="AH17" i="80"/>
  <c r="AH117" i="80" s="1"/>
  <c r="V117" i="80"/>
  <c r="AK16" i="80"/>
  <c r="AK116" i="80" s="1"/>
  <c r="Y116" i="80"/>
  <c r="AN14" i="80"/>
  <c r="AN114" i="80" s="1"/>
  <c r="AB114" i="80"/>
  <c r="AL13" i="80"/>
  <c r="AL113" i="80" s="1"/>
  <c r="Z113" i="80"/>
  <c r="AO12" i="80"/>
  <c r="AO112" i="80" s="1"/>
  <c r="AC112" i="80"/>
  <c r="AG12" i="80"/>
  <c r="AG112" i="80" s="1"/>
  <c r="U112" i="80"/>
  <c r="AP9" i="80"/>
  <c r="AP109" i="80" s="1"/>
  <c r="AD109" i="80"/>
  <c r="AH9" i="80"/>
  <c r="AH109" i="80" s="1"/>
  <c r="V109" i="80"/>
  <c r="AJ8" i="80"/>
  <c r="AJ108" i="80" s="1"/>
  <c r="X108" i="80"/>
  <c r="F16" i="6"/>
  <c r="F38" i="52"/>
  <c r="AB6" i="80"/>
  <c r="AB106" i="80" s="1"/>
  <c r="AJ43" i="80"/>
  <c r="AJ143" i="80" s="1"/>
  <c r="AJ39" i="80"/>
  <c r="AJ139" i="80" s="1"/>
  <c r="AJ35" i="80"/>
  <c r="AJ135" i="80" s="1"/>
  <c r="AJ31" i="80"/>
  <c r="AJ131" i="80" s="1"/>
  <c r="AN27" i="80"/>
  <c r="AN127" i="80" s="1"/>
  <c r="AJ23" i="80"/>
  <c r="AJ123" i="80" s="1"/>
  <c r="AN19" i="80"/>
  <c r="AN119" i="80" s="1"/>
  <c r="AJ15" i="80"/>
  <c r="AJ115" i="80" s="1"/>
  <c r="AN11" i="80"/>
  <c r="AN111" i="80" s="1"/>
  <c r="AO7" i="80"/>
  <c r="AO107" i="80" s="1"/>
  <c r="P65" i="54"/>
  <c r="R65" i="54" s="1"/>
  <c r="P99" i="54"/>
  <c r="R99" i="54" s="1"/>
  <c r="P75" i="54"/>
  <c r="R75" i="54" s="1"/>
  <c r="P68" i="54"/>
  <c r="R68" i="54" s="1"/>
  <c r="P69" i="54"/>
  <c r="R69" i="54" s="1"/>
  <c r="P106" i="54"/>
  <c r="R106" i="54" s="1"/>
  <c r="P98" i="54"/>
  <c r="R98" i="54" s="1"/>
  <c r="P90" i="54"/>
  <c r="R90" i="54" s="1"/>
  <c r="P82" i="54"/>
  <c r="R82" i="54" s="1"/>
  <c r="P62" i="54"/>
  <c r="R62" i="54" s="1"/>
  <c r="P103" i="54"/>
  <c r="R103" i="54" s="1"/>
  <c r="P95" i="54"/>
  <c r="R95" i="54" s="1"/>
  <c r="P87" i="54"/>
  <c r="R87" i="54" s="1"/>
  <c r="P79" i="54"/>
  <c r="R79" i="54" s="1"/>
  <c r="P67" i="54"/>
  <c r="R67" i="54" s="1"/>
  <c r="P89" i="54"/>
  <c r="R89" i="54" s="1"/>
  <c r="P72" i="54"/>
  <c r="R72" i="54" s="1"/>
  <c r="P64" i="54"/>
  <c r="R64" i="54" s="1"/>
  <c r="V6" i="80"/>
  <c r="V106" i="80" s="1"/>
  <c r="Z6" i="80"/>
  <c r="Z106" i="80" s="1"/>
  <c r="AD6" i="80"/>
  <c r="AD106" i="80" s="1"/>
  <c r="Y6" i="80"/>
  <c r="Y106" i="80" s="1"/>
  <c r="AC6" i="80"/>
  <c r="AC106" i="80" s="1"/>
  <c r="V42" i="80"/>
  <c r="V142" i="80" s="1"/>
  <c r="Z42" i="80"/>
  <c r="Z142" i="80" s="1"/>
  <c r="AD42" i="80"/>
  <c r="AD142" i="80" s="1"/>
  <c r="U42" i="80"/>
  <c r="U142" i="80" s="1"/>
  <c r="Y42" i="80"/>
  <c r="Y142" i="80" s="1"/>
  <c r="AC42" i="80"/>
  <c r="AC142" i="80" s="1"/>
  <c r="V38" i="80"/>
  <c r="V138" i="80" s="1"/>
  <c r="Z38" i="80"/>
  <c r="Z138" i="80" s="1"/>
  <c r="AD38" i="80"/>
  <c r="AD138" i="80" s="1"/>
  <c r="U38" i="80"/>
  <c r="U138" i="80" s="1"/>
  <c r="Y38" i="80"/>
  <c r="Y138" i="80" s="1"/>
  <c r="AC38" i="80"/>
  <c r="AC138" i="80" s="1"/>
  <c r="V34" i="80"/>
  <c r="V134" i="80" s="1"/>
  <c r="Z34" i="80"/>
  <c r="Z134" i="80" s="1"/>
  <c r="AD34" i="80"/>
  <c r="AD134" i="80" s="1"/>
  <c r="U34" i="80"/>
  <c r="U134" i="80" s="1"/>
  <c r="Y34" i="80"/>
  <c r="Y134" i="80" s="1"/>
  <c r="AC34" i="80"/>
  <c r="AC134" i="80" s="1"/>
  <c r="V30" i="80"/>
  <c r="V130" i="80" s="1"/>
  <c r="Z30" i="80"/>
  <c r="Z130" i="80" s="1"/>
  <c r="AD30" i="80"/>
  <c r="AD130" i="80" s="1"/>
  <c r="U30" i="80"/>
  <c r="U130" i="80" s="1"/>
  <c r="Y30" i="80"/>
  <c r="Y130" i="80" s="1"/>
  <c r="AC30" i="80"/>
  <c r="AC130" i="80" s="1"/>
  <c r="V26" i="80"/>
  <c r="V126" i="80" s="1"/>
  <c r="Z26" i="80"/>
  <c r="Z126" i="80" s="1"/>
  <c r="AD26" i="80"/>
  <c r="AD126" i="80" s="1"/>
  <c r="U26" i="80"/>
  <c r="U126" i="80" s="1"/>
  <c r="Y26" i="80"/>
  <c r="Y126" i="80" s="1"/>
  <c r="AC26" i="80"/>
  <c r="AC126" i="80" s="1"/>
  <c r="V22" i="80"/>
  <c r="V122" i="80" s="1"/>
  <c r="Z22" i="80"/>
  <c r="Z122" i="80" s="1"/>
  <c r="AD22" i="80"/>
  <c r="AD122" i="80" s="1"/>
  <c r="U22" i="80"/>
  <c r="U122" i="80" s="1"/>
  <c r="Y22" i="80"/>
  <c r="Y122" i="80" s="1"/>
  <c r="AC22" i="80"/>
  <c r="AC122" i="80" s="1"/>
  <c r="V18" i="80"/>
  <c r="V118" i="80" s="1"/>
  <c r="Z18" i="80"/>
  <c r="Z118" i="80" s="1"/>
  <c r="AD18" i="80"/>
  <c r="AD118" i="80" s="1"/>
  <c r="U18" i="80"/>
  <c r="U118" i="80" s="1"/>
  <c r="Y18" i="80"/>
  <c r="Y118" i="80" s="1"/>
  <c r="AC18" i="80"/>
  <c r="AC118" i="80" s="1"/>
  <c r="V14" i="80"/>
  <c r="V114" i="80" s="1"/>
  <c r="Z14" i="80"/>
  <c r="Z114" i="80" s="1"/>
  <c r="AD14" i="80"/>
  <c r="AD114" i="80" s="1"/>
  <c r="U14" i="80"/>
  <c r="U114" i="80" s="1"/>
  <c r="Y14" i="80"/>
  <c r="Y114" i="80" s="1"/>
  <c r="AC14" i="80"/>
  <c r="AC114" i="80" s="1"/>
  <c r="U10" i="80"/>
  <c r="U110" i="80" s="1"/>
  <c r="V10" i="80"/>
  <c r="V110" i="80" s="1"/>
  <c r="Z10" i="80"/>
  <c r="Z110" i="80" s="1"/>
  <c r="AD10" i="80"/>
  <c r="AD110" i="80" s="1"/>
  <c r="Y10" i="80"/>
  <c r="Y110" i="80" s="1"/>
  <c r="AC10" i="80"/>
  <c r="AC110" i="80" s="1"/>
  <c r="AE6" i="80"/>
  <c r="AE106" i="80" s="1"/>
  <c r="W6" i="80"/>
  <c r="W106" i="80" s="1"/>
  <c r="AB43" i="80"/>
  <c r="AB143" i="80" s="1"/>
  <c r="AE42" i="80"/>
  <c r="AE142" i="80" s="1"/>
  <c r="W42" i="80"/>
  <c r="W142" i="80" s="1"/>
  <c r="AB39" i="80"/>
  <c r="AB139" i="80" s="1"/>
  <c r="AE38" i="80"/>
  <c r="AE138" i="80" s="1"/>
  <c r="W38" i="80"/>
  <c r="W138" i="80" s="1"/>
  <c r="AB35" i="80"/>
  <c r="AB135" i="80" s="1"/>
  <c r="AE34" i="80"/>
  <c r="AE134" i="80" s="1"/>
  <c r="W34" i="80"/>
  <c r="W134" i="80" s="1"/>
  <c r="AB31" i="80"/>
  <c r="AB131" i="80" s="1"/>
  <c r="AE30" i="80"/>
  <c r="AE130" i="80" s="1"/>
  <c r="W30" i="80"/>
  <c r="W130" i="80" s="1"/>
  <c r="X27" i="80"/>
  <c r="X127" i="80" s="1"/>
  <c r="AA26" i="80"/>
  <c r="AA126" i="80" s="1"/>
  <c r="AB23" i="80"/>
  <c r="AB123" i="80" s="1"/>
  <c r="AE22" i="80"/>
  <c r="AE122" i="80" s="1"/>
  <c r="W22" i="80"/>
  <c r="W122" i="80" s="1"/>
  <c r="X19" i="80"/>
  <c r="X119" i="80" s="1"/>
  <c r="AA18" i="80"/>
  <c r="AA118" i="80" s="1"/>
  <c r="AB15" i="80"/>
  <c r="AB115" i="80" s="1"/>
  <c r="AE14" i="80"/>
  <c r="AE114" i="80" s="1"/>
  <c r="W14" i="80"/>
  <c r="W114" i="80" s="1"/>
  <c r="X11" i="80"/>
  <c r="X111" i="80" s="1"/>
  <c r="AA10" i="80"/>
  <c r="AA110" i="80" s="1"/>
  <c r="Y7" i="80"/>
  <c r="Y107" i="80" s="1"/>
  <c r="P105" i="54"/>
  <c r="R105" i="54" s="1"/>
  <c r="P102" i="54"/>
  <c r="R102" i="54" s="1"/>
  <c r="P86" i="54"/>
  <c r="R86" i="54" s="1"/>
  <c r="P107" i="54"/>
  <c r="R107" i="54" s="1"/>
  <c r="P63" i="54"/>
  <c r="R63" i="54" s="1"/>
  <c r="AA6" i="80"/>
  <c r="AA106" i="80" s="1"/>
  <c r="AA42" i="80"/>
  <c r="AA142" i="80" s="1"/>
  <c r="AA38" i="80"/>
  <c r="AA138" i="80" s="1"/>
  <c r="AA34" i="80"/>
  <c r="AA134" i="80" s="1"/>
  <c r="AA30" i="80"/>
  <c r="AA130" i="80" s="1"/>
  <c r="AE26" i="80"/>
  <c r="AE126" i="80" s="1"/>
  <c r="W26" i="80"/>
  <c r="W126" i="80" s="1"/>
  <c r="AA22" i="80"/>
  <c r="AA122" i="80" s="1"/>
  <c r="AE18" i="80"/>
  <c r="AE118" i="80" s="1"/>
  <c r="W18" i="80"/>
  <c r="W118" i="80" s="1"/>
  <c r="AA14" i="80"/>
  <c r="AA114" i="80" s="1"/>
  <c r="AE10" i="80"/>
  <c r="AE110" i="80" s="1"/>
  <c r="W10" i="80"/>
  <c r="W110" i="80" s="1"/>
  <c r="P94" i="54"/>
  <c r="R94" i="54" s="1"/>
  <c r="P66" i="54"/>
  <c r="R66" i="54" s="1"/>
  <c r="P91" i="54"/>
  <c r="R91" i="54" s="1"/>
  <c r="P83" i="54"/>
  <c r="R83" i="54" s="1"/>
  <c r="P101" i="54"/>
  <c r="R101" i="54" s="1"/>
  <c r="P93" i="54"/>
  <c r="R93" i="54" s="1"/>
  <c r="P81" i="54"/>
  <c r="R81" i="54" s="1"/>
  <c r="P73" i="54"/>
  <c r="R73" i="54" s="1"/>
  <c r="P74" i="54"/>
  <c r="R74" i="54" s="1"/>
  <c r="P71" i="54"/>
  <c r="R71" i="54" s="1"/>
  <c r="P108" i="54"/>
  <c r="R108" i="54" s="1"/>
  <c r="T108" i="54" s="1"/>
  <c r="P100" i="54"/>
  <c r="R100" i="54" s="1"/>
  <c r="P92" i="54"/>
  <c r="R92" i="54" s="1"/>
  <c r="P84" i="54"/>
  <c r="R84" i="54" s="1"/>
  <c r="W43" i="80"/>
  <c r="W143" i="80" s="1"/>
  <c r="AA43" i="80"/>
  <c r="AA143" i="80" s="1"/>
  <c r="AE43" i="80"/>
  <c r="AE143" i="80" s="1"/>
  <c r="V43" i="80"/>
  <c r="V143" i="80" s="1"/>
  <c r="Z43" i="80"/>
  <c r="Z143" i="80" s="1"/>
  <c r="AD43" i="80"/>
  <c r="AD143" i="80" s="1"/>
  <c r="W39" i="80"/>
  <c r="W139" i="80" s="1"/>
  <c r="AA39" i="80"/>
  <c r="AA139" i="80" s="1"/>
  <c r="AE39" i="80"/>
  <c r="AE139" i="80" s="1"/>
  <c r="V39" i="80"/>
  <c r="V139" i="80" s="1"/>
  <c r="Z39" i="80"/>
  <c r="Z139" i="80" s="1"/>
  <c r="AD39" i="80"/>
  <c r="AD139" i="80" s="1"/>
  <c r="W35" i="80"/>
  <c r="W135" i="80" s="1"/>
  <c r="AA35" i="80"/>
  <c r="AA135" i="80" s="1"/>
  <c r="AE35" i="80"/>
  <c r="AE135" i="80" s="1"/>
  <c r="V35" i="80"/>
  <c r="V135" i="80" s="1"/>
  <c r="Z35" i="80"/>
  <c r="Z135" i="80" s="1"/>
  <c r="AD35" i="80"/>
  <c r="AD135" i="80" s="1"/>
  <c r="W31" i="80"/>
  <c r="W131" i="80" s="1"/>
  <c r="AA31" i="80"/>
  <c r="AA131" i="80" s="1"/>
  <c r="AE31" i="80"/>
  <c r="AE131" i="80" s="1"/>
  <c r="V31" i="80"/>
  <c r="V131" i="80" s="1"/>
  <c r="Z31" i="80"/>
  <c r="Z131" i="80" s="1"/>
  <c r="AD31" i="80"/>
  <c r="AD131" i="80" s="1"/>
  <c r="W27" i="80"/>
  <c r="W127" i="80" s="1"/>
  <c r="AA27" i="80"/>
  <c r="AA127" i="80" s="1"/>
  <c r="AE27" i="80"/>
  <c r="AE127" i="80" s="1"/>
  <c r="V27" i="80"/>
  <c r="V127" i="80" s="1"/>
  <c r="Z27" i="80"/>
  <c r="Z127" i="80" s="1"/>
  <c r="AD27" i="80"/>
  <c r="AD127" i="80" s="1"/>
  <c r="W23" i="80"/>
  <c r="W123" i="80" s="1"/>
  <c r="AA23" i="80"/>
  <c r="AA123" i="80" s="1"/>
  <c r="AE23" i="80"/>
  <c r="AE123" i="80" s="1"/>
  <c r="V23" i="80"/>
  <c r="V123" i="80" s="1"/>
  <c r="Z23" i="80"/>
  <c r="Z123" i="80" s="1"/>
  <c r="AD23" i="80"/>
  <c r="AD123" i="80" s="1"/>
  <c r="W19" i="80"/>
  <c r="W119" i="80" s="1"/>
  <c r="AA19" i="80"/>
  <c r="AA119" i="80" s="1"/>
  <c r="AE19" i="80"/>
  <c r="AE119" i="80" s="1"/>
  <c r="V19" i="80"/>
  <c r="V119" i="80" s="1"/>
  <c r="Z19" i="80"/>
  <c r="Z119" i="80" s="1"/>
  <c r="AD19" i="80"/>
  <c r="AD119" i="80" s="1"/>
  <c r="W15" i="80"/>
  <c r="W115" i="80" s="1"/>
  <c r="AA15" i="80"/>
  <c r="AA115" i="80" s="1"/>
  <c r="AE15" i="80"/>
  <c r="AE115" i="80" s="1"/>
  <c r="V15" i="80"/>
  <c r="V115" i="80" s="1"/>
  <c r="Z15" i="80"/>
  <c r="Z115" i="80" s="1"/>
  <c r="AD15" i="80"/>
  <c r="AD115" i="80" s="1"/>
  <c r="W11" i="80"/>
  <c r="W111" i="80" s="1"/>
  <c r="AA11" i="80"/>
  <c r="AA111" i="80" s="1"/>
  <c r="AE11" i="80"/>
  <c r="AE111" i="80" s="1"/>
  <c r="V11" i="80"/>
  <c r="V111" i="80" s="1"/>
  <c r="Z11" i="80"/>
  <c r="Z111" i="80" s="1"/>
  <c r="AD11" i="80"/>
  <c r="AD111" i="80" s="1"/>
  <c r="U7" i="80"/>
  <c r="X7" i="80"/>
  <c r="X107" i="80" s="1"/>
  <c r="AB7" i="80"/>
  <c r="AB107" i="80" s="1"/>
  <c r="W7" i="80"/>
  <c r="W107" i="80" s="1"/>
  <c r="AA7" i="80"/>
  <c r="AA107" i="80" s="1"/>
  <c r="AE7" i="80"/>
  <c r="AE107" i="80" s="1"/>
  <c r="X6" i="80"/>
  <c r="X106" i="80" s="1"/>
  <c r="AC43" i="80"/>
  <c r="AC143" i="80" s="1"/>
  <c r="U43" i="80"/>
  <c r="U143" i="80" s="1"/>
  <c r="X42" i="80"/>
  <c r="X142" i="80" s="1"/>
  <c r="AC39" i="80"/>
  <c r="AC139" i="80" s="1"/>
  <c r="U39" i="80"/>
  <c r="U139" i="80" s="1"/>
  <c r="X38" i="80"/>
  <c r="X138" i="80" s="1"/>
  <c r="AC35" i="80"/>
  <c r="AC135" i="80" s="1"/>
  <c r="U35" i="80"/>
  <c r="U135" i="80" s="1"/>
  <c r="X34" i="80"/>
  <c r="X134" i="80" s="1"/>
  <c r="AC31" i="80"/>
  <c r="AC131" i="80" s="1"/>
  <c r="U31" i="80"/>
  <c r="U131" i="80" s="1"/>
  <c r="X30" i="80"/>
  <c r="X130" i="80" s="1"/>
  <c r="Y27" i="80"/>
  <c r="Y127" i="80" s="1"/>
  <c r="AB26" i="80"/>
  <c r="AB126" i="80" s="1"/>
  <c r="AC23" i="80"/>
  <c r="AC123" i="80" s="1"/>
  <c r="U23" i="80"/>
  <c r="U123" i="80" s="1"/>
  <c r="X22" i="80"/>
  <c r="X122" i="80" s="1"/>
  <c r="Y19" i="80"/>
  <c r="Y119" i="80" s="1"/>
  <c r="AB18" i="80"/>
  <c r="AB118" i="80" s="1"/>
  <c r="AC15" i="80"/>
  <c r="AC115" i="80" s="1"/>
  <c r="U15" i="80"/>
  <c r="U115" i="80" s="1"/>
  <c r="X14" i="80"/>
  <c r="X114" i="80" s="1"/>
  <c r="Y11" i="80"/>
  <c r="Y111" i="80" s="1"/>
  <c r="AB10" i="80"/>
  <c r="AB110" i="80" s="1"/>
  <c r="Z7" i="80"/>
  <c r="Z107" i="80" s="1"/>
  <c r="AE44" i="80"/>
  <c r="AE144" i="80" s="1"/>
  <c r="AA44" i="80"/>
  <c r="AA144" i="80" s="1"/>
  <c r="W44" i="80"/>
  <c r="W144" i="80" s="1"/>
  <c r="AE40" i="80"/>
  <c r="AE140" i="80" s="1"/>
  <c r="AA40" i="80"/>
  <c r="AA140" i="80" s="1"/>
  <c r="W40" i="80"/>
  <c r="W140" i="80" s="1"/>
  <c r="AE36" i="80"/>
  <c r="AE136" i="80" s="1"/>
  <c r="AA36" i="80"/>
  <c r="AA136" i="80" s="1"/>
  <c r="W36" i="80"/>
  <c r="W136" i="80" s="1"/>
  <c r="AE32" i="80"/>
  <c r="AE132" i="80" s="1"/>
  <c r="AA32" i="80"/>
  <c r="AA132" i="80" s="1"/>
  <c r="W32" i="80"/>
  <c r="W132" i="80" s="1"/>
  <c r="AB29" i="80"/>
  <c r="AB129" i="80" s="1"/>
  <c r="X29" i="80"/>
  <c r="X129" i="80" s="1"/>
  <c r="AE28" i="80"/>
  <c r="AE128" i="80" s="1"/>
  <c r="AA28" i="80"/>
  <c r="AA128" i="80" s="1"/>
  <c r="W28" i="80"/>
  <c r="W128" i="80" s="1"/>
  <c r="AB25" i="80"/>
  <c r="AB125" i="80" s="1"/>
  <c r="X25" i="80"/>
  <c r="X125" i="80" s="1"/>
  <c r="AE24" i="80"/>
  <c r="AE124" i="80" s="1"/>
  <c r="AA24" i="80"/>
  <c r="AA124" i="80" s="1"/>
  <c r="W24" i="80"/>
  <c r="W124" i="80" s="1"/>
  <c r="AB21" i="80"/>
  <c r="AB121" i="80" s="1"/>
  <c r="X21" i="80"/>
  <c r="X121" i="80" s="1"/>
  <c r="AE20" i="80"/>
  <c r="AE120" i="80" s="1"/>
  <c r="AA20" i="80"/>
  <c r="AA120" i="80" s="1"/>
  <c r="W20" i="80"/>
  <c r="W120" i="80" s="1"/>
  <c r="AB17" i="80"/>
  <c r="AB117" i="80" s="1"/>
  <c r="X17" i="80"/>
  <c r="X117" i="80" s="1"/>
  <c r="AE16" i="80"/>
  <c r="AE116" i="80" s="1"/>
  <c r="AA16" i="80"/>
  <c r="AA116" i="80" s="1"/>
  <c r="W16" i="80"/>
  <c r="W116" i="80" s="1"/>
  <c r="AB13" i="80"/>
  <c r="AB113" i="80" s="1"/>
  <c r="X13" i="80"/>
  <c r="X113" i="80" s="1"/>
  <c r="AE12" i="80"/>
  <c r="AE112" i="80" s="1"/>
  <c r="AA12" i="80"/>
  <c r="AA112" i="80" s="1"/>
  <c r="W12" i="80"/>
  <c r="W112" i="80" s="1"/>
  <c r="AE9" i="80"/>
  <c r="AE109" i="80" s="1"/>
  <c r="AA9" i="80"/>
  <c r="AA109" i="80" s="1"/>
  <c r="W9" i="80"/>
  <c r="W109" i="80" s="1"/>
  <c r="AC8" i="80"/>
  <c r="AC108" i="80" s="1"/>
  <c r="Y8" i="80"/>
  <c r="Y108" i="80" s="1"/>
  <c r="AB44" i="80"/>
  <c r="AB144" i="80" s="1"/>
  <c r="AC41" i="80"/>
  <c r="AC141" i="80" s="1"/>
  <c r="Y41" i="80"/>
  <c r="Y141" i="80" s="1"/>
  <c r="AB40" i="80"/>
  <c r="AB140" i="80" s="1"/>
  <c r="AC37" i="80"/>
  <c r="AC137" i="80" s="1"/>
  <c r="Y37" i="80"/>
  <c r="Y137" i="80" s="1"/>
  <c r="AB36" i="80"/>
  <c r="AB136" i="80" s="1"/>
  <c r="AC33" i="80"/>
  <c r="AC133" i="80" s="1"/>
  <c r="Y33" i="80"/>
  <c r="Y133" i="80" s="1"/>
  <c r="AB32" i="80"/>
  <c r="AB132" i="80" s="1"/>
  <c r="AC29" i="80"/>
  <c r="AC129" i="80" s="1"/>
  <c r="Y29" i="80"/>
  <c r="Y129" i="80" s="1"/>
  <c r="AB28" i="80"/>
  <c r="AB128" i="80" s="1"/>
  <c r="AC25" i="80"/>
  <c r="AC125" i="80" s="1"/>
  <c r="Y25" i="80"/>
  <c r="Y125" i="80" s="1"/>
  <c r="AB24" i="80"/>
  <c r="AB124" i="80" s="1"/>
  <c r="AC21" i="80"/>
  <c r="AC121" i="80" s="1"/>
  <c r="Y21" i="80"/>
  <c r="Y121" i="80" s="1"/>
  <c r="AB20" i="80"/>
  <c r="AB120" i="80" s="1"/>
  <c r="AC17" i="80"/>
  <c r="AC117" i="80" s="1"/>
  <c r="Y17" i="80"/>
  <c r="Y117" i="80" s="1"/>
  <c r="AB16" i="80"/>
  <c r="AB116" i="80" s="1"/>
  <c r="AC13" i="80"/>
  <c r="AC113" i="80" s="1"/>
  <c r="Y13" i="80"/>
  <c r="Y113" i="80" s="1"/>
  <c r="AB12" i="80"/>
  <c r="AB112" i="80" s="1"/>
  <c r="AB9" i="80"/>
  <c r="AB109" i="80" s="1"/>
  <c r="X9" i="80"/>
  <c r="X109" i="80" s="1"/>
  <c r="AD8" i="80"/>
  <c r="AD108" i="80" s="1"/>
  <c r="Z8" i="80"/>
  <c r="Z108" i="80" s="1"/>
  <c r="V8" i="80"/>
  <c r="V108" i="80" s="1"/>
  <c r="X94" i="1"/>
  <c r="X96" i="1" s="1"/>
  <c r="U93" i="1"/>
  <c r="U96" i="1" s="1"/>
  <c r="V92" i="1"/>
  <c r="AA17" i="10" l="1"/>
  <c r="L17" i="10"/>
  <c r="T17" i="10"/>
  <c r="R17" i="10"/>
  <c r="Y17" i="10"/>
  <c r="N17" i="10"/>
  <c r="P17" i="10"/>
  <c r="O17" i="10"/>
  <c r="X17" i="10"/>
  <c r="D17" i="10"/>
  <c r="H17" i="10"/>
  <c r="K17" i="10"/>
  <c r="V17" i="10"/>
  <c r="AJ17" i="10"/>
  <c r="AG17" i="10"/>
  <c r="AK17" i="10"/>
  <c r="AK18" i="11"/>
  <c r="AL18" i="11"/>
  <c r="AE17" i="10"/>
  <c r="S17" i="10"/>
  <c r="AF17" i="10"/>
  <c r="Q17" i="10"/>
  <c r="T18" i="11"/>
  <c r="P18" i="11"/>
  <c r="X18" i="11"/>
  <c r="O18" i="11"/>
  <c r="W18" i="11"/>
  <c r="R18" i="11"/>
  <c r="Z18" i="11"/>
  <c r="Q18" i="11"/>
  <c r="Y18" i="11"/>
  <c r="AA18" i="11"/>
  <c r="F18" i="11"/>
  <c r="E18" i="11"/>
  <c r="L18" i="11"/>
  <c r="AH18" i="11"/>
  <c r="K18" i="11"/>
  <c r="S18" i="11"/>
  <c r="N18" i="11"/>
  <c r="V18" i="11"/>
  <c r="M18" i="11"/>
  <c r="U18" i="11"/>
  <c r="D18" i="11"/>
  <c r="AF18" i="11"/>
  <c r="AE18" i="11"/>
  <c r="H18" i="11"/>
  <c r="AD18" i="11"/>
  <c r="G18" i="11"/>
  <c r="AG18" i="11"/>
  <c r="J18" i="11"/>
  <c r="AJ18" i="11"/>
  <c r="I18" i="11"/>
  <c r="AI18" i="11"/>
  <c r="AB18" i="11"/>
  <c r="AC18" i="11"/>
  <c r="T84" i="54"/>
  <c r="T71" i="54"/>
  <c r="T93" i="54"/>
  <c r="T66" i="54"/>
  <c r="V96" i="1"/>
  <c r="V98" i="1"/>
  <c r="T92" i="54"/>
  <c r="T74" i="54"/>
  <c r="T100" i="54"/>
  <c r="T73" i="54"/>
  <c r="T107" i="54"/>
  <c r="U47" i="80"/>
  <c r="AG48" i="80" s="1"/>
  <c r="AG148" i="80" s="1"/>
  <c r="X147" i="80"/>
  <c r="X150" i="80" s="1"/>
  <c r="W147" i="80"/>
  <c r="W150" i="80" s="1"/>
  <c r="AC147" i="80"/>
  <c r="AC150" i="80" s="1"/>
  <c r="V147" i="80"/>
  <c r="V150" i="80" s="1"/>
  <c r="T88" i="54"/>
  <c r="AB147" i="80"/>
  <c r="AB150" i="80" s="1"/>
  <c r="AA147" i="80"/>
  <c r="AA150" i="80" s="1"/>
  <c r="Z147" i="80"/>
  <c r="Z150" i="80" s="1"/>
  <c r="T99" i="54"/>
  <c r="U107" i="80"/>
  <c r="U106" i="80"/>
  <c r="AD147" i="80"/>
  <c r="AD150" i="80" s="1"/>
  <c r="C20" i="7"/>
  <c r="C21" i="7" s="1"/>
  <c r="T83" i="54"/>
  <c r="T102" i="54"/>
  <c r="AE147" i="80"/>
  <c r="AE150" i="80" s="1"/>
  <c r="Y147" i="80"/>
  <c r="Y150" i="80" s="1"/>
  <c r="T89" i="54"/>
  <c r="T95" i="54"/>
  <c r="T90" i="54"/>
  <c r="T76" i="54"/>
  <c r="T77" i="54"/>
  <c r="AA47" i="80"/>
  <c r="AM48" i="80" s="1"/>
  <c r="AM148" i="80" s="1"/>
  <c r="AE47" i="80"/>
  <c r="Y47" i="80"/>
  <c r="AK48" i="80" s="1"/>
  <c r="AK148" i="80" s="1"/>
  <c r="Z47" i="80"/>
  <c r="AL48" i="80" s="1"/>
  <c r="AL148" i="80" s="1"/>
  <c r="X47" i="80"/>
  <c r="AJ48" i="80" s="1"/>
  <c r="AJ148" i="80" s="1"/>
  <c r="W47" i="80"/>
  <c r="AI48" i="80" s="1"/>
  <c r="AI148" i="80" s="1"/>
  <c r="AC47" i="80"/>
  <c r="AO48" i="80" s="1"/>
  <c r="AD47" i="80"/>
  <c r="AP48" i="80" s="1"/>
  <c r="AP148" i="80" s="1"/>
  <c r="V47" i="80"/>
  <c r="AH48" i="80" s="1"/>
  <c r="AH148" i="80" s="1"/>
  <c r="AN6" i="80"/>
  <c r="AN106" i="80" s="1"/>
  <c r="AB47" i="80"/>
  <c r="AN48" i="80" s="1"/>
  <c r="AN148" i="80" s="1"/>
  <c r="AN9" i="80"/>
  <c r="AN109" i="80" s="1"/>
  <c r="AO25" i="80"/>
  <c r="AO125" i="80" s="1"/>
  <c r="AK37" i="80"/>
  <c r="AK137" i="80" s="1"/>
  <c r="AM12" i="80"/>
  <c r="AM112" i="80" s="1"/>
  <c r="AJ21" i="80"/>
  <c r="AJ121" i="80" s="1"/>
  <c r="AI32" i="80"/>
  <c r="AI132" i="80" s="1"/>
  <c r="AG15" i="80"/>
  <c r="AG115" i="80" s="1"/>
  <c r="AG39" i="80"/>
  <c r="AG139" i="80" s="1"/>
  <c r="AP11" i="80"/>
  <c r="AP111" i="80" s="1"/>
  <c r="AM19" i="80"/>
  <c r="AM119" i="80" s="1"/>
  <c r="AP35" i="80"/>
  <c r="AP135" i="80" s="1"/>
  <c r="AI18" i="80"/>
  <c r="AI118" i="80" s="1"/>
  <c r="AM18" i="80"/>
  <c r="AM118" i="80" s="1"/>
  <c r="AI42" i="80"/>
  <c r="AI142" i="80" s="1"/>
  <c r="AH14" i="80"/>
  <c r="AH114" i="80" s="1"/>
  <c r="AH22" i="80"/>
  <c r="AH122" i="80" s="1"/>
  <c r="AP34" i="80"/>
  <c r="AP134" i="80" s="1"/>
  <c r="AP42" i="80"/>
  <c r="AP142" i="80" s="1"/>
  <c r="AK13" i="80"/>
  <c r="AK113" i="80" s="1"/>
  <c r="AN24" i="80"/>
  <c r="AN124" i="80" s="1"/>
  <c r="AO33" i="80"/>
  <c r="AO133" i="80" s="1"/>
  <c r="AN40" i="80"/>
  <c r="AN140" i="80" s="1"/>
  <c r="AM20" i="80"/>
  <c r="AM120" i="80" s="1"/>
  <c r="AJ29" i="80"/>
  <c r="AJ129" i="80" s="1"/>
  <c r="AI40" i="80"/>
  <c r="AI140" i="80" s="1"/>
  <c r="AN18" i="80"/>
  <c r="AN118" i="80" s="1"/>
  <c r="AG31" i="80"/>
  <c r="AG131" i="80" s="1"/>
  <c r="AH11" i="80"/>
  <c r="AH111" i="80" s="1"/>
  <c r="AH19" i="80"/>
  <c r="AH119" i="80" s="1"/>
  <c r="AH27" i="80"/>
  <c r="AH127" i="80" s="1"/>
  <c r="AM31" i="80"/>
  <c r="AM131" i="80" s="1"/>
  <c r="AP39" i="80"/>
  <c r="AP139" i="80" s="1"/>
  <c r="AM39" i="80"/>
  <c r="AM139" i="80" s="1"/>
  <c r="AM22" i="80"/>
  <c r="AM122" i="80" s="1"/>
  <c r="AM34" i="80"/>
  <c r="AM134" i="80" s="1"/>
  <c r="AK7" i="80"/>
  <c r="AK107" i="80" s="1"/>
  <c r="AI22" i="80"/>
  <c r="AI122" i="80" s="1"/>
  <c r="AJ27" i="80"/>
  <c r="AJ127" i="80" s="1"/>
  <c r="AI34" i="80"/>
  <c r="AI134" i="80" s="1"/>
  <c r="AN43" i="80"/>
  <c r="AN143" i="80" s="1"/>
  <c r="AK10" i="80"/>
  <c r="AK110" i="80" s="1"/>
  <c r="AG10" i="80"/>
  <c r="AG110" i="80" s="1"/>
  <c r="AP14" i="80"/>
  <c r="AP114" i="80" s="1"/>
  <c r="AK18" i="80"/>
  <c r="AK118" i="80" s="1"/>
  <c r="AH18" i="80"/>
  <c r="AH118" i="80" s="1"/>
  <c r="AP22" i="80"/>
  <c r="AP122" i="80" s="1"/>
  <c r="AK26" i="80"/>
  <c r="AK126" i="80" s="1"/>
  <c r="AH26" i="80"/>
  <c r="AH126" i="80" s="1"/>
  <c r="AP30" i="80"/>
  <c r="AP130" i="80" s="1"/>
  <c r="AK34" i="80"/>
  <c r="AK134" i="80" s="1"/>
  <c r="AH34" i="80"/>
  <c r="AH134" i="80" s="1"/>
  <c r="AP38" i="80"/>
  <c r="AP138" i="80" s="1"/>
  <c r="AK42" i="80"/>
  <c r="AK142" i="80" s="1"/>
  <c r="AH42" i="80"/>
  <c r="AH142" i="80" s="1"/>
  <c r="AL6" i="80"/>
  <c r="AL106" i="80" s="1"/>
  <c r="T64" i="54"/>
  <c r="T79" i="54"/>
  <c r="T62" i="54"/>
  <c r="T106" i="54"/>
  <c r="T68" i="54"/>
  <c r="T85" i="54"/>
  <c r="T96" i="54"/>
  <c r="AH8" i="80"/>
  <c r="AH108" i="80" s="1"/>
  <c r="AI16" i="80"/>
  <c r="AI116" i="80" s="1"/>
  <c r="AM36" i="80"/>
  <c r="AM136" i="80" s="1"/>
  <c r="AL7" i="80"/>
  <c r="AL107" i="80" s="1"/>
  <c r="AJ34" i="80"/>
  <c r="AJ134" i="80" s="1"/>
  <c r="AI7" i="80"/>
  <c r="AI107" i="80" s="1"/>
  <c r="AH15" i="80"/>
  <c r="AH115" i="80" s="1"/>
  <c r="AH23" i="80"/>
  <c r="AH123" i="80" s="1"/>
  <c r="AM27" i="80"/>
  <c r="AM127" i="80" s="1"/>
  <c r="AM35" i="80"/>
  <c r="AM135" i="80" s="1"/>
  <c r="AP43" i="80"/>
  <c r="AP143" i="80" s="1"/>
  <c r="AM42" i="80"/>
  <c r="AM142" i="80" s="1"/>
  <c r="AN23" i="80"/>
  <c r="AN123" i="80" s="1"/>
  <c r="AK14" i="80"/>
  <c r="AK114" i="80" s="1"/>
  <c r="AK22" i="80"/>
  <c r="AK122" i="80" s="1"/>
  <c r="AK30" i="80"/>
  <c r="AK130" i="80" s="1"/>
  <c r="AH38" i="80"/>
  <c r="AH138" i="80" s="1"/>
  <c r="AK6" i="80"/>
  <c r="AK106" i="80" s="1"/>
  <c r="AP8" i="80"/>
  <c r="AP108" i="80" s="1"/>
  <c r="AO17" i="80"/>
  <c r="AO117" i="80" s="1"/>
  <c r="AK29" i="80"/>
  <c r="AK129" i="80" s="1"/>
  <c r="AK8" i="80"/>
  <c r="AK108" i="80" s="1"/>
  <c r="AJ13" i="80"/>
  <c r="AJ113" i="80" s="1"/>
  <c r="AI24" i="80"/>
  <c r="AI124" i="80" s="1"/>
  <c r="AN25" i="80"/>
  <c r="AN125" i="80" s="1"/>
  <c r="AM44" i="80"/>
  <c r="AM144" i="80" s="1"/>
  <c r="AK11" i="80"/>
  <c r="AK111" i="80" s="1"/>
  <c r="AO23" i="80"/>
  <c r="AO123" i="80" s="1"/>
  <c r="AO35" i="80"/>
  <c r="AO135" i="80" s="1"/>
  <c r="AJ42" i="80"/>
  <c r="AJ142" i="80" s="1"/>
  <c r="AJ7" i="80"/>
  <c r="AJ107" i="80" s="1"/>
  <c r="AP15" i="80"/>
  <c r="AP115" i="80" s="1"/>
  <c r="AM15" i="80"/>
  <c r="AM115" i="80" s="1"/>
  <c r="AP23" i="80"/>
  <c r="AP123" i="80" s="1"/>
  <c r="AM23" i="80"/>
  <c r="AM123" i="80" s="1"/>
  <c r="AP31" i="80"/>
  <c r="AP131" i="80" s="1"/>
  <c r="AH35" i="80"/>
  <c r="AH135" i="80" s="1"/>
  <c r="AH43" i="80"/>
  <c r="AH143" i="80" s="1"/>
  <c r="AJ9" i="80"/>
  <c r="AJ109" i="80" s="1"/>
  <c r="AO13" i="80"/>
  <c r="AO113" i="80" s="1"/>
  <c r="AN20" i="80"/>
  <c r="AN120" i="80" s="1"/>
  <c r="AK25" i="80"/>
  <c r="AK125" i="80" s="1"/>
  <c r="AO29" i="80"/>
  <c r="AO129" i="80" s="1"/>
  <c r="AN36" i="80"/>
  <c r="AN136" i="80" s="1"/>
  <c r="AK41" i="80"/>
  <c r="AK141" i="80" s="1"/>
  <c r="AO8" i="80"/>
  <c r="AO108" i="80" s="1"/>
  <c r="AI12" i="80"/>
  <c r="AI112" i="80" s="1"/>
  <c r="AN13" i="80"/>
  <c r="AN113" i="80" s="1"/>
  <c r="AJ17" i="80"/>
  <c r="AJ117" i="80" s="1"/>
  <c r="AM24" i="80"/>
  <c r="AM124" i="80" s="1"/>
  <c r="AI28" i="80"/>
  <c r="AI128" i="80" s="1"/>
  <c r="AN29" i="80"/>
  <c r="AN129" i="80" s="1"/>
  <c r="AI36" i="80"/>
  <c r="AI136" i="80" s="1"/>
  <c r="AM40" i="80"/>
  <c r="AM140" i="80" s="1"/>
  <c r="AJ14" i="80"/>
  <c r="AJ114" i="80" s="1"/>
  <c r="AK19" i="80"/>
  <c r="AK119" i="80" s="1"/>
  <c r="AN26" i="80"/>
  <c r="AN126" i="80" s="1"/>
  <c r="AO31" i="80"/>
  <c r="AO131" i="80" s="1"/>
  <c r="AJ38" i="80"/>
  <c r="AJ138" i="80" s="1"/>
  <c r="AG43" i="80"/>
  <c r="AG143" i="80" s="1"/>
  <c r="AM7" i="80"/>
  <c r="AM107" i="80" s="1"/>
  <c r="AG7" i="80"/>
  <c r="AG107" i="80" s="1"/>
  <c r="AL15" i="80"/>
  <c r="AL115" i="80" s="1"/>
  <c r="AI15" i="80"/>
  <c r="AI115" i="80" s="1"/>
  <c r="AL23" i="80"/>
  <c r="AL123" i="80" s="1"/>
  <c r="AI23" i="80"/>
  <c r="AI123" i="80" s="1"/>
  <c r="AL31" i="80"/>
  <c r="AL131" i="80" s="1"/>
  <c r="AI31" i="80"/>
  <c r="AI131" i="80" s="1"/>
  <c r="AL39" i="80"/>
  <c r="AL139" i="80" s="1"/>
  <c r="AI39" i="80"/>
  <c r="AI139" i="80" s="1"/>
  <c r="T101" i="54"/>
  <c r="T94" i="54"/>
  <c r="AM14" i="80"/>
  <c r="AM114" i="80" s="1"/>
  <c r="AI26" i="80"/>
  <c r="AI126" i="80" s="1"/>
  <c r="AM38" i="80"/>
  <c r="AM138" i="80" s="1"/>
  <c r="T86" i="54"/>
  <c r="AM10" i="80"/>
  <c r="AM110" i="80" s="1"/>
  <c r="AN15" i="80"/>
  <c r="AN115" i="80" s="1"/>
  <c r="AI30" i="80"/>
  <c r="AI130" i="80" s="1"/>
  <c r="AN39" i="80"/>
  <c r="AN139" i="80" s="1"/>
  <c r="AI6" i="80"/>
  <c r="AI106" i="80" s="1"/>
  <c r="AP10" i="80"/>
  <c r="AP110" i="80" s="1"/>
  <c r="AO14" i="80"/>
  <c r="AO114" i="80" s="1"/>
  <c r="AL14" i="80"/>
  <c r="AL114" i="80" s="1"/>
  <c r="AG18" i="80"/>
  <c r="AG118" i="80" s="1"/>
  <c r="AO22" i="80"/>
  <c r="AO122" i="80" s="1"/>
  <c r="AL22" i="80"/>
  <c r="AL122" i="80" s="1"/>
  <c r="AG26" i="80"/>
  <c r="AG126" i="80" s="1"/>
  <c r="AO30" i="80"/>
  <c r="AO130" i="80" s="1"/>
  <c r="AL30" i="80"/>
  <c r="AL130" i="80" s="1"/>
  <c r="AG34" i="80"/>
  <c r="AG134" i="80" s="1"/>
  <c r="AO38" i="80"/>
  <c r="AO138" i="80" s="1"/>
  <c r="AL38" i="80"/>
  <c r="AL138" i="80" s="1"/>
  <c r="AG42" i="80"/>
  <c r="AG142" i="80" s="1"/>
  <c r="AO6" i="80"/>
  <c r="AH6" i="80"/>
  <c r="AH106" i="80" s="1"/>
  <c r="T72" i="54"/>
  <c r="T87" i="54"/>
  <c r="T82" i="54"/>
  <c r="T69" i="54"/>
  <c r="T75" i="54"/>
  <c r="T80" i="54"/>
  <c r="T70" i="54"/>
  <c r="AN16" i="80"/>
  <c r="AN116" i="80" s="1"/>
  <c r="AK21" i="80"/>
  <c r="AK121" i="80" s="1"/>
  <c r="AN32" i="80"/>
  <c r="AN132" i="80" s="1"/>
  <c r="AO41" i="80"/>
  <c r="AO141" i="80" s="1"/>
  <c r="AI9" i="80"/>
  <c r="AI109" i="80" s="1"/>
  <c r="AN17" i="80"/>
  <c r="AN117" i="80" s="1"/>
  <c r="AM28" i="80"/>
  <c r="AM128" i="80" s="1"/>
  <c r="AJ22" i="80"/>
  <c r="AJ122" i="80" s="1"/>
  <c r="AK27" i="80"/>
  <c r="AK127" i="80" s="1"/>
  <c r="AO43" i="80"/>
  <c r="AO143" i="80" s="1"/>
  <c r="AM11" i="80"/>
  <c r="AM111" i="80" s="1"/>
  <c r="AP19" i="80"/>
  <c r="AP119" i="80" s="1"/>
  <c r="AP27" i="80"/>
  <c r="AP127" i="80" s="1"/>
  <c r="AH31" i="80"/>
  <c r="AH131" i="80" s="1"/>
  <c r="AH39" i="80"/>
  <c r="AH139" i="80" s="1"/>
  <c r="AM43" i="80"/>
  <c r="AM143" i="80" s="1"/>
  <c r="AJ11" i="80"/>
  <c r="AJ111" i="80" s="1"/>
  <c r="AN35" i="80"/>
  <c r="AN135" i="80" s="1"/>
  <c r="AL10" i="80"/>
  <c r="AL110" i="80" s="1"/>
  <c r="AP18" i="80"/>
  <c r="AP118" i="80" s="1"/>
  <c r="AP26" i="80"/>
  <c r="AP126" i="80" s="1"/>
  <c r="AH30" i="80"/>
  <c r="AH130" i="80" s="1"/>
  <c r="AK38" i="80"/>
  <c r="AK138" i="80" s="1"/>
  <c r="AG6" i="80"/>
  <c r="AL8" i="80"/>
  <c r="AL108" i="80" s="1"/>
  <c r="AN12" i="80"/>
  <c r="AN112" i="80" s="1"/>
  <c r="AK17" i="80"/>
  <c r="AK117" i="80" s="1"/>
  <c r="AO21" i="80"/>
  <c r="AO121" i="80" s="1"/>
  <c r="AN28" i="80"/>
  <c r="AN128" i="80" s="1"/>
  <c r="AK33" i="80"/>
  <c r="AK133" i="80" s="1"/>
  <c r="AO37" i="80"/>
  <c r="AO137" i="80" s="1"/>
  <c r="AN44" i="80"/>
  <c r="AN144" i="80" s="1"/>
  <c r="AM9" i="80"/>
  <c r="AM109" i="80" s="1"/>
  <c r="AM16" i="80"/>
  <c r="AM116" i="80" s="1"/>
  <c r="AI20" i="80"/>
  <c r="AI120" i="80" s="1"/>
  <c r="AN21" i="80"/>
  <c r="AN121" i="80" s="1"/>
  <c r="AJ25" i="80"/>
  <c r="AJ125" i="80" s="1"/>
  <c r="AM32" i="80"/>
  <c r="AM132" i="80" s="1"/>
  <c r="AI44" i="80"/>
  <c r="AI144" i="80" s="1"/>
  <c r="AN10" i="80"/>
  <c r="AN110" i="80" s="1"/>
  <c r="AO15" i="80"/>
  <c r="AO115" i="80" s="1"/>
  <c r="AG23" i="80"/>
  <c r="AG123" i="80" s="1"/>
  <c r="AJ30" i="80"/>
  <c r="AJ130" i="80" s="1"/>
  <c r="AG35" i="80"/>
  <c r="AG135" i="80" s="1"/>
  <c r="AO39" i="80"/>
  <c r="AO139" i="80" s="1"/>
  <c r="AJ6" i="80"/>
  <c r="AJ106" i="80" s="1"/>
  <c r="AN7" i="80"/>
  <c r="AN107" i="80" s="1"/>
  <c r="AL11" i="80"/>
  <c r="AL111" i="80" s="1"/>
  <c r="AI11" i="80"/>
  <c r="AI111" i="80" s="1"/>
  <c r="AL19" i="80"/>
  <c r="AL119" i="80" s="1"/>
  <c r="AI19" i="80"/>
  <c r="AI119" i="80" s="1"/>
  <c r="AL27" i="80"/>
  <c r="AL127" i="80" s="1"/>
  <c r="AI27" i="80"/>
  <c r="AI127" i="80" s="1"/>
  <c r="AL35" i="80"/>
  <c r="AL135" i="80" s="1"/>
  <c r="AI35" i="80"/>
  <c r="AI135" i="80" s="1"/>
  <c r="AL43" i="80"/>
  <c r="AL143" i="80" s="1"/>
  <c r="AI43" i="80"/>
  <c r="AI143" i="80" s="1"/>
  <c r="T81" i="54"/>
  <c r="T91" i="54"/>
  <c r="AI10" i="80"/>
  <c r="AI110" i="80" s="1"/>
  <c r="AM30" i="80"/>
  <c r="AM130" i="80" s="1"/>
  <c r="AM6" i="80"/>
  <c r="AM106" i="80" s="1"/>
  <c r="T63" i="54"/>
  <c r="T105" i="54"/>
  <c r="AI14" i="80"/>
  <c r="AI114" i="80" s="1"/>
  <c r="AJ19" i="80"/>
  <c r="AJ119" i="80" s="1"/>
  <c r="AM26" i="80"/>
  <c r="AM126" i="80" s="1"/>
  <c r="AN31" i="80"/>
  <c r="AN131" i="80" s="1"/>
  <c r="AI38" i="80"/>
  <c r="AI138" i="80" s="1"/>
  <c r="AO10" i="80"/>
  <c r="AO110" i="80" s="1"/>
  <c r="AH10" i="80"/>
  <c r="AH110" i="80" s="1"/>
  <c r="AG14" i="80"/>
  <c r="AG114" i="80" s="1"/>
  <c r="AO18" i="80"/>
  <c r="AO118" i="80" s="1"/>
  <c r="AL18" i="80"/>
  <c r="AL118" i="80" s="1"/>
  <c r="AG22" i="80"/>
  <c r="AG122" i="80" s="1"/>
  <c r="AO26" i="80"/>
  <c r="AO126" i="80" s="1"/>
  <c r="AL26" i="80"/>
  <c r="AL126" i="80" s="1"/>
  <c r="AG30" i="80"/>
  <c r="AG130" i="80" s="1"/>
  <c r="AO34" i="80"/>
  <c r="AO134" i="80" s="1"/>
  <c r="AL34" i="80"/>
  <c r="AL134" i="80" s="1"/>
  <c r="AG38" i="80"/>
  <c r="AG138" i="80" s="1"/>
  <c r="AO42" i="80"/>
  <c r="AO142" i="80" s="1"/>
  <c r="AL42" i="80"/>
  <c r="AL142" i="80" s="1"/>
  <c r="AP6" i="80"/>
  <c r="T67" i="54"/>
  <c r="T103" i="54"/>
  <c r="T98" i="54"/>
  <c r="T65" i="54"/>
  <c r="T104" i="54"/>
  <c r="T78" i="54"/>
  <c r="T97" i="54"/>
  <c r="AO106" i="80" l="1"/>
  <c r="AO148" i="80"/>
  <c r="AG47" i="80"/>
  <c r="U147" i="80"/>
  <c r="C23" i="7"/>
  <c r="C22" i="7"/>
  <c r="AP47" i="80"/>
  <c r="AP106" i="80"/>
  <c r="AG106" i="80"/>
  <c r="AM47" i="80"/>
  <c r="AJ47" i="80"/>
  <c r="AN47" i="80"/>
  <c r="AL47" i="80"/>
  <c r="AO47" i="80"/>
  <c r="AI47" i="80"/>
  <c r="AH47" i="80"/>
  <c r="AK47" i="80"/>
  <c r="AG50" i="80" l="1"/>
  <c r="AG49" i="80" s="1"/>
  <c r="AG147" i="80"/>
  <c r="AK50" i="80"/>
  <c r="AK49" i="80" s="1"/>
  <c r="AK147" i="80"/>
  <c r="AO50" i="80"/>
  <c r="AO147" i="80"/>
  <c r="AN50" i="80"/>
  <c r="AN49" i="80" s="1"/>
  <c r="AN147" i="80"/>
  <c r="AN149" i="80" s="1"/>
  <c r="AN150" i="80" s="1"/>
  <c r="AN151" i="80" s="1"/>
  <c r="AM50" i="80"/>
  <c r="AM49" i="80" s="1"/>
  <c r="AM147" i="80"/>
  <c r="AP50" i="80"/>
  <c r="AP49" i="80" s="1"/>
  <c r="AP147" i="80"/>
  <c r="AP149" i="80" s="1"/>
  <c r="AP150" i="80" s="1"/>
  <c r="AP151" i="80" s="1"/>
  <c r="AH50" i="80"/>
  <c r="AH49" i="80" s="1"/>
  <c r="AH147" i="80"/>
  <c r="AH149" i="80" s="1"/>
  <c r="AH150" i="80" s="1"/>
  <c r="AH151" i="80" s="1"/>
  <c r="AI50" i="80"/>
  <c r="AI49" i="80" s="1"/>
  <c r="AI147" i="80"/>
  <c r="AL50" i="80"/>
  <c r="AL49" i="80" s="1"/>
  <c r="AL147" i="80"/>
  <c r="AL149" i="80" s="1"/>
  <c r="AL150" i="80" s="1"/>
  <c r="AL151" i="80" s="1"/>
  <c r="AJ50" i="80"/>
  <c r="AJ49" i="80" s="1"/>
  <c r="AJ147" i="80"/>
  <c r="AJ149" i="80" s="1"/>
  <c r="AJ150" i="80" s="1"/>
  <c r="AJ151" i="80" s="1"/>
  <c r="AO49" i="80" l="1"/>
  <c r="AI149" i="80"/>
  <c r="AI150" i="80" s="1"/>
  <c r="AI151" i="80" s="1"/>
  <c r="AM149" i="80"/>
  <c r="AM150" i="80" s="1"/>
  <c r="AM151" i="80" s="1"/>
  <c r="AO149" i="80"/>
  <c r="AO150" i="80" s="1"/>
  <c r="AO151" i="80" s="1"/>
  <c r="AK149" i="80"/>
  <c r="AK150" i="80" s="1"/>
  <c r="AK151" i="80" s="1"/>
  <c r="AE94" i="1"/>
  <c r="AE96" i="1" l="1"/>
  <c r="AE99" i="1" l="1"/>
  <c r="AF18" i="1" l="1"/>
  <c r="AF27" i="1" l="1"/>
  <c r="AF92" i="1" l="1"/>
  <c r="AF98" i="1" l="1"/>
  <c r="AF96" i="1"/>
  <c r="AF99" i="1" l="1"/>
  <c r="ES9" i="91" l="1"/>
  <c r="ES13" i="91"/>
  <c r="ET13" i="91" s="1"/>
  <c r="ES17" i="91"/>
  <c r="ET17" i="91" s="1"/>
  <c r="ES21" i="91"/>
  <c r="ET21" i="91" s="1"/>
  <c r="ES25" i="91"/>
  <c r="ET25" i="91" s="1"/>
  <c r="ES29" i="91"/>
  <c r="ET29" i="91" s="1"/>
  <c r="ES33" i="91"/>
  <c r="ET33" i="91" s="1"/>
  <c r="ES37" i="91"/>
  <c r="ET37" i="91" s="1"/>
  <c r="ES41" i="91"/>
  <c r="ET41" i="91" s="1"/>
  <c r="ES45" i="91"/>
  <c r="ET45" i="91" s="1"/>
  <c r="ES49" i="91"/>
  <c r="ES10" i="91"/>
  <c r="ET10" i="91" s="1"/>
  <c r="ES14" i="91"/>
  <c r="ET14" i="91" s="1"/>
  <c r="ES18" i="91"/>
  <c r="ET18" i="91" s="1"/>
  <c r="ES22" i="91"/>
  <c r="ET22" i="91" s="1"/>
  <c r="ES26" i="91"/>
  <c r="ET26" i="91" s="1"/>
  <c r="ES30" i="91"/>
  <c r="ET30" i="91" s="1"/>
  <c r="ES34" i="91"/>
  <c r="ET34" i="91" s="1"/>
  <c r="ES38" i="91"/>
  <c r="ET38" i="91" s="1"/>
  <c r="ES42" i="91"/>
  <c r="ET42" i="91" s="1"/>
  <c r="ES46" i="91"/>
  <c r="ET46" i="91" s="1"/>
  <c r="ES50" i="91"/>
  <c r="ES11" i="91"/>
  <c r="ET11" i="91" s="1"/>
  <c r="ES15" i="91"/>
  <c r="ET15" i="91" s="1"/>
  <c r="ES19" i="91"/>
  <c r="ET19" i="91" s="1"/>
  <c r="ES23" i="91"/>
  <c r="ET23" i="91" s="1"/>
  <c r="ES27" i="91"/>
  <c r="ET27" i="91" s="1"/>
  <c r="ES31" i="91"/>
  <c r="ET31" i="91" s="1"/>
  <c r="ES35" i="91"/>
  <c r="ET35" i="91" s="1"/>
  <c r="ES39" i="91"/>
  <c r="ET39" i="91" s="1"/>
  <c r="ES43" i="91"/>
  <c r="ET43" i="91" s="1"/>
  <c r="ES47" i="91"/>
  <c r="ET47" i="91" s="1"/>
  <c r="ES12" i="91"/>
  <c r="ET12" i="91" s="1"/>
  <c r="ES16" i="91"/>
  <c r="ET16" i="91" s="1"/>
  <c r="ES20" i="91"/>
  <c r="ET20" i="91" s="1"/>
  <c r="ES24" i="91"/>
  <c r="ET24" i="91" s="1"/>
  <c r="ES28" i="91"/>
  <c r="ET28" i="91" s="1"/>
  <c r="ES32" i="91"/>
  <c r="ET32" i="91" s="1"/>
  <c r="ES36" i="91"/>
  <c r="ET36" i="91" s="1"/>
  <c r="ES40" i="91"/>
  <c r="ET40" i="91" s="1"/>
  <c r="ES44" i="91"/>
  <c r="ET44" i="91" s="1"/>
  <c r="ES48" i="91"/>
  <c r="ET48" i="91" s="1"/>
  <c r="ET9" i="91" l="1"/>
  <c r="ET51" i="91" s="1"/>
  <c r="ET53" i="91" s="1"/>
  <c r="ES51" i="91"/>
  <c r="ES53" i="91" s="1"/>
  <c r="FV54" i="91"/>
  <c r="FW8" i="91" s="1"/>
  <c r="FW9" i="91" l="1"/>
  <c r="FW10" i="91"/>
  <c r="FW45" i="91"/>
  <c r="FW44" i="91"/>
  <c r="FW26" i="91"/>
  <c r="FW23" i="91"/>
  <c r="FW39" i="91"/>
  <c r="FW34" i="91"/>
  <c r="FW13" i="91"/>
  <c r="FW29" i="91"/>
  <c r="FW28" i="91"/>
  <c r="FW25" i="91"/>
  <c r="FW11" i="91"/>
  <c r="FW20" i="91"/>
  <c r="FW38" i="91"/>
  <c r="FW15" i="91"/>
  <c r="FW24" i="91"/>
  <c r="FW27" i="91"/>
  <c r="FW21" i="91"/>
  <c r="FW31" i="91"/>
  <c r="FW16" i="91"/>
  <c r="FW18" i="91"/>
  <c r="FW41" i="91"/>
  <c r="FW40" i="91"/>
  <c r="FW42" i="91"/>
  <c r="FW37" i="91"/>
  <c r="FW33" i="91"/>
  <c r="FW32" i="91"/>
  <c r="FW19" i="91"/>
  <c r="FW17" i="91"/>
  <c r="FW36" i="91"/>
  <c r="FW12" i="91"/>
  <c r="FW22" i="91"/>
  <c r="FW35" i="91"/>
  <c r="FW30" i="91"/>
  <c r="FW14" i="91"/>
  <c r="FW43" i="91"/>
  <c r="FW51" i="91" l="1"/>
  <c r="FW53" i="9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Cheikh Baye</author>
    <author>TOSHIBA</author>
    <author xml:space="preserve"> </author>
    <author>MARHOUM</author>
    <author>Cheikh Bay</author>
    <author>HP</author>
    <author>me</author>
    <author>pedroj</author>
  </authors>
  <commentList>
    <comment ref="AB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Cheikh Baye:</t>
        </r>
        <r>
          <rPr>
            <sz val="9"/>
            <color indexed="81"/>
            <rFont val="Tahoma"/>
            <family val="2"/>
          </rPr>
          <t xml:space="preserve">
voir la ventilation, Concerne tout le chinchards</t>
        </r>
      </text>
    </comment>
    <comment ref="AF8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Dede:</t>
        </r>
        <r>
          <rPr>
            <sz val="9"/>
            <color indexed="81"/>
            <rFont val="Tahoma"/>
            <family val="2"/>
          </rPr>
          <t xml:space="preserve">
Clef Russie sur données Maroc</t>
        </r>
      </text>
    </comment>
    <comment ref="AB9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Cheikh Baye: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3" authorId="2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JJP (UE = FRA,NLD,LIT,LET)
</t>
        </r>
      </text>
    </comment>
    <comment ref="AA13" authorId="3" shapeId="0" xr:uid="{00000000-0006-0000-0000-000005000000}">
      <text>
        <r>
          <rPr>
            <b/>
            <sz val="9"/>
            <color indexed="81"/>
            <rFont val="Tahoma"/>
            <family val="2"/>
          </rPr>
          <t>MARHOUM:</t>
        </r>
        <r>
          <rPr>
            <sz val="9"/>
            <color indexed="81"/>
            <rFont val="Tahoma"/>
            <family val="2"/>
          </rPr>
          <t xml:space="preserve">
ventillé par Braham</t>
        </r>
      </text>
    </comment>
    <comment ref="U14" authorId="2" shapeId="0" xr:uid="{00000000-0006-0000-0000-000006000000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mise à jour</t>
        </r>
      </text>
    </comment>
    <comment ref="W14" authorId="4" shapeId="0" xr:uid="{00000000-0006-0000-0000-000007000000}">
      <text>
        <r>
          <rPr>
            <b/>
            <sz val="6"/>
            <color indexed="81"/>
            <rFont val="Tahoma"/>
            <family val="2"/>
          </rPr>
          <t>Cheikh Bay:</t>
        </r>
        <r>
          <rPr>
            <sz val="6"/>
            <color indexed="81"/>
            <rFont val="Tahoma"/>
            <family val="2"/>
          </rPr>
          <t xml:space="preserve">
Les bateaux Russe ont été ventilé sur la base de l'échantillonnage fourni par les russes</t>
        </r>
      </text>
    </comment>
    <comment ref="AA14" authorId="3" shapeId="0" xr:uid="{00000000-0006-0000-0000-000008000000}">
      <text>
        <r>
          <rPr>
            <b/>
            <sz val="9"/>
            <color indexed="81"/>
            <rFont val="Tahoma"/>
            <family val="2"/>
          </rPr>
          <t>MARHOUM:</t>
        </r>
        <r>
          <rPr>
            <sz val="9"/>
            <color indexed="81"/>
            <rFont val="Tahoma"/>
            <family val="2"/>
          </rPr>
          <t xml:space="preserve">
ventillé parBraham</t>
        </r>
      </text>
    </comment>
    <comment ref="AC14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Cheikh Baye:</t>
        </r>
        <r>
          <rPr>
            <sz val="9"/>
            <color indexed="81"/>
            <rFont val="Tahoma"/>
            <family val="2"/>
          </rPr>
          <t xml:space="preserve">
pas ventilé par flottille</t>
        </r>
      </text>
    </comment>
    <comment ref="AA23" authorId="5" shapeId="0" xr:uid="{00000000-0006-0000-0000-00000A000000}">
      <text>
        <r>
          <rPr>
            <b/>
            <sz val="9"/>
            <color rgb="FF000000"/>
            <rFont val="Tahoma"/>
            <family val="2"/>
          </rPr>
          <t>HP: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Toutes les captures de trachurus trach ont été rajouté à celle de Treace</t>
        </r>
      </text>
    </comment>
    <comment ref="AF37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Dede:</t>
        </r>
        <r>
          <rPr>
            <sz val="9"/>
            <color indexed="81"/>
            <rFont val="Tahoma"/>
            <family val="2"/>
          </rPr>
          <t xml:space="preserve">
Vantilation données Maroc clef Russie</t>
        </r>
      </text>
    </comment>
    <comment ref="W38" authorId="4" shapeId="0" xr:uid="{00000000-0006-0000-0000-00000C000000}">
      <text>
        <r>
          <rPr>
            <b/>
            <sz val="8"/>
            <color indexed="81"/>
            <rFont val="Tahoma"/>
            <family val="2"/>
          </rPr>
          <t>Cheikh:</t>
        </r>
        <r>
          <rPr>
            <sz val="8"/>
            <color indexed="81"/>
            <rFont val="Tahoma"/>
            <family val="2"/>
          </rPr>
          <t xml:space="preserve">
ventiler sur la base des données russes</t>
        </r>
      </text>
    </comment>
    <comment ref="V42" authorId="2" shapeId="0" xr:uid="{00000000-0006-0000-0000-00000D000000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JJP</t>
        </r>
      </text>
    </comment>
    <comment ref="W42" authorId="4" shapeId="0" xr:uid="{00000000-0006-0000-0000-00000E000000}">
      <text>
        <r>
          <rPr>
            <b/>
            <sz val="9"/>
            <color indexed="81"/>
            <rFont val="Tahoma"/>
            <family val="2"/>
          </rPr>
          <t>Cheikh Bay:</t>
        </r>
        <r>
          <rPr>
            <sz val="9"/>
            <color indexed="81"/>
            <rFont val="Tahoma"/>
            <family val="2"/>
          </rPr>
          <t xml:space="preserve">
% de 50% pedro (échantillonnage débarquement à las palmas)</t>
        </r>
      </text>
    </comment>
    <comment ref="X42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Cheikh Baye:</t>
        </r>
        <r>
          <rPr>
            <sz val="9"/>
            <color indexed="81"/>
            <rFont val="Tahoma"/>
            <family val="2"/>
          </rPr>
          <t xml:space="preserve">
échantillonnage IMROP</t>
        </r>
      </text>
    </comment>
    <comment ref="AA42" authorId="3" shapeId="0" xr:uid="{00000000-0006-0000-0000-000010000000}">
      <text>
        <r>
          <rPr>
            <b/>
            <sz val="9"/>
            <color indexed="81"/>
            <rFont val="Tahoma"/>
            <family val="2"/>
          </rPr>
          <t>MARHOUM:</t>
        </r>
        <r>
          <rPr>
            <sz val="9"/>
            <color indexed="81"/>
            <rFont val="Tahoma"/>
            <family val="2"/>
          </rPr>
          <t xml:space="preserve">
Ventillé par Braham</t>
        </r>
      </text>
    </comment>
    <comment ref="U43" authorId="2" shapeId="0" xr:uid="{00000000-0006-0000-0000-000011000000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mise à jour</t>
        </r>
      </text>
    </comment>
    <comment ref="W43" authorId="4" shapeId="0" xr:uid="{00000000-0006-0000-0000-000012000000}">
      <text>
        <r>
          <rPr>
            <b/>
            <sz val="7"/>
            <color indexed="81"/>
            <rFont val="Tahoma"/>
            <family val="2"/>
          </rPr>
          <t>Cheikh Bay:</t>
        </r>
        <r>
          <rPr>
            <sz val="7"/>
            <color indexed="81"/>
            <rFont val="Tahoma"/>
            <family val="2"/>
          </rPr>
          <t xml:space="preserve">
pour les bateaux russes et ukraons (ventiller sur la base des données Russe) et les autres sur la base du % IMROP </t>
        </r>
      </text>
    </comment>
    <comment ref="X43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Cheikh Baye:</t>
        </r>
        <r>
          <rPr>
            <sz val="9"/>
            <color indexed="81"/>
            <rFont val="Tahoma"/>
            <family val="2"/>
          </rPr>
          <t xml:space="preserve">
% fourni par Nicolay</t>
        </r>
      </text>
    </comment>
    <comment ref="AA43" authorId="3" shapeId="0" xr:uid="{00000000-0006-0000-0000-000014000000}">
      <text>
        <r>
          <rPr>
            <b/>
            <sz val="9"/>
            <color indexed="81"/>
            <rFont val="Tahoma"/>
            <family val="2"/>
          </rPr>
          <t>MARHOUM:</t>
        </r>
        <r>
          <rPr>
            <sz val="9"/>
            <color indexed="81"/>
            <rFont val="Tahoma"/>
            <family val="2"/>
          </rPr>
          <t xml:space="preserve">
Ventillé par Braham</t>
        </r>
      </text>
    </comment>
    <comment ref="W49" authorId="4" shapeId="0" xr:uid="{00000000-0006-0000-0000-000015000000}">
      <text>
        <r>
          <rPr>
            <b/>
            <sz val="8"/>
            <color indexed="81"/>
            <rFont val="Tahoma"/>
            <family val="2"/>
          </rPr>
          <t>Cheikh: flotte Russe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51" authorId="6" shapeId="0" xr:uid="{00000000-0006-0000-0000-000016000000}">
      <text>
        <r>
          <rPr>
            <b/>
            <sz val="8"/>
            <color indexed="81"/>
            <rFont val="Tahoma"/>
            <family val="2"/>
          </rPr>
          <t>me:</t>
        </r>
        <r>
          <rPr>
            <sz val="8"/>
            <color indexed="81"/>
            <rFont val="Tahoma"/>
            <family val="2"/>
          </rPr>
          <t xml:space="preserve">
Données nouvelles communiquées par la partie sénégalaise
 </t>
        </r>
      </text>
    </comment>
    <comment ref="V70" authorId="2" shapeId="0" xr:uid="{00000000-0006-0000-0000-000017000000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jjp</t>
        </r>
      </text>
    </comment>
    <comment ref="W70" authorId="4" shapeId="0" xr:uid="{00000000-0006-0000-0000-000018000000}">
      <text>
        <r>
          <rPr>
            <b/>
            <sz val="9"/>
            <color rgb="FF000000"/>
            <rFont val="Tahoma"/>
            <family val="2"/>
          </rPr>
          <t>Cheikh Bay: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ventiler sur la base de l'échantillonnage de débarquement à las palmas ( 48%)</t>
        </r>
      </text>
    </comment>
    <comment ref="AA70" authorId="3" shapeId="0" xr:uid="{00000000-0006-0000-0000-000019000000}">
      <text>
        <r>
          <rPr>
            <b/>
            <sz val="9"/>
            <color indexed="81"/>
            <rFont val="Tahoma"/>
            <family val="2"/>
          </rPr>
          <t>MARHOUM:</t>
        </r>
        <r>
          <rPr>
            <sz val="9"/>
            <color indexed="81"/>
            <rFont val="Tahoma"/>
            <family val="2"/>
          </rPr>
          <t xml:space="preserve">
Ventillé par Braham</t>
        </r>
      </text>
    </comment>
    <comment ref="U71" authorId="2" shapeId="0" xr:uid="{00000000-0006-0000-0000-00001A000000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mise à jour</t>
        </r>
      </text>
    </comment>
    <comment ref="W71" authorId="4" shapeId="0" xr:uid="{00000000-0006-0000-0000-00001B000000}">
      <text>
        <r>
          <rPr>
            <b/>
            <sz val="9"/>
            <color indexed="81"/>
            <rFont val="Tahoma"/>
            <family val="2"/>
          </rPr>
          <t>Cheikh Bay:</t>
        </r>
        <r>
          <rPr>
            <sz val="9"/>
            <color indexed="81"/>
            <rFont val="Tahoma"/>
            <family val="2"/>
          </rPr>
          <t xml:space="preserve">
ventiler sur la base des données obs imrop (5%)</t>
        </r>
      </text>
    </comment>
    <comment ref="AA71" authorId="3" shapeId="0" xr:uid="{00000000-0006-0000-0000-00001C000000}">
      <text>
        <r>
          <rPr>
            <b/>
            <sz val="9"/>
            <color indexed="81"/>
            <rFont val="Tahoma"/>
            <family val="2"/>
          </rPr>
          <t>MARHOUM:</t>
        </r>
        <r>
          <rPr>
            <sz val="9"/>
            <color indexed="81"/>
            <rFont val="Tahoma"/>
            <family val="2"/>
          </rPr>
          <t xml:space="preserve">
Ventillé par Braham</t>
        </r>
      </text>
    </comment>
    <comment ref="W76" authorId="4" shapeId="0" xr:uid="{00000000-0006-0000-0000-00001D000000}">
      <text>
        <r>
          <rPr>
            <b/>
            <sz val="9"/>
            <color indexed="81"/>
            <rFont val="Tahoma"/>
            <family val="2"/>
          </rPr>
          <t>Cheikh Bay:</t>
        </r>
        <r>
          <rPr>
            <sz val="9"/>
            <color indexed="81"/>
            <rFont val="Tahoma"/>
            <family val="2"/>
          </rPr>
          <t xml:space="preserve">
à compléter avec Nikolay</t>
        </r>
      </text>
    </comment>
    <comment ref="V85" authorId="7" shapeId="0" xr:uid="{00000000-0006-0000-0000-00001E000000}">
      <text>
        <r>
          <rPr>
            <b/>
            <sz val="8"/>
            <color indexed="81"/>
            <rFont val="Tahoma"/>
            <family val="2"/>
          </rPr>
          <t>pedroj:</t>
        </r>
        <r>
          <rPr>
            <sz val="8"/>
            <color indexed="81"/>
            <rFont val="Tahoma"/>
            <family val="2"/>
          </rPr>
          <t xml:space="preserve">
IEO data of landing in Las Palmas.</t>
        </r>
      </text>
    </comment>
    <comment ref="V91" authorId="7" shapeId="0" xr:uid="{00000000-0006-0000-0000-00001F000000}">
      <text>
        <r>
          <rPr>
            <b/>
            <sz val="8"/>
            <color indexed="81"/>
            <rFont val="Tahoma"/>
            <family val="2"/>
          </rPr>
          <t>pedroj:</t>
        </r>
        <r>
          <rPr>
            <sz val="8"/>
            <color indexed="81"/>
            <rFont val="Tahoma"/>
            <family val="2"/>
          </rPr>
          <t xml:space="preserve">
IEO data of landing in Las Palmas.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  <author>TOSHIBA</author>
    <author>Dede</author>
    <author>me</author>
    <author>MARHOUM</author>
    <author>Cheikh Baye</author>
  </authors>
  <commentList>
    <comment ref="W5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préliminaire</t>
        </r>
      </text>
    </comment>
    <comment ref="AG5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0.12*effort tot
</t>
        </r>
      </text>
    </comment>
    <comment ref="AI5" authorId="2" shapeId="0" xr:uid="{00000000-0006-0000-0100-000003000000}">
      <text>
        <r>
          <rPr>
            <b/>
            <sz val="9"/>
            <color indexed="81"/>
            <rFont val="Tahoma"/>
            <family val="2"/>
          </rPr>
          <t>Dede:</t>
        </r>
        <r>
          <rPr>
            <sz val="9"/>
            <color indexed="81"/>
            <rFont val="Tahoma"/>
            <family val="2"/>
          </rPr>
          <t xml:space="preserve">
Vetilé selo lclef Ru</t>
        </r>
      </text>
    </comment>
    <comment ref="AP5" authorId="2" shapeId="0" xr:uid="{00000000-0006-0000-0100-000004000000}">
      <text>
        <r>
          <rPr>
            <b/>
            <sz val="9"/>
            <color indexed="81"/>
            <rFont val="Tahoma"/>
            <family val="2"/>
          </rPr>
          <t>Dede:</t>
        </r>
        <r>
          <rPr>
            <sz val="9"/>
            <color indexed="81"/>
            <rFont val="Tahoma"/>
            <family val="2"/>
          </rPr>
          <t xml:space="preserve">
effort en hausse ce qui explique la hausse des captures</t>
        </r>
      </text>
    </comment>
    <comment ref="W6" authorId="0" shapeId="0" xr:uid="{00000000-0006-0000-0100-000005000000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prélimianire</t>
        </r>
      </text>
    </comment>
    <comment ref="T8" authorId="3" shapeId="0" xr:uid="{00000000-0006-0000-0100-000006000000}">
      <text>
        <r>
          <rPr>
            <b/>
            <sz val="8"/>
            <color indexed="81"/>
            <rFont val="Tahoma"/>
            <family val="2"/>
          </rPr>
          <t>me:</t>
        </r>
        <r>
          <rPr>
            <sz val="8"/>
            <color indexed="81"/>
            <rFont val="Tahoma"/>
            <family val="2"/>
          </rPr>
          <t xml:space="preserve">
pas de donnée pour la flottille ukrainienne cette année. Aussi nous avons calculé un effort théorique sur la base de la CPUE moyenne obtenues en 2004 et 2006.</t>
        </r>
      </text>
    </comment>
    <comment ref="Z8" authorId="4" shapeId="0" xr:uid="{00000000-0006-0000-0100-000007000000}">
      <text>
        <r>
          <rPr>
            <b/>
            <sz val="9"/>
            <color indexed="81"/>
            <rFont val="Tahoma"/>
            <family val="2"/>
          </rPr>
          <t>MARHOUM:</t>
        </r>
        <r>
          <rPr>
            <sz val="9"/>
            <color indexed="81"/>
            <rFont val="Tahoma"/>
            <family val="2"/>
          </rPr>
          <t xml:space="preserve">
POUR LES DEUX ESPECES</t>
        </r>
      </text>
    </comment>
    <comment ref="AA8" authorId="4" shapeId="0" xr:uid="{00000000-0006-0000-0100-000008000000}">
      <text>
        <r>
          <rPr>
            <b/>
            <sz val="9"/>
            <color indexed="81"/>
            <rFont val="Tahoma"/>
            <family val="2"/>
          </rPr>
          <t>MARHOUM:</t>
        </r>
        <r>
          <rPr>
            <sz val="9"/>
            <color indexed="81"/>
            <rFont val="Tahoma"/>
            <family val="2"/>
          </rPr>
          <t xml:space="preserve">
Pour les deux espèces</t>
        </r>
      </text>
    </comment>
    <comment ref="AB8" authorId="4" shapeId="0" xr:uid="{00000000-0006-0000-0100-000009000000}">
      <text>
        <r>
          <rPr>
            <b/>
            <sz val="9"/>
            <color indexed="81"/>
            <rFont val="Tahoma"/>
            <family val="2"/>
          </rPr>
          <t>MARHOUM:</t>
        </r>
        <r>
          <rPr>
            <sz val="9"/>
            <color indexed="81"/>
            <rFont val="Tahoma"/>
            <family val="2"/>
          </rPr>
          <t xml:space="preserve">
Pour les deux espèces</t>
        </r>
      </text>
    </comment>
    <comment ref="AP8" authorId="2" shapeId="0" xr:uid="{00000000-0006-0000-0100-00000A000000}">
      <text>
        <r>
          <rPr>
            <b/>
            <sz val="9"/>
            <color indexed="81"/>
            <rFont val="Tahoma"/>
            <family val="2"/>
          </rPr>
          <t>Dede:</t>
        </r>
        <r>
          <rPr>
            <sz val="9"/>
            <color indexed="81"/>
            <rFont val="Tahoma"/>
            <family val="2"/>
          </rPr>
          <t xml:space="preserve">
effort en hausse ce qui explique la hausse des captures</t>
        </r>
      </text>
    </comment>
    <comment ref="AP9" authorId="2" shapeId="0" xr:uid="{00000000-0006-0000-0100-00000B000000}">
      <text>
        <r>
          <rPr>
            <b/>
            <sz val="9"/>
            <color indexed="81"/>
            <rFont val="Tahoma"/>
            <family val="2"/>
          </rPr>
          <t>Dede:</t>
        </r>
        <r>
          <rPr>
            <sz val="9"/>
            <color indexed="81"/>
            <rFont val="Tahoma"/>
            <family val="2"/>
          </rPr>
          <t xml:space="preserve">
effort en hausse ce qui explique la hausse des captures</t>
        </r>
      </text>
    </comment>
    <comment ref="AB11" authorId="4" shapeId="0" xr:uid="{00000000-0006-0000-0100-00000C000000}">
      <text>
        <r>
          <rPr>
            <b/>
            <sz val="9"/>
            <color indexed="81"/>
            <rFont val="Tahoma"/>
            <family val="2"/>
          </rPr>
          <t>MARHOUM:</t>
        </r>
        <r>
          <rPr>
            <sz val="9"/>
            <color indexed="81"/>
            <rFont val="Tahoma"/>
            <family val="2"/>
          </rPr>
          <t xml:space="preserve">
Modifié par Braham</t>
        </r>
      </text>
    </comment>
    <comment ref="AD11" authorId="5" shapeId="0" xr:uid="{00000000-0006-0000-0100-00000D000000}">
      <text>
        <r>
          <rPr>
            <b/>
            <sz val="9"/>
            <color indexed="81"/>
            <rFont val="Tahoma"/>
            <family val="2"/>
          </rPr>
          <t>Cheikh Baye:</t>
        </r>
        <r>
          <rPr>
            <sz val="9"/>
            <color indexed="81"/>
            <rFont val="Tahoma"/>
            <family val="2"/>
          </rPr>
          <t xml:space="preserve">
pas ventilé par flottille</t>
        </r>
      </text>
    </comment>
    <comment ref="AP11" authorId="2" shapeId="0" xr:uid="{00000000-0006-0000-0100-00000E000000}">
      <text>
        <r>
          <rPr>
            <b/>
            <sz val="9"/>
            <color indexed="81"/>
            <rFont val="Tahoma"/>
            <family val="2"/>
          </rPr>
          <t>Dede:</t>
        </r>
        <r>
          <rPr>
            <sz val="9"/>
            <color indexed="81"/>
            <rFont val="Tahoma"/>
            <family val="2"/>
          </rPr>
          <t xml:space="preserve">
effort en hausse ce qui explique la hausse des captures</t>
        </r>
      </text>
    </comment>
    <comment ref="AC12" authorId="5" shapeId="0" xr:uid="{00000000-0006-0000-0100-00000F000000}">
      <text>
        <r>
          <rPr>
            <b/>
            <sz val="9"/>
            <color indexed="81"/>
            <rFont val="Tahoma"/>
            <family val="2"/>
          </rPr>
          <t>Cheikh Baye: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14" authorId="2" shapeId="0" xr:uid="{00000000-0006-0000-0100-000010000000}">
      <text>
        <r>
          <rPr>
            <b/>
            <sz val="9"/>
            <color indexed="81"/>
            <rFont val="Tahoma"/>
            <family val="2"/>
          </rPr>
          <t>Dede:</t>
        </r>
        <r>
          <rPr>
            <sz val="9"/>
            <color indexed="81"/>
            <rFont val="Tahoma"/>
            <family val="2"/>
          </rPr>
          <t xml:space="preserve">
effort en hausse ce qui explique la hausse des captures</t>
        </r>
      </text>
    </comment>
    <comment ref="AP15" authorId="2" shapeId="0" xr:uid="{00000000-0006-0000-0100-000011000000}">
      <text>
        <r>
          <rPr>
            <b/>
            <sz val="9"/>
            <color indexed="81"/>
            <rFont val="Tahoma"/>
            <family val="2"/>
          </rPr>
          <t>Dede:</t>
        </r>
        <r>
          <rPr>
            <sz val="9"/>
            <color indexed="81"/>
            <rFont val="Tahoma"/>
            <family val="2"/>
          </rPr>
          <t xml:space="preserve">
effort en hausse ce qui explique la hausse des captures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  <author>Dede</author>
  </authors>
  <commentList>
    <comment ref="V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préliminaire</t>
        </r>
      </text>
    </comment>
    <comment ref="AJ5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Dede:</t>
        </r>
        <r>
          <rPr>
            <sz val="9"/>
            <color indexed="81"/>
            <rFont val="Tahoma"/>
            <family val="2"/>
          </rPr>
          <t xml:space="preserve">
effort see*1,3+effort chalut</t>
        </r>
      </text>
    </comment>
    <comment ref="V6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prélimianire</t>
        </r>
      </text>
    </comment>
    <comment ref="AJ7" authorId="1" shapeId="0" xr:uid="{00000000-0006-0000-0200-000004000000}">
      <text>
        <r>
          <rPr>
            <b/>
            <sz val="9"/>
            <color indexed="81"/>
            <rFont val="Tahoma"/>
            <family val="2"/>
          </rPr>
          <t>Dede:</t>
        </r>
        <r>
          <rPr>
            <sz val="9"/>
            <color indexed="81"/>
            <rFont val="Tahoma"/>
            <family val="2"/>
          </rPr>
          <t xml:space="preserve">
effort see*1,3+effort chalut</t>
        </r>
      </text>
    </comment>
    <comment ref="AH11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>Dede:</t>
        </r>
        <r>
          <rPr>
            <sz val="9"/>
            <color indexed="81"/>
            <rFont val="Tahoma"/>
            <family val="2"/>
          </rPr>
          <t xml:space="preserve">
UE chage de strategie vers chichard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TOSHIBA</author>
  </authors>
  <commentList>
    <comment ref="N2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Dede:</t>
        </r>
        <r>
          <rPr>
            <sz val="9"/>
            <color indexed="81"/>
            <rFont val="Tahoma"/>
            <family val="2"/>
          </rPr>
          <t xml:space="preserve">
 corrected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10</author>
  </authors>
  <commentList>
    <comment ref="J25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Dede</t>
        </r>
        <r>
          <rPr>
            <sz val="9"/>
            <color indexed="81"/>
            <rFont val="Tahoma"/>
            <family val="2"/>
          </rPr>
          <t xml:space="preserve">
Biomasse Al Amir convertie vers Nansen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nmd</author>
    <author>Dede</author>
  </authors>
  <commentList>
    <comment ref="DF23" authorId="0" shapeId="0" xr:uid="{00000000-0006-0000-0800-000001000000}">
      <text>
        <r>
          <rPr>
            <b/>
            <sz val="8"/>
            <color indexed="81"/>
            <rFont val="Tahoma"/>
            <family val="2"/>
            <charset val="204"/>
          </rPr>
          <t>nmd:</t>
        </r>
        <r>
          <rPr>
            <sz val="8"/>
            <color indexed="81"/>
            <rFont val="Tahoma"/>
            <family val="2"/>
            <charset val="204"/>
          </rPr>
          <t xml:space="preserve">
trawl survey</t>
        </r>
      </text>
    </comment>
    <comment ref="CB27" authorId="1" shapeId="0" xr:uid="{00000000-0006-0000-0800-000002000000}">
      <text>
        <r>
          <rPr>
            <b/>
            <sz val="9"/>
            <color indexed="81"/>
            <rFont val="Tahoma"/>
            <family val="2"/>
          </rPr>
          <t>Dede:</t>
        </r>
        <r>
          <rPr>
            <sz val="9"/>
            <color indexed="81"/>
            <rFont val="Tahoma"/>
            <family val="2"/>
          </rPr>
          <t xml:space="preserve">
à defaut de nombre d'echantllon, on met poids des echantillons mésurés (kg/1000t)</t>
        </r>
      </text>
    </comment>
    <comment ref="CM27" authorId="1" shapeId="0" xr:uid="{00000000-0006-0000-0800-000003000000}">
      <text>
        <r>
          <rPr>
            <b/>
            <sz val="9"/>
            <color indexed="81"/>
            <rFont val="Tahoma"/>
            <family val="2"/>
          </rPr>
          <t>Dede:</t>
        </r>
        <r>
          <rPr>
            <sz val="9"/>
            <color indexed="81"/>
            <rFont val="Tahoma"/>
            <family val="2"/>
          </rPr>
          <t xml:space="preserve">
à defaut de nombre d'echantllon, on met poids des echantillons mésurés (kg/1000t)</t>
        </r>
      </text>
    </comment>
    <comment ref="DE31" authorId="0" shapeId="0" xr:uid="{00000000-0006-0000-0800-000004000000}">
      <text>
        <r>
          <rPr>
            <b/>
            <sz val="8"/>
            <color indexed="81"/>
            <rFont val="Tahoma"/>
            <family val="2"/>
            <charset val="204"/>
          </rPr>
          <t>nmd:</t>
        </r>
        <r>
          <rPr>
            <sz val="8"/>
            <color indexed="81"/>
            <rFont val="Tahoma"/>
            <family val="2"/>
            <charset val="204"/>
          </rPr>
          <t xml:space="preserve">
trawl survey</t>
        </r>
      </text>
    </comment>
    <comment ref="DF31" authorId="0" shapeId="0" xr:uid="{00000000-0006-0000-0800-000005000000}">
      <text>
        <r>
          <rPr>
            <b/>
            <sz val="8"/>
            <color indexed="81"/>
            <rFont val="Tahoma"/>
            <family val="2"/>
            <charset val="204"/>
          </rPr>
          <t>nmd:</t>
        </r>
        <r>
          <rPr>
            <sz val="8"/>
            <color indexed="81"/>
            <rFont val="Tahoma"/>
            <family val="2"/>
            <charset val="204"/>
          </rPr>
          <t xml:space="preserve">
trawl survey</t>
        </r>
      </text>
    </comment>
    <comment ref="DA38" authorId="1" shapeId="0" xr:uid="{00000000-0006-0000-0800-000006000000}">
      <text>
        <r>
          <rPr>
            <b/>
            <sz val="9"/>
            <color indexed="81"/>
            <rFont val="Tahoma"/>
            <family val="2"/>
          </rPr>
          <t>Dede:</t>
        </r>
        <r>
          <rPr>
            <sz val="9"/>
            <color indexed="81"/>
            <rFont val="Tahoma"/>
            <family val="2"/>
          </rPr>
          <t xml:space="preserve">
?</t>
        </r>
      </text>
    </comment>
    <comment ref="DK38" authorId="1" shapeId="0" xr:uid="{00000000-0006-0000-0800-000007000000}">
      <text>
        <r>
          <rPr>
            <b/>
            <sz val="9"/>
            <color indexed="81"/>
            <rFont val="Tahoma"/>
            <family val="2"/>
          </rPr>
          <t>Dede:</t>
        </r>
        <r>
          <rPr>
            <sz val="9"/>
            <color indexed="81"/>
            <rFont val="Tahoma"/>
            <family val="2"/>
          </rPr>
          <t xml:space="preserve">
?</t>
        </r>
      </text>
    </comment>
    <comment ref="CB46" authorId="1" shapeId="0" xr:uid="{00000000-0006-0000-0800-000008000000}">
      <text>
        <r>
          <rPr>
            <b/>
            <sz val="9"/>
            <color indexed="81"/>
            <rFont val="Tahoma"/>
            <family val="2"/>
          </rPr>
          <t>Dede:</t>
        </r>
        <r>
          <rPr>
            <sz val="9"/>
            <color indexed="81"/>
            <rFont val="Tahoma"/>
            <family val="2"/>
          </rPr>
          <t xml:space="preserve">
à defaut de nombre d'echantllon, on met poids des echantillons mésurés (kg/1000t)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Y7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Dede:</t>
        </r>
        <r>
          <rPr>
            <sz val="9"/>
            <color indexed="81"/>
            <rFont val="Tahoma"/>
            <family val="2"/>
          </rPr>
          <t xml:space="preserve">
Données Maroc</t>
        </r>
      </text>
    </comment>
    <comment ref="DA13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Dede:</t>
        </r>
        <r>
          <rPr>
            <sz val="9"/>
            <color indexed="81"/>
            <rFont val="Tahoma"/>
            <family val="2"/>
          </rPr>
          <t xml:space="preserve">
données Russie</t>
        </r>
      </text>
    </comment>
    <comment ref="DC20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Dede:</t>
        </r>
        <r>
          <rPr>
            <sz val="9"/>
            <color indexed="81"/>
            <rFont val="Tahoma"/>
            <family val="2"/>
          </rPr>
          <t xml:space="preserve">
données Russie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Baye</author>
    <author>Dede</author>
  </authors>
  <commentList>
    <comment ref="G5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Baye:</t>
        </r>
        <r>
          <rPr>
            <sz val="9"/>
            <color indexed="81"/>
            <rFont val="Tahoma"/>
            <family val="2"/>
          </rPr>
          <t xml:space="preserve">
Artisanal Senegal + Russe</t>
        </r>
      </text>
    </comment>
    <comment ref="EM57" authorId="1" shapeId="0" xr:uid="{00000000-0006-0000-0A00-000002000000}">
      <text>
        <r>
          <rPr>
            <b/>
            <sz val="9"/>
            <color indexed="81"/>
            <rFont val="Tahoma"/>
            <family val="2"/>
          </rPr>
          <t>Dede:</t>
        </r>
        <r>
          <rPr>
            <sz val="9"/>
            <color indexed="81"/>
            <rFont val="Tahoma"/>
            <family val="2"/>
          </rPr>
          <t xml:space="preserve">
PA+PC</t>
        </r>
      </text>
    </comment>
    <comment ref="EO57" authorId="1" shapeId="0" xr:uid="{00000000-0006-0000-0A00-000003000000}">
      <text>
        <r>
          <rPr>
            <b/>
            <sz val="9"/>
            <color indexed="81"/>
            <rFont val="Tahoma"/>
            <family val="2"/>
          </rPr>
          <t>Dede:</t>
        </r>
        <r>
          <rPr>
            <sz val="9"/>
            <color indexed="81"/>
            <rFont val="Tahoma"/>
            <family val="2"/>
          </rPr>
          <t xml:space="preserve">
PH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</author>
  </authors>
  <commentList>
    <comment ref="AD37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 xml:space="preserve">Alba: </t>
        </r>
        <r>
          <rPr>
            <sz val="9"/>
            <color indexed="81"/>
            <rFont val="Tahoma"/>
            <family val="2"/>
          </rPr>
          <t xml:space="preserve">usamos el SOP para RIM 2015 y 2016 (al punto medio de Li)
</t>
        </r>
        <r>
          <rPr>
            <b/>
            <sz val="9"/>
            <color indexed="81"/>
            <rFont val="Tahoma"/>
            <family val="2"/>
          </rPr>
          <t>595.35!!!!!!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P10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Données Maroc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Dede</author>
  </authors>
  <commentList>
    <comment ref="AK13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Dede:</t>
        </r>
        <r>
          <rPr>
            <sz val="9"/>
            <color indexed="81"/>
            <rFont val="Tahoma"/>
            <family val="2"/>
          </rPr>
          <t xml:space="preserve">
Total Maroc seulement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Dede</author>
    <author>tc={AAB495EE-9E55-419E-B53F-5D899F53A8E4}</author>
  </authors>
  <commentList>
    <comment ref="AK14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Dede:</t>
        </r>
        <r>
          <rPr>
            <sz val="9"/>
            <color indexed="81"/>
            <rFont val="Tahoma"/>
            <family val="2"/>
          </rPr>
          <t xml:space="preserve">
sans les capturs du Sen
taille moyenne 2,14</t>
        </r>
      </text>
    </comment>
    <comment ref="B15" authorId="1" shapeId="0" xr:uid="{00000000-0006-0000-27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Catch trecae as reported in Table 4.2.1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Dede</author>
  </authors>
  <commentList>
    <comment ref="D39" authorId="0" shapeId="0" xr:uid="{00000000-0006-0000-2900-000001000000}">
      <text>
        <r>
          <rPr>
            <b/>
            <sz val="9"/>
            <color indexed="81"/>
            <rFont val="Tahoma"/>
            <family val="2"/>
          </rPr>
          <t>Dede:</t>
        </r>
        <r>
          <rPr>
            <sz val="9"/>
            <color indexed="81"/>
            <rFont val="Tahoma"/>
            <family val="2"/>
          </rPr>
          <t xml:space="preserve">
moyenne </t>
        </r>
      </text>
    </comment>
  </commentList>
</comments>
</file>

<file path=xl/sharedStrings.xml><?xml version="1.0" encoding="utf-8"?>
<sst xmlns="http://schemas.openxmlformats.org/spreadsheetml/2006/main" count="4660" uniqueCount="752">
  <si>
    <r>
      <t xml:space="preserve">Table 4.2.1a:Catches (tonnes) of </t>
    </r>
    <r>
      <rPr>
        <b/>
        <i/>
        <sz val="10"/>
        <rFont val="Times New Roman"/>
        <family val="1"/>
      </rPr>
      <t>Trachurus trachurus</t>
    </r>
    <r>
      <rPr>
        <b/>
        <sz val="10"/>
        <rFont val="Times New Roman"/>
        <family val="1"/>
      </rPr>
      <t xml:space="preserve"> by zone, fleet and year/Captures (tonnes) de Trachurus trachurus par zone, flottille et année</t>
    </r>
  </si>
  <si>
    <t>Moyenne 5 ans (2021-25)</t>
  </si>
  <si>
    <t>2025 vs. 2024</t>
  </si>
  <si>
    <t>2025 vs moyenne</t>
  </si>
  <si>
    <t>Country</t>
  </si>
  <si>
    <t>Fleet</t>
  </si>
  <si>
    <t>Morocco Zone North</t>
  </si>
  <si>
    <t>Moroccan</t>
  </si>
  <si>
    <t>Vantilaton des données au Maroc</t>
  </si>
  <si>
    <t>Captures russes au Maroc</t>
  </si>
  <si>
    <t>UE</t>
  </si>
  <si>
    <t>NA</t>
  </si>
  <si>
    <t>TT</t>
  </si>
  <si>
    <t>trea</t>
  </si>
  <si>
    <t>Tot</t>
  </si>
  <si>
    <t>Morocco Zone A</t>
  </si>
  <si>
    <t>Morocco Zone B</t>
  </si>
  <si>
    <t>%Mar</t>
  </si>
  <si>
    <t xml:space="preserve"> </t>
  </si>
  <si>
    <t>%Ru</t>
  </si>
  <si>
    <t>Zone C, north of C. Blanc</t>
  </si>
  <si>
    <t>Moroccan RSW et pêche côtiere</t>
  </si>
  <si>
    <t>Russian</t>
  </si>
  <si>
    <t>Moroccan coastal purse-seiners &amp; RSW</t>
  </si>
  <si>
    <t>Ukraine &amp; others</t>
  </si>
  <si>
    <t>European Union</t>
  </si>
  <si>
    <t>Russian pelagic trawlers</t>
  </si>
  <si>
    <t>total Morocco</t>
  </si>
  <si>
    <t>Totaux</t>
  </si>
  <si>
    <t>Mauritania</t>
  </si>
  <si>
    <t>others</t>
  </si>
  <si>
    <t>Senneurs côtiers (MRT)</t>
  </si>
  <si>
    <t>Senneurs houtriers (MRT)</t>
  </si>
  <si>
    <t>All (Aggregate)*</t>
  </si>
  <si>
    <t>total Mauritania</t>
  </si>
  <si>
    <t>Senegal</t>
  </si>
  <si>
    <t>industrial</t>
  </si>
  <si>
    <t>artisanal</t>
  </si>
  <si>
    <t>total Senegal</t>
  </si>
  <si>
    <t>RIM</t>
  </si>
  <si>
    <t>The Gambia</t>
  </si>
  <si>
    <t>total Gambia</t>
  </si>
  <si>
    <t>Espagne</t>
  </si>
  <si>
    <t>total Spain</t>
  </si>
  <si>
    <t>all fleets</t>
  </si>
  <si>
    <t>Total</t>
  </si>
  <si>
    <t>Table 4.2.1b:Catches (tonnes) of Trachurus trecae  by zone, fleet and year/Captures (tonnes) de Trachurus trecae  par zone, flottille et année</t>
  </si>
  <si>
    <t>Moroccan RSW</t>
  </si>
  <si>
    <t>Vantilaton des données en Mauritanie</t>
  </si>
  <si>
    <t>Captures russes en Mauritanie</t>
  </si>
  <si>
    <t>Ttra</t>
  </si>
  <si>
    <t>Ttre</t>
  </si>
  <si>
    <t>Cron</t>
  </si>
  <si>
    <t>%Maur</t>
  </si>
  <si>
    <t>HoutSenneur</t>
  </si>
  <si>
    <t>Artisanal (purse seiners)</t>
  </si>
  <si>
    <t>ChHauturier</t>
  </si>
  <si>
    <t xml:space="preserve">all </t>
  </si>
  <si>
    <t>PC</t>
  </si>
  <si>
    <t>PA</t>
  </si>
  <si>
    <t>Industrial Russe</t>
  </si>
  <si>
    <t>*</t>
  </si>
  <si>
    <t>Russie</t>
  </si>
  <si>
    <t>²</t>
  </si>
  <si>
    <t>Bambia</t>
  </si>
  <si>
    <t>Table 4.2.1c: Catches (tonnes) of Caranx rhonchus by zone, fleet and year/Captures (tonnes) de Caranx rhonchus  par zone, flottille et année</t>
  </si>
  <si>
    <t>Ttach</t>
  </si>
  <si>
    <t>Ttrea</t>
  </si>
  <si>
    <t>Senneurs cotiers (MRT)</t>
  </si>
  <si>
    <t>all</t>
  </si>
  <si>
    <t>total</t>
  </si>
  <si>
    <t>Canary Islands (Spain)</t>
  </si>
  <si>
    <t>T. picturatus + T. trachurus</t>
  </si>
  <si>
    <t>Total catches in tonnes</t>
  </si>
  <si>
    <t>2024 vs. 2023</t>
  </si>
  <si>
    <t>2024 vs moyenne</t>
  </si>
  <si>
    <t>T. trachurus</t>
  </si>
  <si>
    <t>T. trecae</t>
  </si>
  <si>
    <t>C. rhonchus</t>
  </si>
  <si>
    <t>Trachurus spp. (Canary Islands)</t>
  </si>
  <si>
    <t xml:space="preserve">Total </t>
  </si>
  <si>
    <t>* voir anciens rapports GT COPACE</t>
  </si>
  <si>
    <r>
      <t xml:space="preserve">Catches </t>
    </r>
    <r>
      <rPr>
        <b/>
        <i/>
        <sz val="10"/>
        <rFont val="Arial"/>
        <family val="2"/>
      </rPr>
      <t>Trachurus</t>
    </r>
    <r>
      <rPr>
        <b/>
        <sz val="10"/>
        <rFont val="Arial"/>
        <family val="2"/>
      </rPr>
      <t xml:space="preserve"> spp (</t>
    </r>
    <r>
      <rPr>
        <b/>
        <i/>
        <sz val="10"/>
        <rFont val="Arial"/>
        <family val="2"/>
      </rPr>
      <t>T. picturatus</t>
    </r>
    <r>
      <rPr>
        <b/>
        <sz val="10"/>
        <rFont val="Arial"/>
        <family val="2"/>
      </rPr>
      <t xml:space="preserve"> +</t>
    </r>
    <r>
      <rPr>
        <b/>
        <i/>
        <sz val="10"/>
        <rFont val="Arial"/>
        <family val="2"/>
      </rPr>
      <t xml:space="preserve"> T. trachurus</t>
    </r>
    <r>
      <rPr>
        <b/>
        <sz val="10"/>
        <rFont val="Arial"/>
        <family val="2"/>
      </rPr>
      <t>) (tonnes)</t>
    </r>
  </si>
  <si>
    <t>Zone</t>
  </si>
  <si>
    <t>Spanish coastal purse-seiners</t>
  </si>
  <si>
    <t>Effort (fishing days)</t>
  </si>
  <si>
    <t xml:space="preserve">Figure 4.2.1:Total catches (tonnes) of horse mackerel in the sub-region by species and year </t>
  </si>
  <si>
    <t xml:space="preserve"> Fig4.2.1.</t>
  </si>
  <si>
    <r>
      <t xml:space="preserve">Table 4.2.2  : Fishing effort  of </t>
    </r>
    <r>
      <rPr>
        <b/>
        <i/>
        <sz val="10"/>
        <rFont val="Times New Roman"/>
        <family val="1"/>
      </rPr>
      <t xml:space="preserve">Trachurus </t>
    </r>
    <r>
      <rPr>
        <b/>
        <sz val="10"/>
        <rFont val="Times New Roman"/>
        <family val="1"/>
      </rPr>
      <t>trachurus. (1991-2025) in fishing day in morrocco and mauritania/</t>
    </r>
  </si>
  <si>
    <t>CPUE Trachurus T. trachurus</t>
  </si>
  <si>
    <t xml:space="preserve">Effort de pêche des chinchards atlantique en jours de pêche au Maroc (2004-2023) et en Mauritanie (1991-2024) </t>
  </si>
  <si>
    <t>Effort de pêche des chinchards (1991-2024) en jours de pêche au maroc et en mauritanie</t>
  </si>
  <si>
    <t>EFFORT</t>
  </si>
  <si>
    <t>ZONE</t>
  </si>
  <si>
    <t>FLEET</t>
  </si>
  <si>
    <t>Myenne (7 ans) (2019-25)</t>
  </si>
  <si>
    <t>variation 24/25</t>
  </si>
  <si>
    <t>Russia, Ukraine &amp; others</t>
  </si>
  <si>
    <t>Mauritanie</t>
  </si>
  <si>
    <t>UE Est (Lettonie, Lituanie, Pologne)</t>
  </si>
  <si>
    <t>Mauritania fleet</t>
  </si>
  <si>
    <t xml:space="preserve">N CapBlanc </t>
  </si>
  <si>
    <t>Maroc</t>
  </si>
  <si>
    <t>N CapBlanc  senneurs</t>
  </si>
  <si>
    <t>CATCH</t>
  </si>
  <si>
    <t>South of Cap Blanc</t>
  </si>
  <si>
    <t>North of Cap Blanc</t>
  </si>
  <si>
    <t>Russia, Ukraine</t>
  </si>
  <si>
    <t>CPUE</t>
  </si>
  <si>
    <t>Mauritania-</t>
  </si>
  <si>
    <t xml:space="preserve">Russia, Ukraine &amp; others </t>
  </si>
  <si>
    <t>t/fishing day</t>
  </si>
  <si>
    <t>Marroco</t>
  </si>
  <si>
    <t>Russia</t>
  </si>
  <si>
    <t>Fishing days</t>
  </si>
  <si>
    <t>Effort Canary Islands (Spain)</t>
  </si>
  <si>
    <t>Catchs (tonnes)</t>
  </si>
  <si>
    <t xml:space="preserve">  </t>
  </si>
  <si>
    <t>Cpues</t>
  </si>
  <si>
    <t>Figure 4.2.2.</t>
  </si>
  <si>
    <t>Effort (Russia + others fishing days) of industrial fleet in the sub-region  for horse mackrels.</t>
  </si>
  <si>
    <t>/Effort (jour de pêche Russie et autres) de la flotille industrielle dans la sous-région pour les chinchards</t>
  </si>
  <si>
    <r>
      <t>Figure 4.3.1a:</t>
    </r>
    <r>
      <rPr>
        <sz val="10"/>
        <rFont val="Times New Roman"/>
        <family val="1"/>
      </rPr>
      <t xml:space="preserve"> CPUE of </t>
    </r>
    <r>
      <rPr>
        <i/>
        <sz val="10"/>
        <rFont val="Times New Roman"/>
        <family val="1"/>
      </rPr>
      <t>Trachurus trachurus</t>
    </r>
    <r>
      <rPr>
        <sz val="10"/>
        <rFont val="Times New Roman"/>
        <family val="1"/>
      </rPr>
      <t xml:space="preserve">, Mauritania /CPUE de </t>
    </r>
    <r>
      <rPr>
        <i/>
        <sz val="10"/>
        <rFont val="Times New Roman"/>
        <family val="1"/>
      </rPr>
      <t>Trachurus trachurus</t>
    </r>
    <r>
      <rPr>
        <sz val="10"/>
        <rFont val="Times New Roman"/>
        <family val="1"/>
      </rPr>
      <t>, Mauritanie</t>
    </r>
  </si>
  <si>
    <t>Table  4.3.1 b   : Fishing effort  of trachurus sp (1991-2025) in fishing days North of Cape Blanc and south of Cape Blanc/</t>
  </si>
  <si>
    <t>variation</t>
  </si>
  <si>
    <t>mauritania</t>
  </si>
  <si>
    <r>
      <t>Russia, Ukraine &amp; Belize</t>
    </r>
    <r>
      <rPr>
        <sz val="8"/>
        <rFont val="Times New Roman"/>
        <family val="1"/>
      </rPr>
      <t>1</t>
    </r>
  </si>
  <si>
    <t>Russia and others</t>
  </si>
  <si>
    <t>Feets Canary Islands (Fishing days)</t>
  </si>
  <si>
    <t>Russia, Ukraine &amp; Belize and UE type Russe</t>
  </si>
  <si>
    <t>All catch</t>
  </si>
  <si>
    <t>Morocco</t>
  </si>
  <si>
    <t>Russia, corrected</t>
  </si>
  <si>
    <t>All flottille</t>
  </si>
  <si>
    <t xml:space="preserve"> CPUE russe Mauritania</t>
  </si>
  <si>
    <t>23.2</t>
  </si>
  <si>
    <t>21.8</t>
  </si>
  <si>
    <t>18.5</t>
  </si>
  <si>
    <t>19.5</t>
  </si>
  <si>
    <t>31.8</t>
  </si>
  <si>
    <t xml:space="preserve"> CPUE russe 16-23 ° seasonal</t>
  </si>
  <si>
    <t>18.6</t>
  </si>
  <si>
    <t>24.7</t>
  </si>
  <si>
    <t>25.8</t>
  </si>
  <si>
    <t xml:space="preserve">Industrial fleet, GLM </t>
  </si>
  <si>
    <t>fishing days</t>
  </si>
  <si>
    <t>Table  4.3.1 c : CPUE Russian industrial fleet as used in assessment model</t>
  </si>
  <si>
    <t>Trachurus trachurus</t>
  </si>
  <si>
    <t>Trachurus trecae</t>
  </si>
  <si>
    <t>biomasse en 1000 tonnes</t>
  </si>
  <si>
    <t xml:space="preserve">Caranx rhonchus </t>
  </si>
  <si>
    <t>St.Louis–Cap Timiris</t>
  </si>
  <si>
    <t>CapTimiris-CapBlanc</t>
  </si>
  <si>
    <t>Facteur de correction</t>
  </si>
  <si>
    <t>Al Awam/ Nansen</t>
  </si>
  <si>
    <t>Campagne de Juillet 2018 Al-Awam</t>
  </si>
  <si>
    <t>Campagne de Mars 2018 Al-Awam</t>
  </si>
  <si>
    <t>Number (mill.)</t>
  </si>
  <si>
    <t>Biomass (1000 tonnes)</t>
  </si>
  <si>
    <t>T.trecae</t>
  </si>
  <si>
    <t>C.rhoncus</t>
  </si>
  <si>
    <t>T.trachurus</t>
  </si>
  <si>
    <t>2008  Biomasse estimée par AL AWAM en Novembre</t>
  </si>
  <si>
    <t>Pas de campagne AL-AWAM 2011</t>
  </si>
  <si>
    <t>Pas de campagne AL-AWAM novembre 2012</t>
  </si>
  <si>
    <t>Pas de campagne AL-AWAM novembre 2013</t>
  </si>
  <si>
    <t>Pas de campagne AL-AWAM novembre 2016</t>
  </si>
  <si>
    <t xml:space="preserve">Chinchards
</t>
  </si>
  <si>
    <t>Pas de campagne AL-AWAM novembre 2017</t>
  </si>
  <si>
    <t xml:space="preserve"> Biomasse (1000 t) 2019 Mauritanie</t>
  </si>
  <si>
    <t>Pas de campagne AL-AWAM</t>
  </si>
  <si>
    <t>Awam</t>
  </si>
  <si>
    <t>F. Nans.</t>
  </si>
  <si>
    <r>
      <t xml:space="preserve">Figure 4.3.2b:Biomass estimates of </t>
    </r>
    <r>
      <rPr>
        <i/>
        <sz val="10"/>
        <rFont val="Times New Roman"/>
        <family val="1"/>
      </rPr>
      <t>Trachurus trachurus</t>
    </r>
    <r>
      <rPr>
        <sz val="10"/>
        <rFont val="Times New Roman"/>
        <family val="1"/>
      </rPr>
      <t xml:space="preserve"> and </t>
    </r>
    <r>
      <rPr>
        <i/>
        <sz val="10"/>
        <rFont val="Times New Roman"/>
        <family val="1"/>
      </rPr>
      <t>T. trecae and Carencx rhoncus</t>
    </r>
    <r>
      <rPr>
        <sz val="10"/>
        <rFont val="Times New Roman"/>
        <family val="1"/>
      </rPr>
      <t xml:space="preserve">  for Mauritania, R/V DR. F. NANSEN (1995-2006) and EL AWAM (2007) corrected</t>
    </r>
  </si>
  <si>
    <t>/Estimations de biomasse de Trachurus trachurus et T. trecae pour la Mauritanie, N/R DR. F. NANSEN (1995-2006) et AL AWAM (2007) corrigée</t>
  </si>
  <si>
    <t>BECAREFUL WITH LEGEND</t>
  </si>
  <si>
    <t>ITAF DEME</t>
  </si>
  <si>
    <t>Senegal + Gambia</t>
  </si>
  <si>
    <t>T, Trachurus</t>
  </si>
  <si>
    <t>Caranx rhonchus</t>
  </si>
  <si>
    <t>Chinchards noirs</t>
  </si>
  <si>
    <t>Chinchards jaunes</t>
  </si>
  <si>
    <t>Etaf Deme/Nansen</t>
  </si>
  <si>
    <t>Chinchards noirs (Nansen  2019 en tonne)</t>
  </si>
  <si>
    <t>Compléter par 
moyenne mobile</t>
  </si>
  <si>
    <t>No survey</t>
  </si>
  <si>
    <r>
      <t xml:space="preserve">Figure 4.3.2c:Biomass estimates of </t>
    </r>
    <r>
      <rPr>
        <i/>
        <sz val="10"/>
        <rFont val="Times New Roman"/>
        <family val="1"/>
      </rPr>
      <t>T</t>
    </r>
    <r>
      <rPr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>T. trecae</t>
    </r>
    <r>
      <rPr>
        <sz val="10"/>
        <rFont val="Times New Roman"/>
        <family val="1"/>
      </rPr>
      <t xml:space="preserve">  for Senegal and Gambia, R/V DR. F. NANSEN (1995-2006) And Etaf Deme (2008) corrected</t>
    </r>
  </si>
  <si>
    <t>/Estimations de biomasse de  T. trecae  pour la Mauritanie, N/R DR. F. NANSEN (1995-2006) et Etaf Deme (2008) corrigée</t>
  </si>
  <si>
    <t>Total subregion</t>
  </si>
  <si>
    <t>Biomasse en 1000 tonnes</t>
  </si>
  <si>
    <t>2007 et 2010 Biomasse estimé par les bateaux nationaux</t>
  </si>
  <si>
    <t>Treace</t>
  </si>
  <si>
    <t>Trachurus</t>
  </si>
  <si>
    <t>2011 : seulement Al Amir (estimation faite par Najib)</t>
  </si>
  <si>
    <t>Regional Surveys</t>
  </si>
  <si>
    <t>Total Biomasse Nansen sub-region</t>
  </si>
  <si>
    <t>Ttrecae</t>
  </si>
  <si>
    <t>Mar</t>
  </si>
  <si>
    <t>Sen</t>
  </si>
  <si>
    <t>jaune uniquement le Maroc</t>
  </si>
  <si>
    <t xml:space="preserve">Figure 4.3.2d:   </t>
  </si>
  <si>
    <t>Biomass estimates of Trachurus trecae and T. trachurus (1995-2010) for total subregion,</t>
  </si>
  <si>
    <t xml:space="preserve"> R/V DR. FRIDTJOF NANSEN (Nov.-Dec.2006)/</t>
  </si>
  <si>
    <t xml:space="preserve">Estimations de biomasse de Trachurus trachurus et T.trecae  (1995-2010) pour toute la sous-région , </t>
  </si>
  <si>
    <t>R/V DR. FRIDTJOF NANSEN (Nov-Dec. 2006)</t>
  </si>
  <si>
    <t>* Biomasses Corrected by factors "Nationals vessels/Nansen"/ Biomasses corrigées par les facteurs "Nationals vessels/Nansen"</t>
  </si>
  <si>
    <t>Total ZOA</t>
  </si>
  <si>
    <t xml:space="preserve">Capmganes d'Al-Amir </t>
  </si>
  <si>
    <t>Amir/Nansen</t>
  </si>
  <si>
    <t>Sud (Tr trachurus)</t>
  </si>
  <si>
    <t>Sud (Tr trecae)</t>
  </si>
  <si>
    <t>Centre (Tr trachurus)</t>
  </si>
  <si>
    <t>nord (Tr trachurus)</t>
  </si>
  <si>
    <r>
      <t xml:space="preserve">Figure 4.3.2a: Biomass estimates of </t>
    </r>
    <r>
      <rPr>
        <b/>
        <i/>
        <sz val="10"/>
        <rFont val="Times New Roman"/>
        <family val="1"/>
      </rPr>
      <t>Trachurus trachurus</t>
    </r>
    <r>
      <rPr>
        <b/>
        <sz val="10"/>
        <rFont val="Times New Roman"/>
        <family val="1"/>
      </rPr>
      <t xml:space="preserve"> and </t>
    </r>
    <r>
      <rPr>
        <b/>
        <i/>
        <sz val="10"/>
        <rFont val="Times New Roman"/>
        <family val="1"/>
      </rPr>
      <t>T. trecae</t>
    </r>
    <r>
      <rPr>
        <b/>
        <sz val="10"/>
        <rFont val="Times New Roman"/>
        <family val="1"/>
      </rPr>
      <t xml:space="preserve">  for the Zone north of Cape Blanc, R/V DR. F. NANSEN (1995-2006) and R/V Al Amir (2007 , 2008, 2009 and 2010) corrected</t>
    </r>
  </si>
  <si>
    <t>/Estimations de biomasse de Trachurus trachurus et T. trecaepour la zone au nord du Cap Blanc, N/R DR. F. NANSEN  (1995-2006) et R/V Amir (2007 et 2008)corrigée</t>
  </si>
  <si>
    <t>biomasse  R/V Al Amir corrected (1000 t) 2019 Maroc</t>
  </si>
  <si>
    <t>Atlantique Nord</t>
  </si>
  <si>
    <t>Atlantique Centre</t>
  </si>
  <si>
    <t>Atlantique sud</t>
  </si>
  <si>
    <t>automne_19</t>
  </si>
  <si>
    <t>Tr trachurus</t>
  </si>
  <si>
    <t>Tr trecae</t>
  </si>
  <si>
    <t>Biomasses des chinchards en tonnes dans le Maroc et la Mauritanie estimé par Atlantniro (1994-2025)</t>
  </si>
  <si>
    <t>Abondance en million d'individus</t>
  </si>
  <si>
    <t>0+</t>
  </si>
  <si>
    <t>1+</t>
  </si>
  <si>
    <t>Caranx rhoncus</t>
  </si>
  <si>
    <t>Maroc+Mauritanie</t>
  </si>
  <si>
    <r>
      <t>2015</t>
    </r>
    <r>
      <rPr>
        <sz val="10"/>
        <rFont val="Calibri"/>
        <family val="2"/>
        <charset val="204"/>
      </rPr>
      <t>*</t>
    </r>
  </si>
  <si>
    <r>
      <t>2019</t>
    </r>
    <r>
      <rPr>
        <sz val="10"/>
        <rFont val="Calibri"/>
        <family val="2"/>
        <charset val="204"/>
      </rPr>
      <t>*</t>
    </r>
  </si>
  <si>
    <t>* Area Cap Blanc - Bojador</t>
  </si>
  <si>
    <t>recruitment indices</t>
  </si>
  <si>
    <t>Année 2013 * 1000</t>
  </si>
  <si>
    <t>450648 où 180259</t>
  </si>
  <si>
    <t>Morroco
 only</t>
  </si>
  <si>
    <t>Figure : 4.3.2e: Biomass estimates of carangids (1994-2023) for Morocco and Mauritania,</t>
  </si>
  <si>
    <t xml:space="preserve"> R/V ATLANTNIRO/ ATLANTIDA</t>
  </si>
  <si>
    <t xml:space="preserve">Estimations de biomasse des chinchards (1994-2023) pour pour le Maroc et la Mauritanie , </t>
  </si>
  <si>
    <r>
      <t xml:space="preserve">Table : Sampling intensity of </t>
    </r>
    <r>
      <rPr>
        <b/>
        <i/>
        <sz val="9"/>
        <color rgb="FFFF0000"/>
        <rFont val="Times New Roman"/>
        <family val="1"/>
      </rPr>
      <t>Trachurus trachurus</t>
    </r>
    <r>
      <rPr>
        <b/>
        <sz val="9"/>
        <color rgb="FFFF0000"/>
        <rFont val="Times New Roman"/>
        <family val="1"/>
      </rPr>
      <t xml:space="preserve"> 2014/Intensité d'échantillonnage </t>
    </r>
  </si>
  <si>
    <r>
      <t xml:space="preserve">Table : Sampling intensity of </t>
    </r>
    <r>
      <rPr>
        <i/>
        <sz val="9"/>
        <color rgb="FFFF0000"/>
        <rFont val="Times New Roman"/>
        <family val="1"/>
      </rPr>
      <t>Trachurus trachurus</t>
    </r>
    <r>
      <rPr>
        <sz val="9"/>
        <color rgb="FFFF0000"/>
        <rFont val="Times New Roman"/>
        <family val="1"/>
      </rPr>
      <t xml:space="preserve"> 2015/Intensité d'échantillonnage</t>
    </r>
  </si>
  <si>
    <r>
      <t xml:space="preserve">Table : Sampling intensity of </t>
    </r>
    <r>
      <rPr>
        <b/>
        <i/>
        <sz val="10"/>
        <color rgb="FFFF0000"/>
        <rFont val="Times New Roman"/>
        <family val="1"/>
      </rPr>
      <t>Trachurus trachurus</t>
    </r>
    <r>
      <rPr>
        <b/>
        <sz val="10"/>
        <color rgb="FFFF0000"/>
        <rFont val="Times New Roman"/>
        <family val="1"/>
      </rPr>
      <t xml:space="preserve"> 2016/Intensité d'échantillonnage</t>
    </r>
  </si>
  <si>
    <r>
      <t xml:space="preserve">Table : Sampling intensity of </t>
    </r>
    <r>
      <rPr>
        <b/>
        <i/>
        <sz val="10"/>
        <color rgb="FFFF0000"/>
        <rFont val="Times New Roman"/>
        <family val="1"/>
      </rPr>
      <t>Trachurus trachurus</t>
    </r>
    <r>
      <rPr>
        <b/>
        <sz val="10"/>
        <color rgb="FFFF0000"/>
        <rFont val="Times New Roman"/>
        <family val="1"/>
      </rPr>
      <t xml:space="preserve"> 2017/Intensité d'échantillonnage</t>
    </r>
  </si>
  <si>
    <r>
      <t xml:space="preserve">Table : Sampling intensity of </t>
    </r>
    <r>
      <rPr>
        <b/>
        <i/>
        <sz val="10"/>
        <color rgb="FFFF0000"/>
        <rFont val="Times New Roman"/>
        <family val="1"/>
      </rPr>
      <t>Trachurus trachurus</t>
    </r>
    <r>
      <rPr>
        <b/>
        <sz val="10"/>
        <color rgb="FFFF0000"/>
        <rFont val="Times New Roman"/>
        <family val="1"/>
      </rPr>
      <t xml:space="preserve"> 2018/Intensité d'échantillonnage</t>
    </r>
  </si>
  <si>
    <r>
      <t xml:space="preserve">Table : Sampling intensity of </t>
    </r>
    <r>
      <rPr>
        <b/>
        <i/>
        <sz val="10"/>
        <color rgb="FFFF0000"/>
        <rFont val="Times New Roman"/>
        <family val="1"/>
      </rPr>
      <t>Trachurus trachurus</t>
    </r>
    <r>
      <rPr>
        <b/>
        <sz val="10"/>
        <color rgb="FFFF0000"/>
        <rFont val="Times New Roman"/>
        <family val="1"/>
      </rPr>
      <t xml:space="preserve"> 2019/Intensité d'échantillonnage</t>
    </r>
  </si>
  <si>
    <r>
      <t xml:space="preserve">Table : Sampling intensity of </t>
    </r>
    <r>
      <rPr>
        <b/>
        <i/>
        <sz val="10"/>
        <color rgb="FFFF0000"/>
        <rFont val="Times New Roman"/>
        <family val="1"/>
      </rPr>
      <t>Trachurus trachurus</t>
    </r>
    <r>
      <rPr>
        <b/>
        <sz val="10"/>
        <color rgb="FFFF0000"/>
        <rFont val="Times New Roman"/>
        <family val="1"/>
      </rPr>
      <t xml:space="preserve"> 2020/Intensité d'échantillonnage</t>
    </r>
  </si>
  <si>
    <r>
      <t xml:space="preserve">Table 4.4.1: Sampling intensity of </t>
    </r>
    <r>
      <rPr>
        <b/>
        <i/>
        <sz val="10"/>
        <color rgb="FFFF0000"/>
        <rFont val="Times New Roman"/>
        <family val="1"/>
      </rPr>
      <t>Trachurus trachurus</t>
    </r>
    <r>
      <rPr>
        <b/>
        <sz val="10"/>
        <color rgb="FFFF0000"/>
        <rFont val="Times New Roman"/>
        <family val="1"/>
      </rPr>
      <t xml:space="preserve"> 2021/Intensité d'échantillonnage</t>
    </r>
  </si>
  <si>
    <r>
      <t xml:space="preserve">Table 4.4.1: Sampling intensity of </t>
    </r>
    <r>
      <rPr>
        <b/>
        <i/>
        <sz val="10"/>
        <color rgb="FFFF0000"/>
        <rFont val="Times New Roman"/>
        <family val="1"/>
      </rPr>
      <t>Trachurus trachurus</t>
    </r>
    <r>
      <rPr>
        <b/>
        <sz val="10"/>
        <color rgb="FFFF0000"/>
        <rFont val="Times New Roman"/>
        <family val="1"/>
      </rPr>
      <t xml:space="preserve"> 2022/Intensité d'échantillonnage</t>
    </r>
  </si>
  <si>
    <r>
      <t xml:space="preserve">Table 4.4.1: Sampling intensity of </t>
    </r>
    <r>
      <rPr>
        <b/>
        <i/>
        <sz val="10"/>
        <color rgb="FFFF0000"/>
        <rFont val="Times New Roman"/>
        <family val="1"/>
      </rPr>
      <t>Trachurus trachurus</t>
    </r>
    <r>
      <rPr>
        <b/>
        <sz val="10"/>
        <color rgb="FFFF0000"/>
        <rFont val="Times New Roman"/>
        <family val="1"/>
      </rPr>
      <t xml:space="preserve"> 2023/Intensité d'échantillonnage</t>
    </r>
  </si>
  <si>
    <r>
      <t xml:space="preserve">Table 4.4.1: Sampling intensity of </t>
    </r>
    <r>
      <rPr>
        <b/>
        <i/>
        <sz val="10"/>
        <color rgb="FFFF0000"/>
        <rFont val="Times New Roman"/>
        <family val="1"/>
      </rPr>
      <t>Trachurus trachurus</t>
    </r>
    <r>
      <rPr>
        <b/>
        <sz val="10"/>
        <color rgb="FFFF0000"/>
        <rFont val="Times New Roman"/>
        <family val="1"/>
      </rPr>
      <t xml:space="preserve"> 2024/Intensité d'échantillonnage</t>
    </r>
  </si>
  <si>
    <r>
      <t xml:space="preserve">Table 4.4.1: Sampling intensity of </t>
    </r>
    <r>
      <rPr>
        <b/>
        <i/>
        <sz val="10"/>
        <color rgb="FFFF0000"/>
        <rFont val="Times New Roman"/>
        <family val="1"/>
      </rPr>
      <t>Trachurus trachurus</t>
    </r>
    <r>
      <rPr>
        <b/>
        <sz val="10"/>
        <color rgb="FFFF0000"/>
        <rFont val="Times New Roman"/>
        <family val="1"/>
      </rPr>
      <t xml:space="preserve"> 2025/Intensité d'échantillonnage</t>
    </r>
  </si>
  <si>
    <t>Q1</t>
  </si>
  <si>
    <t>Q2</t>
  </si>
  <si>
    <t>Q3</t>
  </si>
  <si>
    <t>Q4</t>
  </si>
  <si>
    <t>North (35°45’-32°N)</t>
  </si>
  <si>
    <t>total catch in tonnes</t>
  </si>
  <si>
    <t>number of samples</t>
  </si>
  <si>
    <t>number of fish measured</t>
  </si>
  <si>
    <t>number of fish aged</t>
  </si>
  <si>
    <t>A (32°N - 29°N)</t>
  </si>
  <si>
    <t>B (29°N - 26°N)</t>
  </si>
  <si>
    <t>C (26°N - North Cap Blanc)</t>
  </si>
  <si>
    <r>
      <t xml:space="preserve">Table : Sampling intensity of </t>
    </r>
    <r>
      <rPr>
        <i/>
        <sz val="9"/>
        <color rgb="FFFF0000"/>
        <rFont val="Times New Roman"/>
        <family val="1"/>
      </rPr>
      <t>Trachurus trecae</t>
    </r>
    <r>
      <rPr>
        <sz val="9"/>
        <color rgb="FFFF0000"/>
        <rFont val="Times New Roman"/>
        <family val="1"/>
      </rPr>
      <t xml:space="preserve"> 2014/Intensité d'échantillonnage</t>
    </r>
  </si>
  <si>
    <r>
      <t xml:space="preserve">Table : Sampling intensity of </t>
    </r>
    <r>
      <rPr>
        <i/>
        <sz val="9"/>
        <color rgb="FFFF0000"/>
        <rFont val="Times New Roman"/>
        <family val="1"/>
      </rPr>
      <t>Trachurus trecae</t>
    </r>
    <r>
      <rPr>
        <sz val="9"/>
        <color rgb="FFFF0000"/>
        <rFont val="Times New Roman"/>
        <family val="1"/>
      </rPr>
      <t xml:space="preserve"> 2015/Intensité d'échantillonnage</t>
    </r>
  </si>
  <si>
    <r>
      <t xml:space="preserve">Table : Sampling intensity of </t>
    </r>
    <r>
      <rPr>
        <i/>
        <sz val="9"/>
        <color rgb="FFFF0000"/>
        <rFont val="Times New Roman"/>
        <family val="1"/>
      </rPr>
      <t>Trachurus trecae</t>
    </r>
    <r>
      <rPr>
        <sz val="9"/>
        <color rgb="FFFF0000"/>
        <rFont val="Times New Roman"/>
        <family val="1"/>
      </rPr>
      <t xml:space="preserve"> /Intensité d'échantillonnage 2016</t>
    </r>
  </si>
  <si>
    <r>
      <t xml:space="preserve">Table : Sampling intensity of </t>
    </r>
    <r>
      <rPr>
        <i/>
        <sz val="9"/>
        <color rgb="FFFF0000"/>
        <rFont val="Times New Roman"/>
        <family val="1"/>
      </rPr>
      <t>Trachurus trecae</t>
    </r>
    <r>
      <rPr>
        <sz val="9"/>
        <color rgb="FFFF0000"/>
        <rFont val="Times New Roman"/>
        <family val="1"/>
      </rPr>
      <t xml:space="preserve"> /Intensité d'échantillonnage 2017</t>
    </r>
  </si>
  <si>
    <r>
      <t xml:space="preserve">Table : Sampling intensity of </t>
    </r>
    <r>
      <rPr>
        <i/>
        <sz val="9"/>
        <color rgb="FFFF0000"/>
        <rFont val="Times New Roman"/>
        <family val="1"/>
      </rPr>
      <t>Trachurus trecae</t>
    </r>
    <r>
      <rPr>
        <sz val="9"/>
        <color rgb="FFFF0000"/>
        <rFont val="Times New Roman"/>
        <family val="1"/>
      </rPr>
      <t xml:space="preserve"> /Intensité d'échantillonnage 2018</t>
    </r>
  </si>
  <si>
    <r>
      <t xml:space="preserve">Table : Sampling intensity of </t>
    </r>
    <r>
      <rPr>
        <i/>
        <sz val="9"/>
        <color rgb="FFFF0000"/>
        <rFont val="Times New Roman"/>
        <family val="1"/>
      </rPr>
      <t>Trachurus trecae</t>
    </r>
    <r>
      <rPr>
        <sz val="9"/>
        <color rgb="FFFF0000"/>
        <rFont val="Times New Roman"/>
        <family val="1"/>
      </rPr>
      <t xml:space="preserve"> /Intensité d'échantillonnage 2019</t>
    </r>
  </si>
  <si>
    <r>
      <t xml:space="preserve">Table : Sampling intensity of </t>
    </r>
    <r>
      <rPr>
        <i/>
        <sz val="9"/>
        <color rgb="FFFF0000"/>
        <rFont val="Times New Roman"/>
        <family val="1"/>
      </rPr>
      <t>Trachurus trecae</t>
    </r>
    <r>
      <rPr>
        <sz val="9"/>
        <color rgb="FFFF0000"/>
        <rFont val="Times New Roman"/>
        <family val="1"/>
      </rPr>
      <t xml:space="preserve"> /Intensité d'échantillonnage 2020</t>
    </r>
  </si>
  <si>
    <r>
      <t xml:space="preserve">Table 4.4.2: Sampling intensity of </t>
    </r>
    <r>
      <rPr>
        <i/>
        <sz val="9"/>
        <color rgb="FFFF0000"/>
        <rFont val="Times New Roman"/>
        <family val="1"/>
      </rPr>
      <t>Trachurus trecae</t>
    </r>
    <r>
      <rPr>
        <sz val="9"/>
        <color rgb="FFFF0000"/>
        <rFont val="Times New Roman"/>
        <family val="1"/>
      </rPr>
      <t xml:space="preserve"> /Intensité d'échantillonnage 2021</t>
    </r>
  </si>
  <si>
    <r>
      <t xml:space="preserve">Table 4.4.2: Sampling intensity of </t>
    </r>
    <r>
      <rPr>
        <i/>
        <sz val="9"/>
        <color rgb="FFFF0000"/>
        <rFont val="Times New Roman"/>
        <family val="1"/>
      </rPr>
      <t>Trachurus trecae</t>
    </r>
    <r>
      <rPr>
        <sz val="9"/>
        <color rgb="FFFF0000"/>
        <rFont val="Times New Roman"/>
        <family val="1"/>
      </rPr>
      <t xml:space="preserve"> /Intensité d'échantillonnage 2022</t>
    </r>
  </si>
  <si>
    <r>
      <t xml:space="preserve">Table 4.4.2: Sampling intensity of </t>
    </r>
    <r>
      <rPr>
        <i/>
        <sz val="9"/>
        <color rgb="FFFF0000"/>
        <rFont val="Times New Roman"/>
        <family val="1"/>
      </rPr>
      <t>Trachurus trecae</t>
    </r>
    <r>
      <rPr>
        <sz val="9"/>
        <color rgb="FFFF0000"/>
        <rFont val="Times New Roman"/>
        <family val="1"/>
      </rPr>
      <t xml:space="preserve"> /Intensité d'échantillonnage 2023</t>
    </r>
  </si>
  <si>
    <r>
      <t xml:space="preserve">Table 4.4.2: Sampling intensity of </t>
    </r>
    <r>
      <rPr>
        <i/>
        <sz val="9"/>
        <color rgb="FFFF0000"/>
        <rFont val="Times New Roman"/>
        <family val="1"/>
      </rPr>
      <t>Trachurus trecae</t>
    </r>
    <r>
      <rPr>
        <sz val="9"/>
        <color rgb="FFFF0000"/>
        <rFont val="Times New Roman"/>
        <family val="1"/>
      </rPr>
      <t xml:space="preserve"> /Intensité d'échantillonnage 2024</t>
    </r>
  </si>
  <si>
    <t>Russian and Marrocan</t>
  </si>
  <si>
    <t>Poids échantillonés</t>
  </si>
  <si>
    <t>Table 5.4.1 : Bological sampling intensity (2014) of Caranx rhonchus by country (zone) and fleet</t>
  </si>
  <si>
    <t>Table 5.4.1 : Bological sampling intensity (2016) of Caranx rhonchus by country (zone) and fleet</t>
  </si>
  <si>
    <t>Table 5.4.1 : Bological sampling intensity (2017) of Caranx rhonchus by country (zone) and fleet</t>
  </si>
  <si>
    <t>Table 5.4.1 : Bological sampling intensity (2019) of Caranx rhonchus by country (zone) and fleet</t>
  </si>
  <si>
    <t>Table 5.4.1 : Bological sampling intensity (2020) of Caranx rhonchus by country (zone) and fleet</t>
  </si>
  <si>
    <t>Table 4.4.3 : Bological sampling intensity (2020) of Caranx rhonchus by country (zone) and fleet</t>
  </si>
  <si>
    <t>Table 4.4.3 : Bological sampling intensity (2022) of Caranx rhonchus by country (zone) and fleet</t>
  </si>
  <si>
    <t>Table 4.4.3 : Bological sampling intensity (2023) of Caranx rhonchus by country (zone) and fleet</t>
  </si>
  <si>
    <t>Table 4.4.3 : Bological sampling intensity (2024) of Caranx rhonchus by country (zone) and fleet</t>
  </si>
  <si>
    <r>
      <t xml:space="preserve">Tableau XXX-8. </t>
    </r>
    <r>
      <rPr>
        <sz val="11"/>
        <rFont val="Times New Roman"/>
        <family val="1"/>
      </rPr>
      <t xml:space="preserve">Sampling intensity of </t>
    </r>
    <r>
      <rPr>
        <i/>
        <sz val="11"/>
        <rFont val="Times New Roman"/>
        <family val="1"/>
      </rPr>
      <t>Trachurus picturatus</t>
    </r>
    <r>
      <rPr>
        <sz val="11"/>
        <rFont val="Times New Roman"/>
        <family val="1"/>
      </rPr>
      <t xml:space="preserve">/Intensité d’échantillonnage de </t>
    </r>
    <r>
      <rPr>
        <i/>
        <sz val="11"/>
        <color rgb="FF000000"/>
        <rFont val="Times New Roman"/>
        <family val="1"/>
      </rPr>
      <t>Trachurus picturatus</t>
    </r>
  </si>
  <si>
    <t>Total 2018</t>
  </si>
  <si>
    <t>Total 2019</t>
  </si>
  <si>
    <t>Spain (Canary Islands)</t>
  </si>
  <si>
    <r>
      <t xml:space="preserve">Total catch (t) of </t>
    </r>
    <r>
      <rPr>
        <b/>
        <sz val="10"/>
        <rFont val="Times New Roman"/>
        <family val="1"/>
      </rPr>
      <t>Trachurus spp</t>
    </r>
  </si>
  <si>
    <t>total catch in tonnes (Trachurus spp)</t>
  </si>
  <si>
    <t>number of samples (Biol et Taille)</t>
  </si>
  <si>
    <t>number of samples (Biol/Length)</t>
  </si>
  <si>
    <t>number of fish measured (L-W/Length)</t>
  </si>
  <si>
    <t xml:space="preserve"> -</t>
  </si>
  <si>
    <t>Number of fish Biologie</t>
  </si>
  <si>
    <t>number of fish BIOL</t>
  </si>
  <si>
    <t xml:space="preserve"> et C nord Cap Blanc et C nord Cap Blanc et C nord Cap Blanc </t>
  </si>
  <si>
    <t>n.a.</t>
  </si>
  <si>
    <t>Moroccan coastal purse-seiners</t>
  </si>
  <si>
    <t>Trachurus trachurus 2017</t>
  </si>
  <si>
    <t>% T. trachurus 2014</t>
  </si>
  <si>
    <t>% T. trachurus 2015</t>
  </si>
  <si>
    <r>
      <t>Espèce :</t>
    </r>
    <r>
      <rPr>
        <i/>
        <sz val="10"/>
        <rFont val="Times New Roman"/>
        <family val="1"/>
      </rPr>
      <t>Trachurus Trachurus</t>
    </r>
  </si>
  <si>
    <t>Zone Stock</t>
  </si>
  <si>
    <t>Zone: A+B (32°N - 26°N)</t>
  </si>
  <si>
    <t xml:space="preserve">Sud Cap Blanc </t>
  </si>
  <si>
    <t>CT</t>
  </si>
  <si>
    <t>Maroc (Senneurs)Zone A+B</t>
  </si>
  <si>
    <t>Maroc (RSW) Zone C</t>
  </si>
  <si>
    <t>Russe (Maroc) Stock C</t>
  </si>
  <si>
    <t>Russe (Mauritania)</t>
  </si>
  <si>
    <t>Nord Cap  Blanc</t>
  </si>
  <si>
    <t>Sud Cap  Blanc</t>
  </si>
  <si>
    <t xml:space="preserve">Type Flotte </t>
  </si>
  <si>
    <t>Senneurs côtiers</t>
  </si>
  <si>
    <t>Chalutiers côtiers</t>
  </si>
  <si>
    <t>Chalutiers RSW</t>
  </si>
  <si>
    <t>Russia North C</t>
  </si>
  <si>
    <t>Total Maroc</t>
  </si>
  <si>
    <t>Russia Zone C</t>
  </si>
  <si>
    <t>Total North C Blanc</t>
  </si>
  <si>
    <t>ESPECE</t>
  </si>
  <si>
    <t>Trachurus trachurus données 2018</t>
  </si>
  <si>
    <t>Trachurus trachurus données 2019</t>
  </si>
  <si>
    <t>Zone Nord_Final</t>
  </si>
  <si>
    <t>Zone A</t>
  </si>
  <si>
    <t>Zone C</t>
  </si>
  <si>
    <t>Zone A+B</t>
  </si>
  <si>
    <t>% A+B</t>
  </si>
  <si>
    <t>% Tot N C Blanc</t>
  </si>
  <si>
    <t>% Tot S C Blanc</t>
  </si>
  <si>
    <t>Moroccan  RSW</t>
  </si>
  <si>
    <t>Flotte russe
 et Other Mauritaniens</t>
  </si>
  <si>
    <t>A+B</t>
  </si>
  <si>
    <t>Nord Cap Blanc</t>
  </si>
  <si>
    <t>Sud Cap Blanc</t>
  </si>
  <si>
    <t>%A+B</t>
  </si>
  <si>
    <t>% N Cap Blanc</t>
  </si>
  <si>
    <t>% S Cap Blanc</t>
  </si>
  <si>
    <t>Zones</t>
  </si>
  <si>
    <t>A+ B</t>
  </si>
  <si>
    <t>% A+ B</t>
  </si>
  <si>
    <t>% Nord Cap Blanc</t>
  </si>
  <si>
    <t>% Sud Cap Blanc</t>
  </si>
  <si>
    <t>Trachurus trachurus données 2020</t>
  </si>
  <si>
    <t>Trachurus trachurus données 2021</t>
  </si>
  <si>
    <t>Trachurus trachurus données 2022</t>
  </si>
  <si>
    <t>Trachurus trachurus données 2023</t>
  </si>
  <si>
    <t>Trachurus trachurus données 2024</t>
  </si>
  <si>
    <t>Trachurus trachurus données 2025</t>
  </si>
  <si>
    <t>Nord</t>
  </si>
  <si>
    <t>Nord Cap Blanc-données Maroc</t>
  </si>
  <si>
    <t>Nord Cap Blanc-données Russie</t>
  </si>
  <si>
    <t>Total Mauritanie</t>
  </si>
  <si>
    <t>Tot NCB</t>
  </si>
  <si>
    <t>NMar+Ru Extra</t>
  </si>
  <si>
    <t>Sud Cap Blanc-Ru</t>
  </si>
  <si>
    <t>Sud Cap Blanc-Rim</t>
  </si>
  <si>
    <t>Extr- Mauritanie</t>
  </si>
  <si>
    <t>Total Mauritaie</t>
  </si>
  <si>
    <t>Nord CapB Hollande</t>
  </si>
  <si>
    <t>Extr Sud Cap Blanc-Rim</t>
  </si>
  <si>
    <t>Total TT</t>
  </si>
  <si>
    <t>Total TT-ext</t>
  </si>
  <si>
    <t>Extrapol-R</t>
  </si>
  <si>
    <t>Sud Cap Blanc echan-Rim</t>
  </si>
  <si>
    <t>extrap-Rim</t>
  </si>
  <si>
    <t>Données-russes</t>
  </si>
  <si>
    <t>Extr- Russ/Rim</t>
  </si>
  <si>
    <t>Total Maroc+RIM</t>
  </si>
  <si>
    <t>Total en nbre</t>
  </si>
  <si>
    <t>Capture en t</t>
  </si>
  <si>
    <t>Total (numbers)</t>
  </si>
  <si>
    <t>Capture Total</t>
  </si>
  <si>
    <t>Echantillonnés</t>
  </si>
  <si>
    <t xml:space="preserve">Total (t) </t>
  </si>
  <si>
    <t>Capture(T)</t>
  </si>
  <si>
    <t>Poids moyen</t>
  </si>
  <si>
    <t>Ratio</t>
  </si>
  <si>
    <t>catch (T)</t>
  </si>
  <si>
    <t>Nombre</t>
  </si>
  <si>
    <t>Catch</t>
  </si>
  <si>
    <t>Catch (kg)</t>
  </si>
  <si>
    <t>Catch (t)</t>
  </si>
  <si>
    <t>% T. trecae 2014</t>
  </si>
  <si>
    <t>% T. trecae 2015</t>
  </si>
  <si>
    <t>pds ind,(kg)</t>
  </si>
  <si>
    <t>pds ind,(g)</t>
  </si>
  <si>
    <t xml:space="preserve"> T. trecae</t>
  </si>
  <si>
    <t>Maroc (RSW)Stock C</t>
  </si>
  <si>
    <t>Russe (Maroc)</t>
  </si>
  <si>
    <t xml:space="preserve">sénégal </t>
  </si>
  <si>
    <t>Total region</t>
  </si>
  <si>
    <t>cp</t>
  </si>
  <si>
    <t>CP</t>
  </si>
  <si>
    <t>T°</t>
  </si>
  <si>
    <t>une répartition des tailles simulaires (grandes tailles) au nord Maroc avec celle au tours du CB tt sup à L50</t>
  </si>
  <si>
    <t>Engins? Identité du stock? Deplacement des grands individus vers le nord et le sud? discution</t>
  </si>
  <si>
    <t>Coef</t>
  </si>
  <si>
    <t>Zone Nord</t>
  </si>
  <si>
    <t>Total catch</t>
  </si>
  <si>
    <t xml:space="preserve">D.rhonchus  </t>
  </si>
  <si>
    <t>% D.rhonchus  2014</t>
  </si>
  <si>
    <t>% D.rhonchus  2015</t>
  </si>
  <si>
    <t>Fréquence des tailles de Trachurus treace 2013</t>
  </si>
  <si>
    <t>Données Trachurus trecae 2018</t>
  </si>
  <si>
    <t>Données Trachurus trecae 2019</t>
  </si>
  <si>
    <t>Données Trachurus trecae 2020</t>
  </si>
  <si>
    <t>Données Trachurus trecae 2021</t>
  </si>
  <si>
    <t>Données Trachurus trecae 2022</t>
  </si>
  <si>
    <t>Données Trachurus trecae 2023</t>
  </si>
  <si>
    <t>Données Trachurus trecae 2024</t>
  </si>
  <si>
    <t>Données Trachurus trecae 2025</t>
  </si>
  <si>
    <t>MRT UE</t>
  </si>
  <si>
    <t>MRT Russe</t>
  </si>
  <si>
    <t>Somme</t>
  </si>
  <si>
    <t>Total MRT</t>
  </si>
  <si>
    <t>Total Senegal</t>
  </si>
  <si>
    <t>Maroc Russe</t>
  </si>
  <si>
    <t>Total South Cap Blanc</t>
  </si>
  <si>
    <t>Total North Cap Blanc</t>
  </si>
  <si>
    <t>% South Cap B</t>
  </si>
  <si>
    <t>% North Cap B</t>
  </si>
  <si>
    <t xml:space="preserve">Zone C N Cap Blanc </t>
  </si>
  <si>
    <t>Zone C N Cap Blanc  F</t>
  </si>
  <si>
    <t>Zone C S Cap Blanc</t>
  </si>
  <si>
    <t>Zone C S Cap Blanc F</t>
  </si>
  <si>
    <t>% Zone C N</t>
  </si>
  <si>
    <t>% Zone C S</t>
  </si>
  <si>
    <r>
      <t>Length</t>
    </r>
    <r>
      <rPr>
        <vertAlign val="superscript"/>
        <sz val="10"/>
        <color indexed="8"/>
        <rFont val="Arial"/>
        <family val="2"/>
        <charset val="204"/>
      </rPr>
      <t>2)</t>
    </r>
    <r>
      <rPr>
        <sz val="10"/>
        <color indexed="8"/>
        <rFont val="Arial Cyr"/>
        <charset val="204"/>
      </rPr>
      <t xml:space="preserve"> (cm)</t>
    </r>
  </si>
  <si>
    <t>South Cap Blanc</t>
  </si>
  <si>
    <t>% North Cap Blanc</t>
  </si>
  <si>
    <t>% South Cap Blanc</t>
  </si>
  <si>
    <t>Total  South Cap Blanc</t>
  </si>
  <si>
    <t>Ech-Rim</t>
  </si>
  <si>
    <t>Ext-Rim</t>
  </si>
  <si>
    <t>South Cap Blanc-Rim</t>
  </si>
  <si>
    <t>Total (North Cap Blanc+Sud Cap Blanc)</t>
  </si>
  <si>
    <t>Nord Cap Blanc-Ru</t>
  </si>
  <si>
    <t>ext-Nord Cap B</t>
  </si>
  <si>
    <t>Ext-Rim(PC+PA)</t>
  </si>
  <si>
    <t>South Cap Blanc-Ru</t>
  </si>
  <si>
    <t>Ex-Sud Cap B (PH)</t>
  </si>
  <si>
    <r>
      <t>Length</t>
    </r>
    <r>
      <rPr>
        <vertAlign val="superscript"/>
        <sz val="10"/>
        <rFont val="Arial"/>
        <family val="2"/>
        <charset val="204"/>
      </rPr>
      <t>2)</t>
    </r>
    <r>
      <rPr>
        <sz val="10"/>
        <rFont val="Arial Cyr"/>
        <charset val="204"/>
      </rPr>
      <t xml:space="preserve"> (cm)</t>
    </r>
  </si>
  <si>
    <t>Catch total</t>
  </si>
  <si>
    <t>Total N</t>
  </si>
  <si>
    <t>Poids (t)</t>
  </si>
  <si>
    <t>Total Carch</t>
  </si>
  <si>
    <t>Pds moy</t>
  </si>
  <si>
    <t>coef, p,</t>
  </si>
  <si>
    <t>Coiff</t>
  </si>
  <si>
    <t>Fréquence des tailles de Decapterus rhonchus ( données commerciales) (2012)</t>
  </si>
  <si>
    <t xml:space="preserve">MRT </t>
  </si>
  <si>
    <t>Total South Cap B</t>
  </si>
  <si>
    <t>Total Catch</t>
  </si>
  <si>
    <t>PONDERADO a las capturas de Trachurus spp</t>
  </si>
  <si>
    <t>2013 (%)</t>
  </si>
  <si>
    <t>2014 (%)</t>
  </si>
  <si>
    <t>2015 RIM+PNDB (%)</t>
  </si>
  <si>
    <t>2015 PNDB %</t>
  </si>
  <si>
    <t>2016 RIM+PNDB (%)</t>
  </si>
  <si>
    <t>2017 (%)</t>
  </si>
  <si>
    <t>2018 (%)</t>
  </si>
  <si>
    <t>2019 (%)</t>
  </si>
  <si>
    <t>2020 (%)</t>
  </si>
  <si>
    <t>2021 (%)</t>
  </si>
  <si>
    <t>2022 (%)</t>
  </si>
  <si>
    <t>2023 (%)</t>
  </si>
  <si>
    <t>2013-RIM</t>
  </si>
  <si>
    <t>2013-PNDB</t>
  </si>
  <si>
    <t>2014-RIM</t>
  </si>
  <si>
    <t>2014-PNDB</t>
  </si>
  <si>
    <t>2015-RIM</t>
  </si>
  <si>
    <t>2015-PNDB</t>
  </si>
  <si>
    <t>2016-RIM</t>
  </si>
  <si>
    <t>2016-PNDB</t>
  </si>
  <si>
    <t>2017-PNDB+Emb</t>
  </si>
  <si>
    <t>2018-PNDB-Emb-RIM</t>
  </si>
  <si>
    <t>2019-PNDB-Emb-RIM</t>
  </si>
  <si>
    <t>2020-PNDB-Emb-RIM</t>
  </si>
  <si>
    <t>TLc</t>
  </si>
  <si>
    <t>TL (cm)</t>
  </si>
  <si>
    <t>SOP RIM2015</t>
  </si>
  <si>
    <t>Peso muestra (kg)</t>
  </si>
  <si>
    <t>N</t>
  </si>
  <si>
    <t>-</t>
  </si>
  <si>
    <t>SOP</t>
  </si>
  <si>
    <t>Total (milliers)</t>
  </si>
  <si>
    <t>Total capture (t)</t>
  </si>
  <si>
    <t>Poids moyen (g)</t>
  </si>
  <si>
    <t>Taille moyenne(cm)</t>
  </si>
  <si>
    <t>Abondance et biomasse de Trachurus spp par classe de taille entre Cap Cantin et St Louis, Atlantida Juillet-Août 2011</t>
  </si>
  <si>
    <t>Fréquence des tailles des Trachurus treace ( Campagne acoustique Atlantida Decembre 2011)</t>
  </si>
  <si>
    <t>Nb (million)</t>
  </si>
  <si>
    <t>Zone Maroc</t>
  </si>
  <si>
    <t>Zone Mauritanie</t>
  </si>
  <si>
    <t>N,</t>
  </si>
  <si>
    <t>B,</t>
  </si>
  <si>
    <t>млн</t>
  </si>
  <si>
    <t>тонн</t>
  </si>
  <si>
    <t>Tracae</t>
  </si>
  <si>
    <t>Tr.trach</t>
  </si>
  <si>
    <t>trecae</t>
  </si>
  <si>
    <t>---</t>
  </si>
  <si>
    <t>Abondance et biomasse de Trachurus spp par classe de taille entre Cap Cantin et St Louis, Atlantida janvier 2012</t>
  </si>
  <si>
    <t>% Trachurus</t>
  </si>
  <si>
    <t>% Treace</t>
  </si>
  <si>
    <t>Poids (kg)</t>
  </si>
  <si>
    <t>Abondance Données campagnes scientifiques Nord en 2018</t>
  </si>
  <si>
    <t>Données campagnes scientifiques Centre  en 2018</t>
  </si>
  <si>
    <t>Données campagnes scientifiques Sud  en 2018</t>
  </si>
  <si>
    <t>Abondance Données campagnes scientifiques Nord en 2019</t>
  </si>
  <si>
    <t>Données campagnes scientifiques Centre  en 2019</t>
  </si>
  <si>
    <t>AL Amir Cap Bojdor - Cap Blanc 2012</t>
  </si>
  <si>
    <t>Centre</t>
  </si>
  <si>
    <t>Sud</t>
  </si>
  <si>
    <t>Biomasse (mille tonnes)</t>
  </si>
  <si>
    <t>Classe de taille (cm)</t>
  </si>
  <si>
    <t>Abondance (millionsd'individus)</t>
  </si>
  <si>
    <t>Ttrecae Sud</t>
  </si>
  <si>
    <t>Numbers in milions and weight in 1000 tonnes:</t>
  </si>
  <si>
    <t>Length</t>
  </si>
  <si>
    <t>cm</t>
  </si>
  <si>
    <t>tonnes</t>
  </si>
  <si>
    <t>N millions</t>
  </si>
  <si>
    <t>AL Amir Cap Bojdor - Cap Blanc 2013</t>
  </si>
  <si>
    <t>AL Amir C.Cantin-C.Boujdor 2013</t>
  </si>
  <si>
    <t>Taille</t>
  </si>
  <si>
    <t>Figure 4.5.2:Length composition (in millions of individuals) for Trachurus trachurus. and T. tracae (Nov. 2012), R/V AL AMIR ABDELLAH/</t>
  </si>
  <si>
    <t>Composition en taille (en millions) de Trachurus trachurus. et  T. tracae (nov. 2013), N/V AL AMIR ABDELLAH</t>
  </si>
  <si>
    <t>Fréquence des tailles mésurée lors de la campgane AL AWAM en juillet 2012</t>
  </si>
  <si>
    <t>Al-Awam</t>
  </si>
  <si>
    <t>Numbers in Thousends and weight in  tonne:</t>
  </si>
  <si>
    <t>Length group (cm)</t>
  </si>
  <si>
    <t>W</t>
  </si>
  <si>
    <r>
      <t xml:space="preserve">Figure 4.5.3a : </t>
    </r>
    <r>
      <rPr>
        <sz val="10"/>
        <rFont val="Times New Roman"/>
        <family val="1"/>
      </rPr>
      <t xml:space="preserve">Length Composition of </t>
    </r>
    <r>
      <rPr>
        <i/>
        <sz val="10"/>
        <rFont val="Times New Roman"/>
        <family val="1"/>
      </rPr>
      <t xml:space="preserve">Trachurus trecae </t>
    </r>
    <r>
      <rPr>
        <sz val="10"/>
        <rFont val="Times New Roman"/>
        <family val="1"/>
      </rPr>
      <t xml:space="preserve"> and </t>
    </r>
    <r>
      <rPr>
        <i/>
        <sz val="10"/>
        <rFont val="Times New Roman"/>
        <family val="1"/>
      </rPr>
      <t xml:space="preserve">Trachurus trachurus </t>
    </r>
    <r>
      <rPr>
        <sz val="10"/>
        <rFont val="Times New Roman"/>
        <family val="1"/>
      </rPr>
      <t>juillet 2012) between St. Louis and Cap Blanc R/V AL AWAN/</t>
    </r>
  </si>
  <si>
    <r>
      <t xml:space="preserve">/Composition par taille de </t>
    </r>
    <r>
      <rPr>
        <i/>
        <sz val="10"/>
        <rFont val="Times New Roman"/>
        <family val="1"/>
      </rPr>
      <t xml:space="preserve">Trachurus trecae et Trachurus trachurus </t>
    </r>
    <r>
      <rPr>
        <sz val="10"/>
        <rFont val="Times New Roman"/>
        <family val="1"/>
      </rPr>
      <t>(juillet 2012) entre St Louis et cape blanc</t>
    </r>
  </si>
  <si>
    <t xml:space="preserve"> N/R AL AWAM</t>
  </si>
  <si>
    <t>N (mill.)</t>
  </si>
  <si>
    <t>W (ton)</t>
  </si>
  <si>
    <t>Biomass (tonnes)</t>
  </si>
  <si>
    <r>
      <t xml:space="preserve">Figure 4.5.3a : </t>
    </r>
    <r>
      <rPr>
        <sz val="10"/>
        <rFont val="Times New Roman"/>
        <family val="1"/>
      </rPr>
      <t xml:space="preserve">Length Composition of </t>
    </r>
    <r>
      <rPr>
        <i/>
        <sz val="10"/>
        <rFont val="Times New Roman"/>
        <family val="1"/>
      </rPr>
      <t xml:space="preserve">Trachurus trecae </t>
    </r>
    <r>
      <rPr>
        <sz val="10"/>
        <rFont val="Times New Roman"/>
        <family val="1"/>
      </rPr>
      <t xml:space="preserve"> and </t>
    </r>
    <r>
      <rPr>
        <i/>
        <sz val="10"/>
        <rFont val="Times New Roman"/>
        <family val="1"/>
      </rPr>
      <t xml:space="preserve">Trachurus trachurus </t>
    </r>
    <r>
      <rPr>
        <sz val="10"/>
        <rFont val="Times New Roman"/>
        <family val="1"/>
      </rPr>
      <t xml:space="preserve"> 2019 between St. Louis and Cap Blanc R/V AL AWAN/</t>
    </r>
  </si>
  <si>
    <t>4.32a  estimation du nombre et de la biomasse du chinchard africain par taille et par zone au sénégal Novembre 2008.</t>
  </si>
  <si>
    <t>Chinchards</t>
  </si>
  <si>
    <t xml:space="preserve">                   Nombre (millions)</t>
  </si>
  <si>
    <t xml:space="preserve">          Biomasse (tonnes)</t>
  </si>
  <si>
    <t>NORD</t>
  </si>
  <si>
    <t>CENTRE</t>
  </si>
  <si>
    <t>Gambie</t>
  </si>
  <si>
    <t>Casa-</t>
  </si>
  <si>
    <t>TOTAL</t>
  </si>
  <si>
    <t>mance</t>
  </si>
  <si>
    <r>
      <t xml:space="preserve">Figure 4.5.4 : Length Composition of </t>
    </r>
    <r>
      <rPr>
        <b/>
        <i/>
        <sz val="10"/>
        <rFont val="Times New Roman"/>
        <family val="1"/>
      </rPr>
      <t xml:space="preserve">Trachurus trecae </t>
    </r>
    <r>
      <rPr>
        <b/>
        <sz val="10"/>
        <rFont val="Times New Roman"/>
        <family val="1"/>
      </rPr>
      <t xml:space="preserve"> (Novembre 2008)</t>
    </r>
  </si>
  <si>
    <r>
      <t xml:space="preserve">/Composition par taille de </t>
    </r>
    <r>
      <rPr>
        <i/>
        <sz val="10"/>
        <rFont val="Times New Roman"/>
        <family val="1"/>
      </rPr>
      <t xml:space="preserve">Trachurus trecae </t>
    </r>
    <r>
      <rPr>
        <sz val="10"/>
        <rFont val="Times New Roman"/>
        <family val="1"/>
      </rPr>
      <t>(Novembre 2008)</t>
    </r>
  </si>
  <si>
    <t xml:space="preserve"> N/R ETAF DEME</t>
  </si>
  <si>
    <t>Pas de campagne dans la zone Sénégalaise 2010</t>
  </si>
  <si>
    <t>Pas de campagne dans la zone sénégalaise 2011</t>
  </si>
  <si>
    <t>Pas de campagne dans la zone sénégalaise 2012</t>
  </si>
  <si>
    <t>Clé taille age 2017</t>
  </si>
  <si>
    <t xml:space="preserve"> length total </t>
  </si>
  <si>
    <t>Table:  Age/Length Key (%)</t>
  </si>
  <si>
    <t>Matrice par age Zone Marocaine en 2017</t>
  </si>
  <si>
    <t>Année 2018</t>
  </si>
  <si>
    <t>Matrice par age Zone Marocaine en 2018</t>
  </si>
  <si>
    <t>Country:</t>
  </si>
  <si>
    <t>Year/Quarter or Month:</t>
  </si>
  <si>
    <t>Quarter 2</t>
  </si>
  <si>
    <t>(Apr - June)</t>
  </si>
  <si>
    <t>Tailles (cm)</t>
  </si>
  <si>
    <t>Zone C Maroc</t>
  </si>
  <si>
    <t>Total A+B+North</t>
  </si>
  <si>
    <t>Age 0</t>
  </si>
  <si>
    <t>Age 1</t>
  </si>
  <si>
    <t>Age 2</t>
  </si>
  <si>
    <t>Age 3</t>
  </si>
  <si>
    <t>Age 4</t>
  </si>
  <si>
    <t>Age 5</t>
  </si>
  <si>
    <t>Age 6</t>
  </si>
  <si>
    <t>Age 7</t>
  </si>
  <si>
    <t>Age 8</t>
  </si>
  <si>
    <t>Age 9</t>
  </si>
  <si>
    <t>Age 10</t>
  </si>
  <si>
    <t>Année 2019</t>
  </si>
  <si>
    <t>Matrice par age Zone Marocaine en 2019</t>
  </si>
  <si>
    <t xml:space="preserve">Guarter </t>
  </si>
  <si>
    <t>(October-December)</t>
  </si>
  <si>
    <t>Matrice par age Zone Marocaine en 2021</t>
  </si>
  <si>
    <t>Fleet Component:</t>
  </si>
  <si>
    <t>Matrice par age Zone Mauritanienne en 2021</t>
  </si>
  <si>
    <t>Quarter 1</t>
  </si>
  <si>
    <t>(Jan - Feb)</t>
  </si>
  <si>
    <t>Matrice par age Zone Mauritanienne en 2022</t>
  </si>
  <si>
    <t>Matrice par age Zone Marocaine en 2023</t>
  </si>
  <si>
    <t>Matrice par age Zone Mauritanienne en 2023</t>
  </si>
  <si>
    <t>Matrice par age Zone Marocaine en 2024</t>
  </si>
  <si>
    <t>Matrice par age Zone Mauritanienne en 2024</t>
  </si>
  <si>
    <t>Matrice par age Zone Marocaine en 2025</t>
  </si>
  <si>
    <t>Species:</t>
  </si>
  <si>
    <t>Age10</t>
  </si>
  <si>
    <t>Length (cm)</t>
  </si>
  <si>
    <t>Age0</t>
  </si>
  <si>
    <t>Total (Nunbers)</t>
  </si>
  <si>
    <t>Age 11</t>
  </si>
  <si>
    <t>Age 12</t>
  </si>
  <si>
    <t>Age 13</t>
  </si>
  <si>
    <t>Total Lengths (cm)</t>
  </si>
  <si>
    <t>Taille Mey</t>
  </si>
  <si>
    <t>age 0</t>
  </si>
  <si>
    <t>age 1</t>
  </si>
  <si>
    <t>age 2</t>
  </si>
  <si>
    <t>age 3</t>
  </si>
  <si>
    <t>age 4</t>
  </si>
  <si>
    <t>a</t>
  </si>
  <si>
    <t>Tmoy</t>
  </si>
  <si>
    <t>age 5</t>
  </si>
  <si>
    <t>Total (numbers)/1000</t>
  </si>
  <si>
    <t>b</t>
  </si>
  <si>
    <t>Poids Moy</t>
  </si>
  <si>
    <t>age 6</t>
  </si>
  <si>
    <t>age 7</t>
  </si>
  <si>
    <t>age 8</t>
  </si>
  <si>
    <t>Table: Age/Length  readings (number of fishes)</t>
  </si>
  <si>
    <t>Echantillonné</t>
  </si>
  <si>
    <t>Mauritanie Sénégal</t>
  </si>
  <si>
    <t>Matrice par age en 2017 Mauritanie - Sénégal</t>
  </si>
  <si>
    <t>Rm</t>
  </si>
  <si>
    <t>Matrice Age Trachurus trachurus Mauritanie Sénégal 2019</t>
  </si>
  <si>
    <t>Zone Senegal</t>
  </si>
  <si>
    <t>Total SEN MRT</t>
  </si>
  <si>
    <t>Rim</t>
  </si>
  <si>
    <t>Maur</t>
  </si>
  <si>
    <t>Nbr MRT</t>
  </si>
  <si>
    <t>Mac</t>
  </si>
  <si>
    <t>Num Sub region thousends</t>
  </si>
  <si>
    <t>Number total</t>
  </si>
  <si>
    <t>Taille moyen</t>
  </si>
  <si>
    <t>Total number</t>
  </si>
  <si>
    <t>Poids</t>
  </si>
  <si>
    <t>Age 8+</t>
  </si>
  <si>
    <r>
      <t xml:space="preserve">Tableau 4.6.1 Number (thousands) of </t>
    </r>
    <r>
      <rPr>
        <b/>
        <i/>
        <sz val="10"/>
        <rFont val="Times New Roman"/>
        <family val="1"/>
      </rPr>
      <t>Trachurus trachurus</t>
    </r>
    <r>
      <rPr>
        <b/>
        <sz val="10"/>
        <rFont val="Times New Roman"/>
        <family val="1"/>
      </rPr>
      <t xml:space="preserve"> caught by ages and by year (1990-2022) in the subregion</t>
    </r>
  </si>
  <si>
    <t>Age*/Year</t>
  </si>
  <si>
    <t>ln 2024</t>
  </si>
  <si>
    <t>ln 2025</t>
  </si>
  <si>
    <t>Catch (N)</t>
  </si>
  <si>
    <t xml:space="preserve">Catch  (t) </t>
  </si>
  <si>
    <t>* age readings by Russia only</t>
  </si>
  <si>
    <t>Mean weight</t>
  </si>
  <si>
    <t>Tr. Trachurus1990- 2025</t>
  </si>
  <si>
    <t>Transformation en ln</t>
  </si>
  <si>
    <t>AGE 1</t>
  </si>
  <si>
    <t>AGE 2</t>
  </si>
  <si>
    <t>AGE 3</t>
  </si>
  <si>
    <t>AGE 4</t>
  </si>
  <si>
    <t>AGE 5</t>
  </si>
  <si>
    <t>AGE 6</t>
  </si>
  <si>
    <t>AGE 7</t>
  </si>
  <si>
    <t>AGE 8</t>
  </si>
  <si>
    <t>la courbe du poids moyen converge ces trois dernières années vers  la moyenne de toute la série,</t>
  </si>
  <si>
    <t>Figures 4.6.1 b. Exploratory analyses of the age data for Tr. Trachurus stock</t>
  </si>
  <si>
    <t>Trachurus trecae 2020</t>
  </si>
  <si>
    <t>Trachurus trecae 2021</t>
  </si>
  <si>
    <t>Trachurus trecae 2022</t>
  </si>
  <si>
    <t>Ttrecae 2023</t>
  </si>
  <si>
    <t>Trachurus trecae 2024</t>
  </si>
  <si>
    <t>Trachurus trecae 2025</t>
  </si>
  <si>
    <t xml:space="preserve">L'année 2019 pour la zone nord du Cap Blanc </t>
  </si>
  <si>
    <t>Age 14</t>
  </si>
  <si>
    <t>LNGTH</t>
  </si>
  <si>
    <t>AGE 0</t>
  </si>
  <si>
    <t>AGE 9</t>
  </si>
  <si>
    <t>AGE 10</t>
  </si>
  <si>
    <t>AGE 11</t>
  </si>
  <si>
    <t>Length2) (cm)</t>
  </si>
  <si>
    <t>Age11</t>
  </si>
  <si>
    <t>Age12</t>
  </si>
  <si>
    <t>Age13</t>
  </si>
  <si>
    <t>Age14</t>
  </si>
  <si>
    <t>N, Cap B,</t>
  </si>
  <si>
    <t>S, Cap B,</t>
  </si>
  <si>
    <t>Age8+</t>
  </si>
  <si>
    <r>
      <t xml:space="preserve">Total </t>
    </r>
    <r>
      <rPr>
        <sz val="11"/>
        <rFont val="Arial"/>
        <family val="2"/>
      </rPr>
      <t>length</t>
    </r>
  </si>
  <si>
    <t>pds moy</t>
  </si>
  <si>
    <t>Total length</t>
  </si>
  <si>
    <r>
      <t xml:space="preserve">Tableau 4.6.2 - Number (thousands) of </t>
    </r>
    <r>
      <rPr>
        <i/>
        <sz val="10"/>
        <color rgb="FF000000"/>
        <rFont val="Times New Roman"/>
        <family val="1"/>
      </rPr>
      <t xml:space="preserve">Trachurus trecae </t>
    </r>
    <r>
      <rPr>
        <sz val="10"/>
        <color rgb="FF000000"/>
        <rFont val="Times New Roman"/>
        <family val="1"/>
      </rPr>
      <t>caught by ages and by year in the subregion 2025</t>
    </r>
  </si>
  <si>
    <t>l2024</t>
  </si>
  <si>
    <t>l2025</t>
  </si>
  <si>
    <t>8+</t>
  </si>
  <si>
    <t>Table 4.2.1</t>
  </si>
  <si>
    <t>Trachurus treace 2022</t>
  </si>
  <si>
    <t>transformation in Ln (number of ages)</t>
  </si>
  <si>
    <t>Figure 4.6.2b. Exploratory analyses of the age data in Tr. trecae stock</t>
  </si>
  <si>
    <t>Trachurus trachurus 2024</t>
  </si>
  <si>
    <t>Région Nord ouest africaine</t>
  </si>
  <si>
    <t xml:space="preserve">Total Catch </t>
  </si>
  <si>
    <t>Min Value</t>
  </si>
  <si>
    <t>Max Value</t>
  </si>
  <si>
    <t>indices CPUE Russe (trachurus trachurus)</t>
  </si>
  <si>
    <t>Stock Parameters</t>
  </si>
  <si>
    <t>MSY</t>
  </si>
  <si>
    <t>BMSY</t>
  </si>
  <si>
    <t>Time</t>
  </si>
  <si>
    <t>ObsCatch</t>
  </si>
  <si>
    <t>ObsAbIndex</t>
  </si>
  <si>
    <t>PredAbIndex</t>
  </si>
  <si>
    <t>LnRelVal</t>
  </si>
  <si>
    <t>B0.1</t>
  </si>
  <si>
    <t>Cur_Stock</t>
  </si>
  <si>
    <t>B/BMSY</t>
  </si>
  <si>
    <t>B/B0.1</t>
  </si>
  <si>
    <t>Cur_SustProd</t>
  </si>
  <si>
    <t>Cur_PercProd</t>
  </si>
  <si>
    <t>CurY</t>
  </si>
  <si>
    <t>FMSY</t>
  </si>
  <si>
    <t>F0.1</t>
  </si>
  <si>
    <t>FCur</t>
  </si>
  <si>
    <t>Fcur/FMSY</t>
  </si>
  <si>
    <t>Fcur/F0.1</t>
  </si>
  <si>
    <t>FSYCur</t>
  </si>
  <si>
    <t>Fcur/FSYCur</t>
  </si>
  <si>
    <t>DBCur</t>
  </si>
  <si>
    <t>DBCUr/Bcur</t>
  </si>
  <si>
    <t>CurY/MSY</t>
  </si>
  <si>
    <t>Species</t>
  </si>
  <si>
    <t>Trachrus trecae 2024</t>
  </si>
  <si>
    <t>Stock</t>
  </si>
  <si>
    <t>NWA</t>
  </si>
  <si>
    <t>Catch Data</t>
  </si>
  <si>
    <t>Abundance Index Series</t>
  </si>
  <si>
    <t>CPUE RUSSE standardisé</t>
  </si>
  <si>
    <t>Trachurus trachurus projection : status quo pour 2025</t>
  </si>
  <si>
    <r>
      <t>T.trachurus Fact=F=</t>
    </r>
    <r>
      <rPr>
        <b/>
        <i/>
        <sz val="10"/>
        <rFont val="Times New Roman"/>
        <family val="1"/>
      </rPr>
      <t>Status quo</t>
    </r>
  </si>
  <si>
    <t>Trachurus trachurus projection : status quo pour 2024: Catches</t>
  </si>
  <si>
    <t>TimeGlobal</t>
  </si>
  <si>
    <t>CatchPlot</t>
  </si>
  <si>
    <t>SustainableCatch</t>
  </si>
  <si>
    <t>PredAbIndxRelative</t>
  </si>
  <si>
    <t xml:space="preserve">Figures 4.7.1 a: Predicted trends in catches and abundance of Trachurus trachurus - Scenario I (Status quo) /prédictions des Captures et  abondance pour les Trachurus trachurus- Scénario I (Status quo) </t>
  </si>
  <si>
    <t xml:space="preserve">Predicted trends in catches and abundance of trachurus trachurus - Scenario I (Status quo) /prédictions des Captures et  abondance de trachurus trachurus Scénario I (Status quo) </t>
  </si>
  <si>
    <t>CurrentYearLineCatch</t>
  </si>
  <si>
    <t>RelativeMSYLine</t>
  </si>
  <si>
    <t>CurrentYearLineAbundance</t>
  </si>
  <si>
    <t>BMSYLine</t>
  </si>
  <si>
    <t>B0_1Line</t>
  </si>
  <si>
    <t>Year</t>
  </si>
  <si>
    <t>CatchValue</t>
  </si>
  <si>
    <t>AbIndexValue</t>
  </si>
  <si>
    <t>UMSY</t>
  </si>
  <si>
    <t>U0.1</t>
  </si>
  <si>
    <t>Année 2024 trachurus trecae projection status quo</t>
  </si>
  <si>
    <r>
      <t>T.trecae Fact=F=</t>
    </r>
    <r>
      <rPr>
        <b/>
        <i/>
        <sz val="10"/>
        <rFont val="Times New Roman"/>
        <family val="1"/>
      </rPr>
      <t>Status quo</t>
    </r>
  </si>
  <si>
    <t xml:space="preserve">Figures 4.7.2 a </t>
  </si>
  <si>
    <r>
      <t xml:space="preserve">Predicted trends in Catches and Abundance of </t>
    </r>
    <r>
      <rPr>
        <i/>
        <sz val="12"/>
        <rFont val="Times New Roman"/>
        <family val="1"/>
      </rPr>
      <t>T.trecae</t>
    </r>
    <r>
      <rPr>
        <sz val="12"/>
        <rFont val="Times New Roman"/>
        <family val="1"/>
      </rPr>
      <t xml:space="preserve"> - Scenario I (Status quo) /prédictions des Captures et  abondance pour les T.trecae- Scénario I (Status quo)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</si>
</sst>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.00\ &quot;€&quot;;[Red]\-#,##0.00\ &quot;€&quot;"/>
    <numFmt numFmtId="165" formatCode="_-* #,##0.00\ _€_-;\-* #,##0.00\ _€_-;_-* &quot;-&quot;??\ _€_-;_-@_-"/>
    <numFmt numFmtId="166" formatCode="_-* #,##0.00_-;\-* #,##0.00_-;_-* &quot;-&quot;??_-;_-@_-"/>
    <numFmt numFmtId="167" formatCode="0.0"/>
    <numFmt numFmtId="168" formatCode="0.000"/>
    <numFmt numFmtId="169" formatCode="0.0000"/>
    <numFmt numFmtId="170" formatCode="#,##0.0"/>
    <numFmt numFmtId="171" formatCode="#,##0;;"/>
    <numFmt numFmtId="172" formatCode="_(* #,##0_);_(* \(#,##0\);_(* &quot;-&quot;??_);_(@_)"/>
    <numFmt numFmtId="173" formatCode="_-* #,##0\ _€_-;\-* #,##0\ _€_-;_-* &quot;-&quot;??\ _€_-;_-@_-"/>
    <numFmt numFmtId="174" formatCode="0.000000"/>
    <numFmt numFmtId="175" formatCode="0.0000000"/>
    <numFmt numFmtId="176" formatCode="_-* #,##0.00_р_._-;\-* #,##0.00_р_._-;_-* &quot;-&quot;??_р_._-;_-@_-"/>
    <numFmt numFmtId="177" formatCode="_-* #,##0.000\ _€_-;\-* #,##0.000\ _€_-;_-* &quot;-&quot;??\ _€_-;_-@_-"/>
  </numFmts>
  <fonts count="24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color indexed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10"/>
      <name val="Arial Cyr"/>
      <charset val="204"/>
    </font>
    <font>
      <b/>
      <sz val="10"/>
      <name val="Helv"/>
    </font>
    <font>
      <i/>
      <sz val="12"/>
      <name val="Times New Roman"/>
      <family val="1"/>
    </font>
    <font>
      <sz val="14"/>
      <name val="Times New Roman"/>
      <family val="1"/>
    </font>
    <font>
      <sz val="8"/>
      <name val="Arial"/>
      <family val="2"/>
    </font>
    <font>
      <b/>
      <sz val="9"/>
      <name val="Times New Roman"/>
      <family val="1"/>
    </font>
    <font>
      <sz val="12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name val="Arial"/>
      <family val="2"/>
    </font>
    <font>
      <b/>
      <sz val="10"/>
      <color indexed="1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i/>
      <sz val="14"/>
      <color indexed="10"/>
      <name val="Times New Roman"/>
      <family val="1"/>
    </font>
    <font>
      <i/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10"/>
      <name val="Helv"/>
    </font>
    <font>
      <sz val="8"/>
      <name val="Arial"/>
      <family val="2"/>
    </font>
    <font>
      <sz val="9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6"/>
      <name val="Times New Roman"/>
      <family val="1"/>
    </font>
    <font>
      <b/>
      <sz val="11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2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6"/>
      <color indexed="81"/>
      <name val="Tahoma"/>
      <family val="2"/>
    </font>
    <font>
      <sz val="6"/>
      <color indexed="81"/>
      <name val="Tahoma"/>
      <family val="2"/>
    </font>
    <font>
      <b/>
      <sz val="7"/>
      <color indexed="81"/>
      <name val="Tahoma"/>
      <family val="2"/>
    </font>
    <font>
      <sz val="7"/>
      <color indexed="81"/>
      <name val="Tahoma"/>
      <family val="2"/>
    </font>
    <font>
      <b/>
      <sz val="10"/>
      <color indexed="8"/>
      <name val="Arial"/>
      <family val="2"/>
      <charset val="204"/>
    </font>
    <font>
      <b/>
      <sz val="12"/>
      <name val="Times New Roman CYR"/>
    </font>
    <font>
      <b/>
      <sz val="10"/>
      <name val="Times New Roman CYR"/>
    </font>
    <font>
      <sz val="10"/>
      <name val="Times New Roman CYR"/>
    </font>
    <font>
      <sz val="11"/>
      <name val="Times New Roman"/>
      <family val="1"/>
      <charset val="204"/>
    </font>
    <font>
      <sz val="10"/>
      <name val="Arial"/>
      <family val="2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6"/>
      <color rgb="FFFF0000"/>
      <name val="Times New Roman"/>
      <family val="1"/>
    </font>
    <font>
      <b/>
      <sz val="12"/>
      <color theme="1" tint="4.9989318521683403E-2"/>
      <name val="Arial"/>
      <family val="2"/>
    </font>
    <font>
      <b/>
      <sz val="12"/>
      <color rgb="FFFF0000"/>
      <name val="Times New Roman"/>
      <family val="1"/>
    </font>
    <font>
      <b/>
      <sz val="14"/>
      <color rgb="FFFF0000"/>
      <name val="Times New Roman"/>
      <family val="1"/>
    </font>
    <font>
      <sz val="8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22"/>
      <color rgb="FFFF0000"/>
      <name val="Times New Roman"/>
      <family val="1"/>
    </font>
    <font>
      <b/>
      <sz val="8"/>
      <color rgb="FFFF0000"/>
      <name val="Arial"/>
      <family val="2"/>
    </font>
    <font>
      <sz val="10"/>
      <color theme="3"/>
      <name val="Times New Roman"/>
      <family val="1"/>
    </font>
    <font>
      <sz val="12"/>
      <color rgb="FFFF0000"/>
      <name val="Times New Roman"/>
      <family val="1"/>
    </font>
    <font>
      <b/>
      <sz val="10"/>
      <color theme="3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 Cyr"/>
      <charset val="204"/>
    </font>
    <font>
      <b/>
      <sz val="10"/>
      <name val="Arial Cyr"/>
      <charset val="204"/>
    </font>
    <font>
      <b/>
      <sz val="8"/>
      <color theme="1"/>
      <name val="Calibri"/>
      <family val="2"/>
      <scheme val="minor"/>
    </font>
    <font>
      <sz val="8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8"/>
      <name val="Arial"/>
      <family val="2"/>
    </font>
    <font>
      <b/>
      <sz val="10"/>
      <color indexed="8"/>
      <name val="Arial Cyr"/>
      <charset val="204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sz val="14"/>
      <color rgb="FF000000"/>
      <name val="Times New Roman"/>
      <family val="1"/>
    </font>
    <font>
      <b/>
      <sz val="10"/>
      <color rgb="FFFF0000"/>
      <name val="Arial"/>
      <family val="2"/>
    </font>
    <font>
      <b/>
      <sz val="8"/>
      <color rgb="FFFF0000"/>
      <name val="Times New Roman"/>
      <family val="1"/>
    </font>
    <font>
      <sz val="8"/>
      <color rgb="FFFF0000"/>
      <name val="Times New Roman"/>
      <family val="1"/>
    </font>
    <font>
      <b/>
      <sz val="9"/>
      <color rgb="FFFF0000"/>
      <name val="Times New Roman"/>
      <family val="1"/>
    </font>
    <font>
      <b/>
      <i/>
      <sz val="9"/>
      <color rgb="FFFF0000"/>
      <name val="Times New Roman"/>
      <family val="1"/>
    </font>
    <font>
      <sz val="9"/>
      <color rgb="FFFF0000"/>
      <name val="Times New Roman"/>
      <family val="1"/>
    </font>
    <font>
      <i/>
      <sz val="9"/>
      <color rgb="FFFF0000"/>
      <name val="Times New Roman"/>
      <family val="1"/>
    </font>
    <font>
      <sz val="8"/>
      <color theme="1"/>
      <name val="Calibri"/>
      <family val="2"/>
      <scheme val="minor"/>
    </font>
    <font>
      <sz val="10"/>
      <color rgb="FFFF0000"/>
      <name val="Arial"/>
      <family val="2"/>
    </font>
    <font>
      <sz val="18"/>
      <color rgb="FFFF0000"/>
      <name val="Times New Roman"/>
      <family val="1"/>
    </font>
    <font>
      <sz val="14"/>
      <color rgb="FFFF0000"/>
      <name val="Times New Roman"/>
      <family val="1"/>
    </font>
    <font>
      <b/>
      <sz val="18"/>
      <color rgb="FFFF0000"/>
      <name val="Times New Roman"/>
      <family val="1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</font>
    <font>
      <i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Calibri"/>
      <family val="2"/>
    </font>
    <font>
      <b/>
      <i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  <family val="2"/>
      <scheme val="minor"/>
    </font>
    <font>
      <b/>
      <i/>
      <sz val="11"/>
      <color rgb="FF000000"/>
      <name val="Arial"/>
      <family val="2"/>
    </font>
    <font>
      <b/>
      <i/>
      <sz val="10"/>
      <name val="Arial"/>
      <family val="2"/>
    </font>
    <font>
      <b/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b/>
      <i/>
      <sz val="10"/>
      <color rgb="FFFF0000"/>
      <name val="Times New Roman"/>
      <family val="1"/>
    </font>
    <font>
      <sz val="10"/>
      <color indexed="8"/>
      <name val="Arial"/>
      <family val="2"/>
      <charset val="204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indexed="8"/>
      <name val="Arial"/>
      <family val="2"/>
      <charset val="204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9"/>
      <name val="Arial"/>
      <family val="2"/>
    </font>
    <font>
      <sz val="9"/>
      <color indexed="8"/>
      <name val="Times New Roman"/>
      <family val="1"/>
      <charset val="204"/>
    </font>
    <font>
      <sz val="9"/>
      <color indexed="8"/>
      <name val="Times New Roman"/>
      <family val="1"/>
    </font>
    <font>
      <sz val="9"/>
      <name val="Arial Cyr"/>
      <charset val="204"/>
    </font>
    <font>
      <sz val="10"/>
      <color indexed="8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i/>
      <sz val="10"/>
      <color rgb="FF002060"/>
      <name val="Arial"/>
      <family val="2"/>
    </font>
    <font>
      <sz val="16"/>
      <name val="Times New Roman"/>
      <family val="1"/>
    </font>
    <font>
      <sz val="10"/>
      <name val="Arial"/>
      <family val="2"/>
      <charset val="204"/>
    </font>
    <font>
      <sz val="10"/>
      <color indexed="9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Calibri"/>
      <family val="2"/>
    </font>
    <font>
      <b/>
      <i/>
      <sz val="10"/>
      <color rgb="FF000000"/>
      <name val="Calibri"/>
      <family val="2"/>
    </font>
    <font>
      <sz val="11"/>
      <color rgb="FFFF0000"/>
      <name val="Cambria"/>
      <family val="1"/>
    </font>
    <font>
      <b/>
      <sz val="10"/>
      <name val="Arial"/>
      <family val="2"/>
      <charset val="204"/>
    </font>
    <font>
      <b/>
      <sz val="8"/>
      <color indexed="8"/>
      <name val="Arial"/>
      <family val="2"/>
      <charset val="204"/>
    </font>
    <font>
      <sz val="10"/>
      <name val="Calibri"/>
      <family val="2"/>
      <charset val="204"/>
    </font>
    <font>
      <b/>
      <sz val="8"/>
      <color rgb="FF000000"/>
      <name val="Times New Roman"/>
      <family val="1"/>
    </font>
    <font>
      <b/>
      <sz val="9"/>
      <color rgb="FF000000"/>
      <name val="Arial"/>
      <family val="2"/>
    </font>
    <font>
      <sz val="10"/>
      <name val="Arial"/>
      <family val="2"/>
    </font>
    <font>
      <sz val="10"/>
      <color rgb="FFFF000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color rgb="FF000000"/>
      <name val="Corbel"/>
      <family val="2"/>
    </font>
    <font>
      <b/>
      <sz val="8"/>
      <name val="Arial"/>
      <family val="2"/>
      <charset val="204"/>
    </font>
    <font>
      <sz val="8"/>
      <color rgb="FFFF0000"/>
      <name val="Arial Cyr"/>
      <charset val="204"/>
    </font>
    <font>
      <b/>
      <sz val="8"/>
      <name val="Arial Cyr"/>
      <charset val="204"/>
    </font>
    <font>
      <b/>
      <sz val="11"/>
      <name val="Arial"/>
      <family val="2"/>
      <charset val="204"/>
    </font>
    <font>
      <sz val="10"/>
      <color rgb="FFFFC000"/>
      <name val="Times New Roman"/>
      <family val="1"/>
    </font>
    <font>
      <sz val="8"/>
      <color rgb="FF000000"/>
      <name val="Times New Roman"/>
      <family val="1"/>
    </font>
    <font>
      <b/>
      <sz val="10"/>
      <color theme="4"/>
      <name val="Arial"/>
      <family val="2"/>
      <charset val="204"/>
    </font>
    <font>
      <b/>
      <sz val="10"/>
      <color theme="3" tint="0.39997558519241921"/>
      <name val="Arial"/>
      <family val="2"/>
      <charset val="204"/>
    </font>
    <font>
      <sz val="10"/>
      <color theme="3" tint="0.39997558519241921"/>
      <name val="Arial Cyr"/>
      <charset val="204"/>
    </font>
    <font>
      <b/>
      <sz val="11"/>
      <color theme="3" tint="0.39997558519241921"/>
      <name val="Arial"/>
      <family val="2"/>
    </font>
    <font>
      <b/>
      <sz val="10"/>
      <color theme="3" tint="0.39997558519241921"/>
      <name val="Arial Cyr"/>
      <charset val="204"/>
    </font>
    <font>
      <b/>
      <sz val="11"/>
      <color theme="3" tint="0.39997558519241921"/>
      <name val="Arial"/>
      <family val="2"/>
      <charset val="204"/>
    </font>
    <font>
      <b/>
      <sz val="10"/>
      <color theme="3" tint="-0.249977111117893"/>
      <name val="Times New Roman"/>
      <family val="1"/>
      <charset val="204"/>
    </font>
    <font>
      <b/>
      <sz val="10"/>
      <color theme="4"/>
      <name val="Times New Roman"/>
      <family val="1"/>
      <charset val="204"/>
    </font>
    <font>
      <b/>
      <sz val="10"/>
      <color theme="3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rgb="FFFF0000"/>
      <name val="Times New Roman"/>
      <family val="1"/>
    </font>
    <font>
      <sz val="11"/>
      <name val="Calibri"/>
      <family val="2"/>
      <scheme val="minor"/>
    </font>
    <font>
      <sz val="8"/>
      <color rgb="FFFF0000"/>
      <name val="Arial"/>
      <family val="2"/>
    </font>
    <font>
      <b/>
      <sz val="14"/>
      <color rgb="FFFF0000"/>
      <name val="Calibri"/>
      <family val="2"/>
      <scheme val="minor"/>
    </font>
    <font>
      <b/>
      <sz val="10"/>
      <color theme="3" tint="0.3999755851924192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sz val="8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Times New Roman"/>
      <family val="1"/>
      <charset val="204"/>
    </font>
    <font>
      <b/>
      <sz val="10"/>
      <color rgb="FFFF0000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0"/>
      <color rgb="FF0070C0"/>
      <name val="Arial Cyr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name val="Arial"/>
      <family val="2"/>
    </font>
    <font>
      <sz val="11"/>
      <color rgb="FF000000"/>
      <name val="Arial"/>
      <family val="2"/>
    </font>
    <font>
      <sz val="11"/>
      <name val="Calisto MT"/>
      <family val="1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</font>
    <font>
      <sz val="9"/>
      <color rgb="FFFF0000"/>
      <name val="Calibri"/>
      <family val="2"/>
    </font>
    <font>
      <sz val="9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9"/>
      <color rgb="FFFF0000"/>
      <name val="Arial"/>
      <family val="2"/>
    </font>
    <font>
      <b/>
      <sz val="9"/>
      <color rgb="FFFF0000"/>
      <name val="Calibri"/>
      <family val="2"/>
      <scheme val="minor"/>
    </font>
    <font>
      <b/>
      <sz val="9"/>
      <color theme="1"/>
      <name val="Times New Roman"/>
      <family val="1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i/>
      <sz val="9"/>
      <name val="Times New Roman"/>
      <family val="1"/>
    </font>
    <font>
      <b/>
      <sz val="12"/>
      <name val="Arial"/>
      <family val="2"/>
    </font>
    <font>
      <i/>
      <sz val="10"/>
      <color rgb="FF000000"/>
      <name val="Times New Roman"/>
      <family val="1"/>
    </font>
    <font>
      <sz val="8"/>
      <name val="Arial"/>
      <family val="2"/>
    </font>
    <font>
      <i/>
      <sz val="8"/>
      <color rgb="FFFF0000"/>
      <name val="Arial"/>
      <family val="2"/>
    </font>
    <font>
      <i/>
      <sz val="8"/>
      <name val="Arial"/>
      <family val="2"/>
    </font>
    <font>
      <b/>
      <sz val="9"/>
      <color rgb="FFFF0000"/>
      <name val="Arial"/>
      <family val="2"/>
    </font>
    <font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vertAlign val="superscript"/>
      <sz val="10"/>
      <name val="Arial"/>
      <family val="2"/>
      <charset val="204"/>
    </font>
    <font>
      <sz val="10"/>
      <name val="Calibri"/>
      <family val="2"/>
      <charset val="204"/>
      <scheme val="minor"/>
    </font>
    <font>
      <b/>
      <sz val="16"/>
      <name val="Arial"/>
      <family val="2"/>
    </font>
  </fonts>
  <fills count="7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C6E6A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BF56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5D51A"/>
        <bgColor indexed="64"/>
      </patternFill>
    </fill>
    <fill>
      <patternFill patternType="solid">
        <fgColor theme="2" tint="-0.499984740745262"/>
        <bgColor indexed="64"/>
      </patternFill>
    </fill>
  </fills>
  <borders count="181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9F9F9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rgb="FF000000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rgb="FF000000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rgb="FF000000"/>
      </left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97">
    <xf numFmtId="0" fontId="0" fillId="0" borderId="0"/>
    <xf numFmtId="165" fontId="61" fillId="0" borderId="0" applyFont="0" applyFill="0" applyBorder="0" applyAlignment="0" applyProtection="0"/>
    <xf numFmtId="0" fontId="40" fillId="0" borderId="0"/>
    <xf numFmtId="0" fontId="19" fillId="0" borderId="0"/>
    <xf numFmtId="0" fontId="19" fillId="0" borderId="0"/>
    <xf numFmtId="0" fontId="38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1" fillId="0" borderId="0"/>
    <xf numFmtId="0" fontId="133" fillId="13" borderId="95" applyNumberFormat="0" applyFont="0" applyAlignment="0" applyProtection="0"/>
    <xf numFmtId="0" fontId="12" fillId="0" borderId="0"/>
    <xf numFmtId="0" fontId="138" fillId="47" borderId="0" applyNumberFormat="0" applyBorder="0" applyAlignment="0" applyProtection="0"/>
    <xf numFmtId="0" fontId="138" fillId="48" borderId="0" applyNumberFormat="0" applyBorder="0" applyAlignment="0" applyProtection="0"/>
    <xf numFmtId="0" fontId="138" fillId="49" borderId="0" applyNumberFormat="0" applyBorder="0" applyAlignment="0" applyProtection="0"/>
    <xf numFmtId="0" fontId="138" fillId="45" borderId="0" applyNumberFormat="0" applyBorder="0" applyAlignment="0" applyProtection="0"/>
    <xf numFmtId="0" fontId="138" fillId="46" borderId="0" applyNumberFormat="0" applyBorder="0" applyAlignment="0" applyProtection="0"/>
    <xf numFmtId="0" fontId="138" fillId="50" borderId="0" applyNumberFormat="0" applyBorder="0" applyAlignment="0" applyProtection="0"/>
    <xf numFmtId="165" fontId="12" fillId="0" borderId="0" applyFont="0" applyFill="0" applyBorder="0" applyAlignment="0" applyProtection="0"/>
    <xf numFmtId="0" fontId="11" fillId="0" borderId="0"/>
    <xf numFmtId="0" fontId="112" fillId="0" borderId="114" applyNumberFormat="0" applyFill="0" applyAlignment="0" applyProtection="0"/>
    <xf numFmtId="0" fontId="12" fillId="0" borderId="0"/>
    <xf numFmtId="0" fontId="40" fillId="0" borderId="0"/>
    <xf numFmtId="0" fontId="139" fillId="0" borderId="0" applyNumberFormat="0" applyFill="0" applyBorder="0" applyAlignment="0" applyProtection="0"/>
    <xf numFmtId="0" fontId="140" fillId="0" borderId="106" applyNumberFormat="0" applyFill="0" applyAlignment="0" applyProtection="0"/>
    <xf numFmtId="0" fontId="141" fillId="0" borderId="107" applyNumberFormat="0" applyFill="0" applyAlignment="0" applyProtection="0"/>
    <xf numFmtId="0" fontId="142" fillId="0" borderId="108" applyNumberFormat="0" applyFill="0" applyAlignment="0" applyProtection="0"/>
    <xf numFmtId="0" fontId="142" fillId="0" borderId="0" applyNumberFormat="0" applyFill="0" applyBorder="0" applyAlignment="0" applyProtection="0"/>
    <xf numFmtId="0" fontId="143" fillId="15" borderId="0" applyNumberFormat="0" applyBorder="0" applyAlignment="0" applyProtection="0"/>
    <xf numFmtId="0" fontId="144" fillId="16" borderId="0" applyNumberFormat="0" applyBorder="0" applyAlignment="0" applyProtection="0"/>
    <xf numFmtId="0" fontId="145" fillId="17" borderId="0" applyNumberFormat="0" applyBorder="0" applyAlignment="0" applyProtection="0"/>
    <xf numFmtId="0" fontId="146" fillId="18" borderId="109" applyNumberFormat="0" applyAlignment="0" applyProtection="0"/>
    <xf numFmtId="0" fontId="147" fillId="19" borderId="110" applyNumberFormat="0" applyAlignment="0" applyProtection="0"/>
    <xf numFmtId="0" fontId="148" fillId="19" borderId="109" applyNumberFormat="0" applyAlignment="0" applyProtection="0"/>
    <xf numFmtId="0" fontId="149" fillId="0" borderId="111" applyNumberFormat="0" applyFill="0" applyAlignment="0" applyProtection="0"/>
    <xf numFmtId="0" fontId="150" fillId="20" borderId="112" applyNumberFormat="0" applyAlignment="0" applyProtection="0"/>
    <xf numFmtId="0" fontId="113" fillId="0" borderId="0" applyNumberFormat="0" applyFill="0" applyBorder="0" applyAlignment="0" applyProtection="0"/>
    <xf numFmtId="0" fontId="11" fillId="13" borderId="95" applyNumberFormat="0" applyFont="0" applyAlignment="0" applyProtection="0"/>
    <xf numFmtId="0" fontId="151" fillId="0" borderId="0" applyNumberFormat="0" applyFill="0" applyBorder="0" applyAlignment="0" applyProtection="0"/>
    <xf numFmtId="0" fontId="76" fillId="0" borderId="113" applyNumberFormat="0" applyFill="0" applyAlignment="0" applyProtection="0"/>
    <xf numFmtId="0" fontId="152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52" fillId="24" borderId="0" applyNumberFormat="0" applyBorder="0" applyAlignment="0" applyProtection="0"/>
    <xf numFmtId="0" fontId="152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52" fillId="28" borderId="0" applyNumberFormat="0" applyBorder="0" applyAlignment="0" applyProtection="0"/>
    <xf numFmtId="0" fontId="152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52" fillId="32" borderId="0" applyNumberFormat="0" applyBorder="0" applyAlignment="0" applyProtection="0"/>
    <xf numFmtId="0" fontId="152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52" fillId="36" borderId="0" applyNumberFormat="0" applyBorder="0" applyAlignment="0" applyProtection="0"/>
    <xf numFmtId="0" fontId="152" fillId="37" borderId="0" applyNumberFormat="0" applyBorder="0" applyAlignment="0" applyProtection="0"/>
    <xf numFmtId="0" fontId="11" fillId="38" borderId="0" applyNumberFormat="0" applyBorder="0" applyAlignment="0" applyProtection="0"/>
    <xf numFmtId="0" fontId="11" fillId="39" borderId="0" applyNumberFormat="0" applyBorder="0" applyAlignment="0" applyProtection="0"/>
    <xf numFmtId="0" fontId="152" fillId="40" borderId="0" applyNumberFormat="0" applyBorder="0" applyAlignment="0" applyProtection="0"/>
    <xf numFmtId="0" fontId="152" fillId="41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52" fillId="44" borderId="0" applyNumberFormat="0" applyBorder="0" applyAlignment="0" applyProtection="0"/>
    <xf numFmtId="0" fontId="10" fillId="26" borderId="0" applyNumberFormat="0" applyBorder="0" applyAlignment="0" applyProtection="0"/>
    <xf numFmtId="0" fontId="19" fillId="0" borderId="0"/>
    <xf numFmtId="0" fontId="137" fillId="0" borderId="0"/>
    <xf numFmtId="0" fontId="137" fillId="0" borderId="0"/>
    <xf numFmtId="0" fontId="9" fillId="0" borderId="0"/>
    <xf numFmtId="0" fontId="16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9" fillId="0" borderId="0"/>
    <xf numFmtId="0" fontId="12" fillId="13" borderId="95" applyNumberFormat="0" applyFont="0" applyAlignment="0" applyProtection="0"/>
    <xf numFmtId="165" fontId="12" fillId="0" borderId="0" applyFont="0" applyFill="0" applyBorder="0" applyAlignment="0" applyProtection="0"/>
    <xf numFmtId="0" fontId="9" fillId="0" borderId="0"/>
    <xf numFmtId="0" fontId="112" fillId="0" borderId="149" applyNumberFormat="0" applyFill="0" applyAlignment="0" applyProtection="0"/>
    <xf numFmtId="0" fontId="9" fillId="13" borderId="95" applyNumberFormat="0" applyFont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2" borderId="0" applyNumberFormat="0" applyBorder="0" applyAlignment="0" applyProtection="0"/>
    <xf numFmtId="0" fontId="9" fillId="43" borderId="0" applyNumberFormat="0" applyBorder="0" applyAlignment="0" applyProtection="0"/>
    <xf numFmtId="176" fontId="19" fillId="0" borderId="0" applyFont="0" applyFill="0" applyBorder="0" applyAlignment="0" applyProtection="0"/>
    <xf numFmtId="0" fontId="112" fillId="0" borderId="149" applyNumberFormat="0" applyFill="0" applyAlignment="0" applyProtection="0"/>
    <xf numFmtId="0" fontId="140" fillId="0" borderId="106" applyNumberFormat="0" applyFill="0" applyAlignment="0" applyProtection="0"/>
    <xf numFmtId="0" fontId="141" fillId="0" borderId="107" applyNumberFormat="0" applyFill="0" applyAlignment="0" applyProtection="0"/>
    <xf numFmtId="0" fontId="142" fillId="0" borderId="108" applyNumberFormat="0" applyFill="0" applyAlignment="0" applyProtection="0"/>
    <xf numFmtId="0" fontId="142" fillId="0" borderId="0" applyNumberFormat="0" applyFill="0" applyBorder="0" applyAlignment="0" applyProtection="0"/>
    <xf numFmtId="0" fontId="143" fillId="15" borderId="0" applyNumberFormat="0" applyBorder="0" applyAlignment="0" applyProtection="0"/>
    <xf numFmtId="0" fontId="144" fillId="16" borderId="0" applyNumberFormat="0" applyBorder="0" applyAlignment="0" applyProtection="0"/>
    <xf numFmtId="0" fontId="145" fillId="17" borderId="0" applyNumberFormat="0" applyBorder="0" applyAlignment="0" applyProtection="0"/>
    <xf numFmtId="0" fontId="146" fillId="18" borderId="109" applyNumberFormat="0" applyAlignment="0" applyProtection="0"/>
    <xf numFmtId="0" fontId="147" fillId="19" borderId="110" applyNumberFormat="0" applyAlignment="0" applyProtection="0"/>
    <xf numFmtId="0" fontId="148" fillId="19" borderId="109" applyNumberFormat="0" applyAlignment="0" applyProtection="0"/>
    <xf numFmtId="0" fontId="149" fillId="0" borderId="111" applyNumberFormat="0" applyFill="0" applyAlignment="0" applyProtection="0"/>
    <xf numFmtId="0" fontId="150" fillId="20" borderId="112" applyNumberFormat="0" applyAlignment="0" applyProtection="0"/>
    <xf numFmtId="0" fontId="113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76" fillId="0" borderId="113" applyNumberFormat="0" applyFill="0" applyAlignment="0" applyProtection="0"/>
    <xf numFmtId="0" fontId="152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152" fillId="24" borderId="0" applyNumberFormat="0" applyBorder="0" applyAlignment="0" applyProtection="0"/>
    <xf numFmtId="0" fontId="152" fillId="25" borderId="0" applyNumberFormat="0" applyBorder="0" applyAlignment="0" applyProtection="0"/>
    <xf numFmtId="0" fontId="8" fillId="27" borderId="0" applyNumberFormat="0" applyBorder="0" applyAlignment="0" applyProtection="0"/>
    <xf numFmtId="0" fontId="152" fillId="28" borderId="0" applyNumberFormat="0" applyBorder="0" applyAlignment="0" applyProtection="0"/>
    <xf numFmtId="0" fontId="152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152" fillId="32" borderId="0" applyNumberFormat="0" applyBorder="0" applyAlignment="0" applyProtection="0"/>
    <xf numFmtId="0" fontId="152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152" fillId="36" borderId="0" applyNumberFormat="0" applyBorder="0" applyAlignment="0" applyProtection="0"/>
    <xf numFmtId="0" fontId="152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152" fillId="40" borderId="0" applyNumberFormat="0" applyBorder="0" applyAlignment="0" applyProtection="0"/>
    <xf numFmtId="0" fontId="152" fillId="41" borderId="0" applyNumberFormat="0" applyBorder="0" applyAlignment="0" applyProtection="0"/>
    <xf numFmtId="0" fontId="8" fillId="42" borderId="0" applyNumberFormat="0" applyBorder="0" applyAlignment="0" applyProtection="0"/>
    <xf numFmtId="0" fontId="8" fillId="43" borderId="0" applyNumberFormat="0" applyBorder="0" applyAlignment="0" applyProtection="0"/>
    <xf numFmtId="0" fontId="152" fillId="44" borderId="0" applyNumberFormat="0" applyBorder="0" applyAlignment="0" applyProtection="0"/>
    <xf numFmtId="0" fontId="163" fillId="0" borderId="0"/>
    <xf numFmtId="0" fontId="8" fillId="0" borderId="0"/>
    <xf numFmtId="0" fontId="163" fillId="0" borderId="0"/>
    <xf numFmtId="165" fontId="12" fillId="0" borderId="0" applyFont="0" applyFill="0" applyBorder="0" applyAlignment="0" applyProtection="0"/>
    <xf numFmtId="0" fontId="8" fillId="0" borderId="0"/>
    <xf numFmtId="0" fontId="8" fillId="13" borderId="95" applyNumberFormat="0" applyFont="0" applyAlignment="0" applyProtection="0"/>
    <xf numFmtId="0" fontId="8" fillId="26" borderId="0" applyNumberFormat="0" applyBorder="0" applyAlignment="0" applyProtection="0"/>
    <xf numFmtId="0" fontId="7" fillId="0" borderId="0"/>
    <xf numFmtId="165" fontId="12" fillId="0" borderId="0" applyFont="0" applyFill="0" applyBorder="0" applyAlignment="0" applyProtection="0"/>
    <xf numFmtId="0" fontId="7" fillId="0" borderId="0"/>
    <xf numFmtId="0" fontId="7" fillId="13" borderId="95" applyNumberFormat="0" applyFont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42" borderId="0" applyNumberFormat="0" applyBorder="0" applyAlignment="0" applyProtection="0"/>
    <xf numFmtId="0" fontId="7" fillId="43" borderId="0" applyNumberFormat="0" applyBorder="0" applyAlignment="0" applyProtection="0"/>
    <xf numFmtId="0" fontId="165" fillId="0" borderId="0"/>
    <xf numFmtId="0" fontId="6" fillId="0" borderId="0"/>
    <xf numFmtId="0" fontId="19" fillId="0" borderId="0"/>
    <xf numFmtId="0" fontId="137" fillId="0" borderId="0"/>
    <xf numFmtId="176" fontId="19" fillId="0" borderId="0" applyFont="0" applyFill="0" applyBorder="0" applyAlignment="0" applyProtection="0"/>
    <xf numFmtId="0" fontId="5" fillId="0" borderId="0"/>
    <xf numFmtId="165" fontId="12" fillId="0" borderId="0" applyFont="0" applyFill="0" applyBorder="0" applyAlignment="0" applyProtection="0"/>
    <xf numFmtId="0" fontId="4" fillId="0" borderId="0"/>
    <xf numFmtId="0" fontId="12" fillId="13" borderId="95" applyNumberFormat="0" applyFont="0" applyAlignment="0" applyProtection="0"/>
    <xf numFmtId="165" fontId="12" fillId="0" borderId="0" applyFont="0" applyFill="0" applyBorder="0" applyAlignment="0" applyProtection="0"/>
    <xf numFmtId="0" fontId="4" fillId="0" borderId="0"/>
    <xf numFmtId="0" fontId="112" fillId="0" borderId="163" applyNumberFormat="0" applyFill="0" applyAlignment="0" applyProtection="0"/>
    <xf numFmtId="0" fontId="4" fillId="13" borderId="95" applyNumberFormat="0" applyFont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26" borderId="0" applyNumberFormat="0" applyBorder="0" applyAlignment="0" applyProtection="0"/>
    <xf numFmtId="0" fontId="4" fillId="0" borderId="0"/>
    <xf numFmtId="0" fontId="12" fillId="0" borderId="0"/>
    <xf numFmtId="165" fontId="12" fillId="0" borderId="0" applyFont="0" applyFill="0" applyBorder="0" applyAlignment="0" applyProtection="0"/>
    <xf numFmtId="0" fontId="4" fillId="0" borderId="0"/>
    <xf numFmtId="165" fontId="12" fillId="0" borderId="0" applyFont="0" applyFill="0" applyBorder="0" applyAlignment="0" applyProtection="0"/>
    <xf numFmtId="0" fontId="4" fillId="0" borderId="0"/>
    <xf numFmtId="0" fontId="4" fillId="13" borderId="95" applyNumberFormat="0" applyFont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12" fillId="0" borderId="0"/>
    <xf numFmtId="0" fontId="4" fillId="0" borderId="0"/>
    <xf numFmtId="0" fontId="12" fillId="0" borderId="0"/>
    <xf numFmtId="165" fontId="12" fillId="0" borderId="0" applyFont="0" applyFill="0" applyBorder="0" applyAlignment="0" applyProtection="0"/>
    <xf numFmtId="0" fontId="4" fillId="0" borderId="0"/>
    <xf numFmtId="0" fontId="4" fillId="13" borderId="95" applyNumberFormat="0" applyFont="0" applyAlignment="0" applyProtection="0"/>
    <xf numFmtId="0" fontId="4" fillId="26" borderId="0" applyNumberFormat="0" applyBorder="0" applyAlignment="0" applyProtection="0"/>
    <xf numFmtId="0" fontId="4" fillId="0" borderId="0"/>
    <xf numFmtId="165" fontId="12" fillId="0" borderId="0" applyFont="0" applyFill="0" applyBorder="0" applyAlignment="0" applyProtection="0"/>
    <xf numFmtId="0" fontId="4" fillId="0" borderId="0"/>
    <xf numFmtId="0" fontId="4" fillId="13" borderId="95" applyNumberFormat="0" applyFont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0" borderId="0"/>
    <xf numFmtId="0" fontId="3" fillId="0" borderId="0"/>
    <xf numFmtId="165" fontId="3" fillId="0" borderId="0" applyFont="0" applyFill="0" applyBorder="0" applyAlignment="0" applyProtection="0"/>
    <xf numFmtId="0" fontId="182" fillId="0" borderId="0"/>
    <xf numFmtId="166" fontId="182" fillId="0" borderId="0" applyFont="0" applyFill="0" applyBorder="0" applyAlignment="0" applyProtection="0"/>
    <xf numFmtId="0" fontId="182" fillId="63" borderId="95" applyNumberFormat="0" applyFont="0" applyAlignment="0" applyProtection="0"/>
    <xf numFmtId="0" fontId="182" fillId="64" borderId="0" applyNumberFormat="0" applyBorder="0" applyAlignment="0" applyProtection="0"/>
    <xf numFmtId="0" fontId="2" fillId="0" borderId="0"/>
    <xf numFmtId="0" fontId="1" fillId="0" borderId="0"/>
    <xf numFmtId="165" fontId="12" fillId="0" borderId="0" applyFont="0" applyFill="0" applyBorder="0" applyAlignment="0" applyProtection="0"/>
    <xf numFmtId="0" fontId="1" fillId="0" borderId="0"/>
    <xf numFmtId="0" fontId="1" fillId="13" borderId="95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65" fillId="22" borderId="0" applyNumberFormat="0" applyBorder="0" applyAlignment="0" applyProtection="0"/>
    <xf numFmtId="0" fontId="165" fillId="26" borderId="0" applyNumberFormat="0" applyBorder="0" applyAlignment="0" applyProtection="0"/>
    <xf numFmtId="0" fontId="165" fillId="30" borderId="0" applyNumberFormat="0" applyBorder="0" applyAlignment="0" applyProtection="0"/>
    <xf numFmtId="0" fontId="165" fillId="34" borderId="0" applyNumberFormat="0" applyBorder="0" applyAlignment="0" applyProtection="0"/>
    <xf numFmtId="0" fontId="165" fillId="38" borderId="0" applyNumberFormat="0" applyBorder="0" applyAlignment="0" applyProtection="0"/>
    <xf numFmtId="0" fontId="165" fillId="42" borderId="0" applyNumberFormat="0" applyBorder="0" applyAlignment="0" applyProtection="0"/>
    <xf numFmtId="0" fontId="165" fillId="23" borderId="0" applyNumberFormat="0" applyBorder="0" applyAlignment="0" applyProtection="0"/>
    <xf numFmtId="0" fontId="165" fillId="27" borderId="0" applyNumberFormat="0" applyBorder="0" applyAlignment="0" applyProtection="0"/>
    <xf numFmtId="0" fontId="165" fillId="31" borderId="0" applyNumberFormat="0" applyBorder="0" applyAlignment="0" applyProtection="0"/>
    <xf numFmtId="0" fontId="165" fillId="35" borderId="0" applyNumberFormat="0" applyBorder="0" applyAlignment="0" applyProtection="0"/>
    <xf numFmtId="0" fontId="165" fillId="39" borderId="0" applyNumberFormat="0" applyBorder="0" applyAlignment="0" applyProtection="0"/>
    <xf numFmtId="0" fontId="165" fillId="43" borderId="0" applyNumberFormat="0" applyBorder="0" applyAlignment="0" applyProtection="0"/>
    <xf numFmtId="0" fontId="222" fillId="24" borderId="0" applyNumberFormat="0" applyBorder="0" applyAlignment="0" applyProtection="0"/>
    <xf numFmtId="0" fontId="222" fillId="28" borderId="0" applyNumberFormat="0" applyBorder="0" applyAlignment="0" applyProtection="0"/>
    <xf numFmtId="0" fontId="222" fillId="32" borderId="0" applyNumberFormat="0" applyBorder="0" applyAlignment="0" applyProtection="0"/>
    <xf numFmtId="0" fontId="222" fillId="36" borderId="0" applyNumberFormat="0" applyBorder="0" applyAlignment="0" applyProtection="0"/>
    <xf numFmtId="0" fontId="222" fillId="40" borderId="0" applyNumberFormat="0" applyBorder="0" applyAlignment="0" applyProtection="0"/>
    <xf numFmtId="0" fontId="222" fillId="44" borderId="0" applyNumberFormat="0" applyBorder="0" applyAlignment="0" applyProtection="0"/>
    <xf numFmtId="0" fontId="222" fillId="21" borderId="0" applyNumberFormat="0" applyBorder="0" applyAlignment="0" applyProtection="0"/>
    <xf numFmtId="0" fontId="222" fillId="25" borderId="0" applyNumberFormat="0" applyBorder="0" applyAlignment="0" applyProtection="0"/>
    <xf numFmtId="0" fontId="222" fillId="29" borderId="0" applyNumberFormat="0" applyBorder="0" applyAlignment="0" applyProtection="0"/>
    <xf numFmtId="0" fontId="222" fillId="33" borderId="0" applyNumberFormat="0" applyBorder="0" applyAlignment="0" applyProtection="0"/>
    <xf numFmtId="0" fontId="222" fillId="37" borderId="0" applyNumberFormat="0" applyBorder="0" applyAlignment="0" applyProtection="0"/>
    <xf numFmtId="0" fontId="222" fillId="41" borderId="0" applyNumberFormat="0" applyBorder="0" applyAlignment="0" applyProtection="0"/>
    <xf numFmtId="0" fontId="223" fillId="18" borderId="109" applyNumberFormat="0" applyAlignment="0" applyProtection="0"/>
    <xf numFmtId="0" fontId="224" fillId="19" borderId="110" applyNumberFormat="0" applyAlignment="0" applyProtection="0"/>
    <xf numFmtId="0" fontId="225" fillId="19" borderId="109" applyNumberFormat="0" applyAlignment="0" applyProtection="0"/>
    <xf numFmtId="0" fontId="226" fillId="0" borderId="106" applyNumberFormat="0" applyFill="0" applyAlignment="0" applyProtection="0"/>
    <xf numFmtId="0" fontId="227" fillId="0" borderId="107" applyNumberFormat="0" applyFill="0" applyAlignment="0" applyProtection="0"/>
    <xf numFmtId="0" fontId="228" fillId="0" borderId="108" applyNumberFormat="0" applyFill="0" applyAlignment="0" applyProtection="0"/>
    <xf numFmtId="0" fontId="228" fillId="0" borderId="0" applyNumberFormat="0" applyFill="0" applyBorder="0" applyAlignment="0" applyProtection="0"/>
    <xf numFmtId="0" fontId="229" fillId="0" borderId="113" applyNumberFormat="0" applyFill="0" applyAlignment="0" applyProtection="0"/>
    <xf numFmtId="0" fontId="230" fillId="20" borderId="112" applyNumberFormat="0" applyAlignment="0" applyProtection="0"/>
    <xf numFmtId="0" fontId="231" fillId="0" borderId="0" applyNumberFormat="0" applyFill="0" applyBorder="0" applyAlignment="0" applyProtection="0"/>
    <xf numFmtId="0" fontId="232" fillId="17" borderId="0" applyNumberFormat="0" applyBorder="0" applyAlignment="0" applyProtection="0"/>
    <xf numFmtId="0" fontId="233" fillId="16" borderId="0" applyNumberFormat="0" applyBorder="0" applyAlignment="0" applyProtection="0"/>
    <xf numFmtId="0" fontId="234" fillId="0" borderId="0" applyNumberFormat="0" applyFill="0" applyBorder="0" applyAlignment="0" applyProtection="0"/>
    <xf numFmtId="0" fontId="165" fillId="13" borderId="95" applyNumberFormat="0" applyFont="0" applyAlignment="0" applyProtection="0"/>
    <xf numFmtId="0" fontId="235" fillId="0" borderId="111" applyNumberFormat="0" applyFill="0" applyAlignment="0" applyProtection="0"/>
    <xf numFmtId="0" fontId="236" fillId="0" borderId="0" applyNumberFormat="0" applyFill="0" applyBorder="0" applyAlignment="0" applyProtection="0"/>
    <xf numFmtId="0" fontId="237" fillId="15" borderId="0" applyNumberFormat="0" applyBorder="0" applyAlignment="0" applyProtection="0"/>
  </cellStyleXfs>
  <cellXfs count="2110">
    <xf numFmtId="0" fontId="0" fillId="0" borderId="0" xfId="0"/>
    <xf numFmtId="0" fontId="13" fillId="0" borderId="0" xfId="0" applyFont="1"/>
    <xf numFmtId="1" fontId="13" fillId="0" borderId="0" xfId="0" applyNumberFormat="1" applyFont="1"/>
    <xf numFmtId="0" fontId="16" fillId="0" borderId="0" xfId="0" applyFont="1"/>
    <xf numFmtId="0" fontId="13" fillId="0" borderId="0" xfId="0" applyFont="1" applyAlignment="1">
      <alignment horizontal="right"/>
    </xf>
    <xf numFmtId="1" fontId="13" fillId="0" borderId="0" xfId="0" applyNumberFormat="1" applyFont="1" applyAlignment="1">
      <alignment horizontal="right"/>
    </xf>
    <xf numFmtId="0" fontId="15" fillId="0" borderId="0" xfId="0" applyFont="1"/>
    <xf numFmtId="3" fontId="20" fillId="0" borderId="0" xfId="0" applyNumberFormat="1" applyFont="1"/>
    <xf numFmtId="0" fontId="13" fillId="0" borderId="0" xfId="7" applyFont="1"/>
    <xf numFmtId="0" fontId="15" fillId="0" borderId="0" xfId="7" applyFont="1"/>
    <xf numFmtId="0" fontId="15" fillId="2" borderId="0" xfId="7" applyFont="1" applyFill="1"/>
    <xf numFmtId="1" fontId="13" fillId="0" borderId="0" xfId="7" applyNumberFormat="1" applyFont="1"/>
    <xf numFmtId="1" fontId="13" fillId="2" borderId="0" xfId="7" applyNumberFormat="1" applyFont="1" applyFill="1"/>
    <xf numFmtId="1" fontId="15" fillId="0" borderId="0" xfId="0" applyNumberFormat="1" applyFont="1"/>
    <xf numFmtId="0" fontId="14" fillId="0" borderId="0" xfId="0" applyFont="1" applyAlignment="1">
      <alignment horizontal="left" indent="15"/>
    </xf>
    <xf numFmtId="0" fontId="25" fillId="0" borderId="0" xfId="0" applyFont="1" applyAlignment="1">
      <alignment horizontal="left" indent="15"/>
    </xf>
    <xf numFmtId="0" fontId="21" fillId="0" borderId="0" xfId="0" applyFont="1" applyAlignment="1">
      <alignment horizontal="left" indent="15"/>
    </xf>
    <xf numFmtId="0" fontId="25" fillId="0" borderId="0" xfId="0" applyFont="1" applyAlignment="1">
      <alignment horizontal="left" indent="14"/>
    </xf>
    <xf numFmtId="0" fontId="18" fillId="0" borderId="0" xfId="0" applyFont="1"/>
    <xf numFmtId="0" fontId="13" fillId="0" borderId="5" xfId="0" applyFont="1" applyBorder="1"/>
    <xf numFmtId="1" fontId="0" fillId="0" borderId="0" xfId="0" applyNumberFormat="1"/>
    <xf numFmtId="0" fontId="25" fillId="0" borderId="0" xfId="0" applyFont="1"/>
    <xf numFmtId="0" fontId="28" fillId="0" borderId="0" xfId="0" applyFont="1"/>
    <xf numFmtId="167" fontId="13" fillId="0" borderId="0" xfId="7" applyNumberFormat="1" applyFont="1"/>
    <xf numFmtId="0" fontId="13" fillId="3" borderId="6" xfId="0" applyFont="1" applyFill="1" applyBorder="1"/>
    <xf numFmtId="0" fontId="13" fillId="3" borderId="8" xfId="0" applyFont="1" applyFill="1" applyBorder="1"/>
    <xf numFmtId="170" fontId="20" fillId="3" borderId="8" xfId="0" applyNumberFormat="1" applyFont="1" applyFill="1" applyBorder="1"/>
    <xf numFmtId="1" fontId="13" fillId="0" borderId="0" xfId="0" applyNumberFormat="1" applyFont="1" applyAlignment="1">
      <alignment horizontal="left"/>
    </xf>
    <xf numFmtId="1" fontId="15" fillId="0" borderId="9" xfId="0" applyNumberFormat="1" applyFont="1" applyBorder="1"/>
    <xf numFmtId="0" fontId="13" fillId="0" borderId="0" xfId="0" applyFont="1" applyAlignment="1">
      <alignment horizontal="center"/>
    </xf>
    <xf numFmtId="2" fontId="13" fillId="0" borderId="0" xfId="0" applyNumberFormat="1" applyFont="1"/>
    <xf numFmtId="0" fontId="34" fillId="0" borderId="0" xfId="0" applyFont="1"/>
    <xf numFmtId="0" fontId="32" fillId="0" borderId="0" xfId="0" applyFont="1"/>
    <xf numFmtId="0" fontId="13" fillId="0" borderId="0" xfId="3" applyFont="1"/>
    <xf numFmtId="167" fontId="13" fillId="0" borderId="0" xfId="3" applyNumberFormat="1" applyFont="1"/>
    <xf numFmtId="167" fontId="13" fillId="0" borderId="0" xfId="0" applyNumberFormat="1" applyFont="1"/>
    <xf numFmtId="0" fontId="15" fillId="0" borderId="0" xfId="4" applyFont="1"/>
    <xf numFmtId="0" fontId="13" fillId="0" borderId="0" xfId="4" applyFont="1"/>
    <xf numFmtId="1" fontId="15" fillId="0" borderId="10" xfId="0" applyNumberFormat="1" applyFont="1" applyBorder="1" applyAlignment="1">
      <alignment horizontal="center" vertical="center" wrapText="1"/>
    </xf>
    <xf numFmtId="0" fontId="37" fillId="0" borderId="0" xfId="0" applyFont="1"/>
    <xf numFmtId="0" fontId="13" fillId="0" borderId="0" xfId="5" applyFont="1"/>
    <xf numFmtId="0" fontId="13" fillId="3" borderId="0" xfId="3" applyFont="1" applyFill="1"/>
    <xf numFmtId="0" fontId="15" fillId="0" borderId="0" xfId="5" applyFont="1"/>
    <xf numFmtId="0" fontId="13" fillId="0" borderId="0" xfId="0" applyFont="1" applyAlignment="1">
      <alignment horizontal="left" indent="10"/>
    </xf>
    <xf numFmtId="0" fontId="15" fillId="0" borderId="0" xfId="0" applyFont="1" applyAlignment="1">
      <alignment horizontal="left" indent="10"/>
    </xf>
    <xf numFmtId="0" fontId="38" fillId="0" borderId="0" xfId="5"/>
    <xf numFmtId="0" fontId="25" fillId="0" borderId="0" xfId="0" applyFont="1" applyAlignment="1">
      <alignment horizontal="left" indent="12"/>
    </xf>
    <xf numFmtId="0" fontId="15" fillId="0" borderId="0" xfId="0" applyFont="1" applyAlignment="1">
      <alignment horizontal="left"/>
    </xf>
    <xf numFmtId="0" fontId="15" fillId="0" borderId="9" xfId="0" applyFont="1" applyBorder="1"/>
    <xf numFmtId="0" fontId="15" fillId="0" borderId="11" xfId="0" applyFont="1" applyBorder="1"/>
    <xf numFmtId="1" fontId="15" fillId="0" borderId="11" xfId="0" applyNumberFormat="1" applyFont="1" applyBorder="1"/>
    <xf numFmtId="0" fontId="15" fillId="0" borderId="5" xfId="0" applyFont="1" applyBorder="1"/>
    <xf numFmtId="0" fontId="15" fillId="0" borderId="9" xfId="0" applyFont="1" applyBorder="1" applyAlignment="1">
      <alignment horizontal="right"/>
    </xf>
    <xf numFmtId="0" fontId="15" fillId="0" borderId="12" xfId="0" applyFont="1" applyBorder="1"/>
    <xf numFmtId="1" fontId="15" fillId="0" borderId="12" xfId="0" applyNumberFormat="1" applyFont="1" applyBorder="1"/>
    <xf numFmtId="1" fontId="15" fillId="0" borderId="0" xfId="7" applyNumberFormat="1" applyFont="1"/>
    <xf numFmtId="0" fontId="15" fillId="0" borderId="0" xfId="3" applyFont="1"/>
    <xf numFmtId="1" fontId="13" fillId="0" borderId="0" xfId="0" applyNumberFormat="1" applyFont="1" applyAlignment="1">
      <alignment horizontal="center"/>
    </xf>
    <xf numFmtId="0" fontId="29" fillId="0" borderId="0" xfId="0" applyFont="1"/>
    <xf numFmtId="0" fontId="34" fillId="0" borderId="0" xfId="0" applyFont="1" applyAlignment="1">
      <alignment horizontal="center" vertical="top" wrapText="1"/>
    </xf>
    <xf numFmtId="0" fontId="42" fillId="0" borderId="0" xfId="0" applyFont="1" applyAlignment="1">
      <alignment horizontal="center" vertical="top" wrapText="1"/>
    </xf>
    <xf numFmtId="0" fontId="43" fillId="0" borderId="0" xfId="0" applyFont="1" applyAlignment="1">
      <alignment horizontal="center" vertical="top" wrapText="1"/>
    </xf>
    <xf numFmtId="0" fontId="34" fillId="0" borderId="0" xfId="0" applyFont="1" applyAlignment="1">
      <alignment horizontal="center"/>
    </xf>
    <xf numFmtId="1" fontId="29" fillId="0" borderId="0" xfId="0" applyNumberFormat="1" applyFont="1"/>
    <xf numFmtId="0" fontId="44" fillId="0" borderId="0" xfId="0" applyFont="1"/>
    <xf numFmtId="0" fontId="45" fillId="0" borderId="0" xfId="0" applyFont="1"/>
    <xf numFmtId="2" fontId="13" fillId="0" borderId="0" xfId="4" applyNumberFormat="1" applyFont="1"/>
    <xf numFmtId="0" fontId="25" fillId="0" borderId="0" xfId="5" applyFont="1"/>
    <xf numFmtId="0" fontId="39" fillId="0" borderId="0" xfId="0" applyFont="1"/>
    <xf numFmtId="0" fontId="13" fillId="0" borderId="12" xfId="0" applyFont="1" applyBorder="1" applyAlignment="1">
      <alignment horizontal="center"/>
    </xf>
    <xf numFmtId="3" fontId="13" fillId="0" borderId="11" xfId="0" applyNumberFormat="1" applyFont="1" applyBorder="1" applyAlignment="1">
      <alignment horizontal="right"/>
    </xf>
    <xf numFmtId="3" fontId="13" fillId="0" borderId="16" xfId="0" applyNumberFormat="1" applyFont="1" applyBorder="1" applyAlignment="1">
      <alignment horizontal="right"/>
    </xf>
    <xf numFmtId="2" fontId="15" fillId="0" borderId="0" xfId="0" applyNumberFormat="1" applyFont="1"/>
    <xf numFmtId="0" fontId="12" fillId="0" borderId="0" xfId="0" applyFont="1"/>
    <xf numFmtId="1" fontId="13" fillId="6" borderId="0" xfId="0" applyNumberFormat="1" applyFont="1" applyFill="1"/>
    <xf numFmtId="0" fontId="13" fillId="6" borderId="0" xfId="0" applyFont="1" applyFill="1"/>
    <xf numFmtId="0" fontId="13" fillId="0" borderId="11" xfId="0" applyFont="1" applyBorder="1"/>
    <xf numFmtId="0" fontId="62" fillId="0" borderId="0" xfId="0" applyFont="1"/>
    <xf numFmtId="0" fontId="63" fillId="0" borderId="0" xfId="0" applyFont="1"/>
    <xf numFmtId="0" fontId="62" fillId="0" borderId="0" xfId="0" applyFont="1" applyAlignment="1">
      <alignment horizontal="left"/>
    </xf>
    <xf numFmtId="1" fontId="15" fillId="0" borderId="0" xfId="0" applyNumberFormat="1" applyFont="1" applyAlignment="1">
      <alignment horizontal="right"/>
    </xf>
    <xf numFmtId="9" fontId="13" fillId="0" borderId="0" xfId="6" applyFont="1"/>
    <xf numFmtId="0" fontId="64" fillId="0" borderId="0" xfId="0" applyFont="1"/>
    <xf numFmtId="1" fontId="13" fillId="0" borderId="0" xfId="3" applyNumberFormat="1" applyFont="1"/>
    <xf numFmtId="0" fontId="65" fillId="0" borderId="0" xfId="0" applyFont="1"/>
    <xf numFmtId="0" fontId="66" fillId="0" borderId="0" xfId="0" applyFont="1"/>
    <xf numFmtId="0" fontId="0" fillId="0" borderId="1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 wrapText="1"/>
    </xf>
    <xf numFmtId="1" fontId="28" fillId="5" borderId="0" xfId="0" applyNumberFormat="1" applyFont="1" applyFill="1" applyProtection="1">
      <protection locked="0"/>
    </xf>
    <xf numFmtId="9" fontId="15" fillId="0" borderId="0" xfId="6" applyFont="1" applyFill="1"/>
    <xf numFmtId="9" fontId="13" fillId="0" borderId="0" xfId="6" applyFont="1" applyFill="1"/>
    <xf numFmtId="168" fontId="13" fillId="0" borderId="0" xfId="0" applyNumberFormat="1" applyFont="1"/>
    <xf numFmtId="1" fontId="49" fillId="0" borderId="0" xfId="0" applyNumberFormat="1" applyFont="1"/>
    <xf numFmtId="0" fontId="35" fillId="0" borderId="0" xfId="0" applyFont="1"/>
    <xf numFmtId="0" fontId="15" fillId="6" borderId="0" xfId="0" applyFont="1" applyFill="1"/>
    <xf numFmtId="0" fontId="31" fillId="0" borderId="0" xfId="0" applyFont="1"/>
    <xf numFmtId="0" fontId="67" fillId="0" borderId="0" xfId="0" applyFont="1"/>
    <xf numFmtId="0" fontId="57" fillId="0" borderId="0" xfId="0" applyFont="1" applyAlignment="1">
      <alignment horizontal="center" wrapText="1"/>
    </xf>
    <xf numFmtId="0" fontId="58" fillId="0" borderId="0" xfId="0" applyFont="1" applyAlignment="1">
      <alignment horizontal="center" wrapText="1"/>
    </xf>
    <xf numFmtId="0" fontId="59" fillId="0" borderId="0" xfId="0" applyFont="1" applyAlignment="1">
      <alignment horizontal="center" wrapText="1"/>
    </xf>
    <xf numFmtId="0" fontId="60" fillId="0" borderId="0" xfId="0" applyFont="1" applyAlignment="1">
      <alignment horizontal="right" wrapText="1"/>
    </xf>
    <xf numFmtId="0" fontId="60" fillId="0" borderId="0" xfId="0" applyFont="1" applyAlignment="1">
      <alignment wrapText="1"/>
    </xf>
    <xf numFmtId="169" fontId="13" fillId="6" borderId="0" xfId="0" applyNumberFormat="1" applyFont="1" applyFill="1"/>
    <xf numFmtId="0" fontId="32" fillId="0" borderId="0" xfId="0" applyFont="1" applyAlignment="1">
      <alignment horizontal="center"/>
    </xf>
    <xf numFmtId="0" fontId="22" fillId="0" borderId="0" xfId="0" applyFont="1"/>
    <xf numFmtId="0" fontId="68" fillId="0" borderId="0" xfId="0" applyFont="1" applyAlignment="1">
      <alignment vertical="top" wrapText="1"/>
    </xf>
    <xf numFmtId="0" fontId="69" fillId="0" borderId="0" xfId="0" applyFont="1" applyAlignment="1">
      <alignment horizontal="justify" vertical="top" wrapText="1"/>
    </xf>
    <xf numFmtId="0" fontId="70" fillId="0" borderId="0" xfId="0" applyFont="1" applyAlignment="1">
      <alignment wrapText="1"/>
    </xf>
    <xf numFmtId="0" fontId="69" fillId="0" borderId="0" xfId="0" applyFont="1" applyAlignment="1">
      <alignment horizontal="righ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1" fontId="56" fillId="0" borderId="19" xfId="0" applyNumberFormat="1" applyFont="1" applyBorder="1"/>
    <xf numFmtId="1" fontId="56" fillId="0" borderId="20" xfId="0" applyNumberFormat="1" applyFont="1" applyBorder="1"/>
    <xf numFmtId="1" fontId="28" fillId="0" borderId="0" xfId="0" applyNumberFormat="1" applyFont="1"/>
    <xf numFmtId="1" fontId="15" fillId="6" borderId="0" xfId="0" applyNumberFormat="1" applyFont="1" applyFill="1"/>
    <xf numFmtId="0" fontId="12" fillId="0" borderId="0" xfId="0" applyFont="1" applyAlignment="1">
      <alignment horizontal="center" vertical="center"/>
    </xf>
    <xf numFmtId="0" fontId="28" fillId="5" borderId="13" xfId="0" applyFont="1" applyFill="1" applyBorder="1" applyProtection="1">
      <protection locked="0"/>
    </xf>
    <xf numFmtId="0" fontId="14" fillId="0" borderId="0" xfId="5" applyFont="1"/>
    <xf numFmtId="0" fontId="15" fillId="0" borderId="0" xfId="0" applyFont="1" applyAlignment="1">
      <alignment horizontal="center"/>
    </xf>
    <xf numFmtId="0" fontId="15" fillId="0" borderId="5" xfId="0" applyFont="1" applyBorder="1" applyAlignment="1">
      <alignment vertical="top" wrapText="1"/>
    </xf>
    <xf numFmtId="1" fontId="56" fillId="0" borderId="0" xfId="0" applyNumberFormat="1" applyFont="1"/>
    <xf numFmtId="0" fontId="71" fillId="0" borderId="0" xfId="0" applyFont="1"/>
    <xf numFmtId="0" fontId="47" fillId="0" borderId="0" xfId="7" applyFont="1"/>
    <xf numFmtId="1" fontId="48" fillId="0" borderId="0" xfId="7" applyNumberFormat="1" applyFont="1"/>
    <xf numFmtId="1" fontId="72" fillId="0" borderId="0" xfId="0" applyNumberFormat="1" applyFont="1"/>
    <xf numFmtId="1" fontId="23" fillId="0" borderId="0" xfId="0" applyNumberFormat="1" applyFont="1"/>
    <xf numFmtId="1" fontId="0" fillId="6" borderId="0" xfId="0" applyNumberFormat="1" applyFill="1"/>
    <xf numFmtId="0" fontId="0" fillId="6" borderId="0" xfId="0" applyFill="1"/>
    <xf numFmtId="2" fontId="13" fillId="0" borderId="0" xfId="0" applyNumberFormat="1" applyFont="1" applyAlignment="1">
      <alignment horizontal="center"/>
    </xf>
    <xf numFmtId="169" fontId="13" fillId="0" borderId="0" xfId="0" applyNumberFormat="1" applyFont="1"/>
    <xf numFmtId="168" fontId="0" fillId="0" borderId="0" xfId="0" applyNumberFormat="1"/>
    <xf numFmtId="0" fontId="73" fillId="0" borderId="21" xfId="0" applyFont="1" applyBorder="1" applyAlignment="1">
      <alignment horizontal="center"/>
    </xf>
    <xf numFmtId="0" fontId="73" fillId="0" borderId="22" xfId="0" applyFont="1" applyBorder="1" applyAlignment="1">
      <alignment horizontal="center"/>
    </xf>
    <xf numFmtId="0" fontId="73" fillId="0" borderId="24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74" fillId="0" borderId="0" xfId="0" applyFont="1"/>
    <xf numFmtId="0" fontId="75" fillId="0" borderId="0" xfId="0" applyFont="1"/>
    <xf numFmtId="0" fontId="73" fillId="0" borderId="0" xfId="0" applyFont="1"/>
    <xf numFmtId="2" fontId="29" fillId="0" borderId="0" xfId="0" applyNumberFormat="1" applyFont="1"/>
    <xf numFmtId="0" fontId="15" fillId="0" borderId="5" xfId="7" applyFont="1" applyBorder="1"/>
    <xf numFmtId="0" fontId="15" fillId="0" borderId="9" xfId="7" applyFont="1" applyBorder="1"/>
    <xf numFmtId="0" fontId="13" fillId="0" borderId="14" xfId="7" applyFont="1" applyBorder="1"/>
    <xf numFmtId="1" fontId="13" fillId="0" borderId="0" xfId="4" applyNumberFormat="1" applyFont="1"/>
    <xf numFmtId="0" fontId="36" fillId="0" borderId="0" xfId="4" applyFont="1"/>
    <xf numFmtId="0" fontId="67" fillId="0" borderId="0" xfId="5" applyFont="1"/>
    <xf numFmtId="167" fontId="0" fillId="0" borderId="0" xfId="0" applyNumberFormat="1"/>
    <xf numFmtId="2" fontId="63" fillId="0" borderId="0" xfId="0" applyNumberFormat="1" applyFont="1"/>
    <xf numFmtId="1" fontId="13" fillId="0" borderId="10" xfId="0" applyNumberFormat="1" applyFont="1" applyBorder="1"/>
    <xf numFmtId="1" fontId="13" fillId="0" borderId="31" xfId="0" applyNumberFormat="1" applyFont="1" applyBorder="1"/>
    <xf numFmtId="0" fontId="46" fillId="0" borderId="0" xfId="0" applyFont="1" applyAlignment="1">
      <alignment horizontal="center"/>
    </xf>
    <xf numFmtId="0" fontId="78" fillId="0" borderId="0" xfId="0" applyFont="1"/>
    <xf numFmtId="0" fontId="48" fillId="0" borderId="0" xfId="0" applyFont="1"/>
    <xf numFmtId="0" fontId="47" fillId="0" borderId="0" xfId="0" applyFont="1"/>
    <xf numFmtId="0" fontId="80" fillId="0" borderId="0" xfId="0" applyFont="1"/>
    <xf numFmtId="0" fontId="81" fillId="0" borderId="32" xfId="0" applyFont="1" applyBorder="1"/>
    <xf numFmtId="0" fontId="81" fillId="0" borderId="23" xfId="0" applyFont="1" applyBorder="1"/>
    <xf numFmtId="0" fontId="47" fillId="0" borderId="36" xfId="0" applyFont="1" applyBorder="1"/>
    <xf numFmtId="0" fontId="47" fillId="0" borderId="37" xfId="0" applyFont="1" applyBorder="1"/>
    <xf numFmtId="0" fontId="47" fillId="0" borderId="30" xfId="0" applyFont="1" applyBorder="1"/>
    <xf numFmtId="0" fontId="81" fillId="6" borderId="44" xfId="0" applyFont="1" applyFill="1" applyBorder="1"/>
    <xf numFmtId="1" fontId="79" fillId="0" borderId="29" xfId="0" applyNumberFormat="1" applyFont="1" applyBorder="1"/>
    <xf numFmtId="1" fontId="79" fillId="0" borderId="43" xfId="0" applyNumberFormat="1" applyFont="1" applyBorder="1"/>
    <xf numFmtId="0" fontId="48" fillId="0" borderId="38" xfId="0" applyFont="1" applyBorder="1"/>
    <xf numFmtId="1" fontId="80" fillId="0" borderId="30" xfId="0" applyNumberFormat="1" applyFont="1" applyBorder="1" applyAlignment="1">
      <alignment horizontal="left"/>
    </xf>
    <xf numFmtId="0" fontId="13" fillId="0" borderId="2" xfId="0" applyFont="1" applyBorder="1"/>
    <xf numFmtId="0" fontId="13" fillId="0" borderId="3" xfId="0" applyFont="1" applyBorder="1"/>
    <xf numFmtId="0" fontId="13" fillId="0" borderId="46" xfId="0" applyFont="1" applyBorder="1"/>
    <xf numFmtId="1" fontId="31" fillId="0" borderId="30" xfId="0" applyNumberFormat="1" applyFont="1" applyBorder="1" applyAlignment="1">
      <alignment horizontal="left"/>
    </xf>
    <xf numFmtId="1" fontId="79" fillId="0" borderId="28" xfId="0" applyNumberFormat="1" applyFont="1" applyBorder="1"/>
    <xf numFmtId="0" fontId="48" fillId="0" borderId="0" xfId="0" applyFont="1" applyAlignment="1">
      <alignment horizontal="center" vertical="center" wrapText="1"/>
    </xf>
    <xf numFmtId="1" fontId="79" fillId="0" borderId="0" xfId="0" applyNumberFormat="1" applyFont="1"/>
    <xf numFmtId="0" fontId="47" fillId="0" borderId="32" xfId="0" applyFont="1" applyBorder="1"/>
    <xf numFmtId="0" fontId="13" fillId="0" borderId="48" xfId="0" applyFont="1" applyBorder="1"/>
    <xf numFmtId="0" fontId="31" fillId="0" borderId="35" xfId="0" applyFont="1" applyBorder="1"/>
    <xf numFmtId="0" fontId="80" fillId="0" borderId="35" xfId="0" applyFont="1" applyBorder="1"/>
    <xf numFmtId="1" fontId="79" fillId="8" borderId="35" xfId="0" applyNumberFormat="1" applyFont="1" applyFill="1" applyBorder="1"/>
    <xf numFmtId="0" fontId="13" fillId="0" borderId="38" xfId="0" applyFont="1" applyBorder="1"/>
    <xf numFmtId="1" fontId="79" fillId="0" borderId="30" xfId="0" applyNumberFormat="1" applyFont="1" applyBorder="1"/>
    <xf numFmtId="0" fontId="47" fillId="0" borderId="23" xfId="0" applyFont="1" applyBorder="1"/>
    <xf numFmtId="0" fontId="47" fillId="6" borderId="44" xfId="0" applyFont="1" applyFill="1" applyBorder="1" applyAlignment="1">
      <alignment horizontal="center"/>
    </xf>
    <xf numFmtId="1" fontId="79" fillId="0" borderId="21" xfId="0" applyNumberFormat="1" applyFont="1" applyBorder="1"/>
    <xf numFmtId="1" fontId="79" fillId="0" borderId="49" xfId="0" applyNumberFormat="1" applyFont="1" applyBorder="1"/>
    <xf numFmtId="1" fontId="79" fillId="0" borderId="50" xfId="0" applyNumberFormat="1" applyFont="1" applyBorder="1"/>
    <xf numFmtId="0" fontId="47" fillId="6" borderId="44" xfId="0" applyFont="1" applyFill="1" applyBorder="1"/>
    <xf numFmtId="0" fontId="77" fillId="0" borderId="51" xfId="0" applyFont="1" applyBorder="1"/>
    <xf numFmtId="1" fontId="77" fillId="0" borderId="51" xfId="0" applyNumberFormat="1" applyFont="1" applyBorder="1"/>
    <xf numFmtId="0" fontId="83" fillId="0" borderId="52" xfId="0" applyFont="1" applyBorder="1"/>
    <xf numFmtId="0" fontId="83" fillId="0" borderId="53" xfId="0" applyFont="1" applyBorder="1"/>
    <xf numFmtId="0" fontId="83" fillId="0" borderId="0" xfId="0" applyFont="1"/>
    <xf numFmtId="1" fontId="48" fillId="0" borderId="0" xfId="0" applyNumberFormat="1" applyFont="1"/>
    <xf numFmtId="1" fontId="0" fillId="8" borderId="0" xfId="0" applyNumberFormat="1" applyFill="1"/>
    <xf numFmtId="0" fontId="82" fillId="0" borderId="54" xfId="0" applyFont="1" applyBorder="1"/>
    <xf numFmtId="0" fontId="13" fillId="0" borderId="36" xfId="0" applyFont="1" applyBorder="1"/>
    <xf numFmtId="0" fontId="82" fillId="0" borderId="37" xfId="0" applyFont="1" applyBorder="1"/>
    <xf numFmtId="0" fontId="84" fillId="0" borderId="13" xfId="0" applyFont="1" applyBorder="1"/>
    <xf numFmtId="0" fontId="13" fillId="0" borderId="56" xfId="0" applyFont="1" applyBorder="1"/>
    <xf numFmtId="0" fontId="13" fillId="0" borderId="40" xfId="0" applyFont="1" applyBorder="1"/>
    <xf numFmtId="0" fontId="13" fillId="0" borderId="41" xfId="0" applyFont="1" applyBorder="1"/>
    <xf numFmtId="0" fontId="0" fillId="0" borderId="6" xfId="0" applyBorder="1" applyAlignment="1">
      <alignment horizontal="center"/>
    </xf>
    <xf numFmtId="0" fontId="13" fillId="0" borderId="13" xfId="0" applyFont="1" applyBorder="1"/>
    <xf numFmtId="1" fontId="13" fillId="0" borderId="13" xfId="0" applyNumberFormat="1" applyFont="1" applyBorder="1"/>
    <xf numFmtId="1" fontId="73" fillId="0" borderId="23" xfId="0" applyNumberFormat="1" applyFont="1" applyBorder="1"/>
    <xf numFmtId="1" fontId="73" fillId="0" borderId="25" xfId="0" applyNumberFormat="1" applyFont="1" applyBorder="1"/>
    <xf numFmtId="1" fontId="73" fillId="0" borderId="25" xfId="0" applyNumberFormat="1" applyFont="1" applyBorder="1" applyAlignment="1">
      <alignment horizontal="right"/>
    </xf>
    <xf numFmtId="1" fontId="73" fillId="0" borderId="22" xfId="0" applyNumberFormat="1" applyFont="1" applyBorder="1"/>
    <xf numFmtId="1" fontId="73" fillId="0" borderId="26" xfId="0" applyNumberFormat="1" applyFont="1" applyBorder="1"/>
    <xf numFmtId="0" fontId="73" fillId="0" borderId="8" xfId="2" applyFont="1" applyBorder="1" applyAlignment="1">
      <alignment horizontal="center"/>
    </xf>
    <xf numFmtId="1" fontId="76" fillId="0" borderId="0" xfId="0" applyNumberFormat="1" applyFont="1"/>
    <xf numFmtId="1" fontId="0" fillId="0" borderId="0" xfId="0" applyNumberFormat="1" applyAlignment="1">
      <alignment horizontal="center"/>
    </xf>
    <xf numFmtId="0" fontId="72" fillId="0" borderId="47" xfId="0" applyFont="1" applyBorder="1"/>
    <xf numFmtId="0" fontId="82" fillId="0" borderId="7" xfId="0" applyFont="1" applyBorder="1"/>
    <xf numFmtId="1" fontId="13" fillId="0" borderId="40" xfId="0" applyNumberFormat="1" applyFont="1" applyBorder="1"/>
    <xf numFmtId="1" fontId="13" fillId="0" borderId="41" xfId="0" applyNumberFormat="1" applyFont="1" applyBorder="1"/>
    <xf numFmtId="0" fontId="28" fillId="0" borderId="6" xfId="0" applyFont="1" applyBorder="1"/>
    <xf numFmtId="1" fontId="15" fillId="0" borderId="6" xfId="0" applyNumberFormat="1" applyFont="1" applyBorder="1"/>
    <xf numFmtId="1" fontId="15" fillId="0" borderId="8" xfId="0" applyNumberFormat="1" applyFont="1" applyBorder="1"/>
    <xf numFmtId="0" fontId="15" fillId="0" borderId="8" xfId="0" applyFont="1" applyBorder="1"/>
    <xf numFmtId="0" fontId="15" fillId="0" borderId="7" xfId="0" applyFont="1" applyBorder="1"/>
    <xf numFmtId="0" fontId="15" fillId="0" borderId="6" xfId="0" applyFont="1" applyBorder="1"/>
    <xf numFmtId="1" fontId="63" fillId="0" borderId="0" xfId="0" applyNumberFormat="1" applyFont="1"/>
    <xf numFmtId="0" fontId="85" fillId="0" borderId="0" xfId="0" applyFont="1"/>
    <xf numFmtId="0" fontId="87" fillId="0" borderId="59" xfId="0" applyFont="1" applyBorder="1" applyAlignment="1">
      <alignment horizontal="center" wrapText="1" readingOrder="1"/>
    </xf>
    <xf numFmtId="0" fontId="88" fillId="0" borderId="0" xfId="0" applyFont="1" applyAlignment="1">
      <alignment horizontal="left"/>
    </xf>
    <xf numFmtId="0" fontId="13" fillId="3" borderId="39" xfId="0" applyFont="1" applyFill="1" applyBorder="1"/>
    <xf numFmtId="0" fontId="91" fillId="0" borderId="0" xfId="0" applyFont="1" applyAlignment="1">
      <alignment horizontal="left"/>
    </xf>
    <xf numFmtId="0" fontId="93" fillId="0" borderId="0" xfId="0" applyFont="1" applyAlignment="1">
      <alignment horizontal="left"/>
    </xf>
    <xf numFmtId="0" fontId="91" fillId="0" borderId="0" xfId="0" applyFont="1"/>
    <xf numFmtId="0" fontId="85" fillId="0" borderId="0" xfId="0" applyFont="1" applyAlignment="1">
      <alignment horizontal="left" vertical="center"/>
    </xf>
    <xf numFmtId="0" fontId="23" fillId="0" borderId="0" xfId="0" applyFont="1" applyAlignment="1">
      <alignment horizontal="center"/>
    </xf>
    <xf numFmtId="0" fontId="79" fillId="0" borderId="0" xfId="0" applyFont="1"/>
    <xf numFmtId="0" fontId="23" fillId="0" borderId="0" xfId="0" applyFont="1"/>
    <xf numFmtId="0" fontId="48" fillId="0" borderId="58" xfId="0" applyFont="1" applyBorder="1"/>
    <xf numFmtId="0" fontId="48" fillId="0" borderId="37" xfId="0" applyFont="1" applyBorder="1"/>
    <xf numFmtId="1" fontId="48" fillId="6" borderId="0" xfId="0" applyNumberFormat="1" applyFont="1" applyFill="1" applyAlignment="1">
      <alignment horizontal="right"/>
    </xf>
    <xf numFmtId="1" fontId="90" fillId="0" borderId="41" xfId="0" applyNumberFormat="1" applyFont="1" applyBorder="1" applyAlignment="1">
      <alignment horizontal="right"/>
    </xf>
    <xf numFmtId="167" fontId="23" fillId="0" borderId="55" xfId="0" applyNumberFormat="1" applyFont="1" applyBorder="1" applyAlignment="1">
      <alignment horizontal="left" indent="1"/>
    </xf>
    <xf numFmtId="167" fontId="23" fillId="0" borderId="40" xfId="0" applyNumberFormat="1" applyFont="1" applyBorder="1" applyAlignment="1">
      <alignment horizontal="left" indent="1"/>
    </xf>
    <xf numFmtId="167" fontId="23" fillId="0" borderId="0" xfId="0" applyNumberFormat="1" applyFont="1" applyAlignment="1">
      <alignment horizontal="left" indent="1"/>
    </xf>
    <xf numFmtId="167" fontId="23" fillId="0" borderId="56" xfId="0" applyNumberFormat="1" applyFont="1" applyBorder="1" applyAlignment="1">
      <alignment horizontal="left" indent="1"/>
    </xf>
    <xf numFmtId="167" fontId="23" fillId="0" borderId="41" xfId="0" applyNumberFormat="1" applyFont="1" applyBorder="1" applyAlignment="1">
      <alignment horizontal="left" indent="1"/>
    </xf>
    <xf numFmtId="1" fontId="23" fillId="6" borderId="0" xfId="0" applyNumberFormat="1" applyFont="1" applyFill="1"/>
    <xf numFmtId="1" fontId="95" fillId="6" borderId="0" xfId="0" applyNumberFormat="1" applyFont="1" applyFill="1"/>
    <xf numFmtId="1" fontId="48" fillId="6" borderId="0" xfId="0" applyNumberFormat="1" applyFont="1" applyFill="1"/>
    <xf numFmtId="1" fontId="89" fillId="0" borderId="41" xfId="0" applyNumberFormat="1" applyFont="1" applyBorder="1"/>
    <xf numFmtId="167" fontId="23" fillId="0" borderId="57" xfId="0" applyNumberFormat="1" applyFont="1" applyBorder="1" applyAlignment="1">
      <alignment horizontal="left" indent="1"/>
    </xf>
    <xf numFmtId="167" fontId="23" fillId="0" borderId="42" xfId="0" applyNumberFormat="1" applyFont="1" applyBorder="1" applyAlignment="1">
      <alignment horizontal="left" indent="1"/>
    </xf>
    <xf numFmtId="167" fontId="23" fillId="0" borderId="31" xfId="0" applyNumberFormat="1" applyFont="1" applyBorder="1" applyAlignment="1">
      <alignment horizontal="left" indent="1"/>
    </xf>
    <xf numFmtId="168" fontId="48" fillId="6" borderId="0" xfId="0" applyNumberFormat="1" applyFont="1" applyFill="1"/>
    <xf numFmtId="168" fontId="90" fillId="0" borderId="41" xfId="0" applyNumberFormat="1" applyFont="1" applyBorder="1"/>
    <xf numFmtId="1" fontId="47" fillId="6" borderId="0" xfId="0" applyNumberFormat="1" applyFont="1" applyFill="1"/>
    <xf numFmtId="1" fontId="89" fillId="0" borderId="42" xfId="0" applyNumberFormat="1" applyFont="1" applyBorder="1"/>
    <xf numFmtId="167" fontId="23" fillId="0" borderId="0" xfId="0" applyNumberFormat="1" applyFont="1"/>
    <xf numFmtId="0" fontId="48" fillId="0" borderId="36" xfId="0" applyFont="1" applyBorder="1"/>
    <xf numFmtId="1" fontId="89" fillId="0" borderId="0" xfId="0" applyNumberFormat="1" applyFont="1"/>
    <xf numFmtId="0" fontId="90" fillId="0" borderId="0" xfId="0" applyFont="1"/>
    <xf numFmtId="0" fontId="48" fillId="0" borderId="8" xfId="0" applyFont="1" applyBorder="1"/>
    <xf numFmtId="0" fontId="97" fillId="0" borderId="0" xfId="0" applyFont="1"/>
    <xf numFmtId="2" fontId="23" fillId="0" borderId="56" xfId="0" applyNumberFormat="1" applyFont="1" applyBorder="1" applyAlignment="1">
      <alignment horizontal="left" indent="1"/>
    </xf>
    <xf numFmtId="0" fontId="98" fillId="0" borderId="0" xfId="0" applyFont="1"/>
    <xf numFmtId="0" fontId="47" fillId="0" borderId="32" xfId="0" applyFont="1" applyBorder="1" applyAlignment="1">
      <alignment vertical="center"/>
    </xf>
    <xf numFmtId="0" fontId="48" fillId="0" borderId="23" xfId="0" applyFont="1" applyBorder="1" applyAlignment="1">
      <alignment vertical="center"/>
    </xf>
    <xf numFmtId="0" fontId="47" fillId="0" borderId="33" xfId="0" applyFont="1" applyBorder="1" applyAlignment="1">
      <alignment vertical="center"/>
    </xf>
    <xf numFmtId="0" fontId="48" fillId="0" borderId="25" xfId="0" applyFont="1" applyBorder="1" applyAlignment="1">
      <alignment vertical="center"/>
    </xf>
    <xf numFmtId="0" fontId="47" fillId="0" borderId="34" xfId="0" applyFont="1" applyBorder="1" applyAlignment="1">
      <alignment vertical="center"/>
    </xf>
    <xf numFmtId="0" fontId="48" fillId="0" borderId="45" xfId="0" applyFont="1" applyBorder="1" applyAlignment="1">
      <alignment vertical="center"/>
    </xf>
    <xf numFmtId="0" fontId="47" fillId="0" borderId="32" xfId="0" applyFont="1" applyBorder="1" applyAlignment="1">
      <alignment vertical="center" wrapText="1"/>
    </xf>
    <xf numFmtId="0" fontId="47" fillId="0" borderId="33" xfId="0" applyFont="1" applyBorder="1" applyAlignment="1">
      <alignment vertical="center" wrapText="1"/>
    </xf>
    <xf numFmtId="0" fontId="47" fillId="0" borderId="34" xfId="0" applyFont="1" applyBorder="1" applyAlignment="1">
      <alignment vertical="center" wrapText="1"/>
    </xf>
    <xf numFmtId="0" fontId="82" fillId="0" borderId="32" xfId="0" applyFont="1" applyBorder="1" applyAlignment="1">
      <alignment vertical="center" wrapText="1"/>
    </xf>
    <xf numFmtId="0" fontId="82" fillId="0" borderId="33" xfId="0" applyFont="1" applyBorder="1" applyAlignment="1">
      <alignment vertical="center" wrapText="1"/>
    </xf>
    <xf numFmtId="0" fontId="82" fillId="0" borderId="34" xfId="0" applyFont="1" applyBorder="1" applyAlignment="1">
      <alignment vertical="center" wrapText="1"/>
    </xf>
    <xf numFmtId="0" fontId="13" fillId="0" borderId="23" xfId="0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13" fillId="0" borderId="45" xfId="0" applyFont="1" applyBorder="1" applyAlignment="1">
      <alignment vertical="center"/>
    </xf>
    <xf numFmtId="0" fontId="48" fillId="0" borderId="32" xfId="0" applyFont="1" applyBorder="1" applyAlignment="1">
      <alignment vertical="center"/>
    </xf>
    <xf numFmtId="0" fontId="48" fillId="0" borderId="23" xfId="0" applyFont="1" applyBorder="1" applyAlignment="1">
      <alignment vertical="center" wrapText="1"/>
    </xf>
    <xf numFmtId="0" fontId="48" fillId="0" borderId="33" xfId="0" applyFont="1" applyBorder="1" applyAlignment="1">
      <alignment vertical="center"/>
    </xf>
    <xf numFmtId="0" fontId="48" fillId="0" borderId="25" xfId="0" applyFont="1" applyBorder="1" applyAlignment="1">
      <alignment vertical="center" wrapText="1"/>
    </xf>
    <xf numFmtId="0" fontId="48" fillId="0" borderId="34" xfId="0" applyFont="1" applyBorder="1" applyAlignment="1">
      <alignment vertical="center"/>
    </xf>
    <xf numFmtId="0" fontId="48" fillId="0" borderId="45" xfId="0" applyFont="1" applyBorder="1" applyAlignment="1">
      <alignment vertical="center" wrapText="1"/>
    </xf>
    <xf numFmtId="0" fontId="31" fillId="0" borderId="23" xfId="0" applyFont="1" applyBorder="1" applyAlignment="1">
      <alignment vertical="center"/>
    </xf>
    <xf numFmtId="0" fontId="82" fillId="0" borderId="25" xfId="0" applyFont="1" applyBorder="1" applyAlignment="1">
      <alignment vertical="center" wrapText="1"/>
    </xf>
    <xf numFmtId="0" fontId="31" fillId="0" borderId="25" xfId="0" applyFont="1" applyBorder="1" applyAlignment="1">
      <alignment vertical="center"/>
    </xf>
    <xf numFmtId="0" fontId="82" fillId="0" borderId="21" xfId="0" applyFont="1" applyBorder="1" applyAlignment="1">
      <alignment vertical="center" wrapText="1"/>
    </xf>
    <xf numFmtId="0" fontId="31" fillId="0" borderId="45" xfId="0" applyFont="1" applyBorder="1" applyAlignment="1">
      <alignment vertical="center"/>
    </xf>
    <xf numFmtId="0" fontId="47" fillId="0" borderId="23" xfId="0" applyFont="1" applyBorder="1" applyAlignment="1">
      <alignment vertical="center" wrapText="1"/>
    </xf>
    <xf numFmtId="0" fontId="47" fillId="0" borderId="25" xfId="0" applyFont="1" applyBorder="1" applyAlignment="1">
      <alignment vertical="center" wrapText="1"/>
    </xf>
    <xf numFmtId="0" fontId="47" fillId="0" borderId="21" xfId="0" applyFont="1" applyBorder="1" applyAlignment="1">
      <alignment vertical="center" wrapText="1"/>
    </xf>
    <xf numFmtId="0" fontId="47" fillId="0" borderId="45" xfId="0" applyFont="1" applyBorder="1" applyAlignment="1">
      <alignment vertical="center" wrapText="1"/>
    </xf>
    <xf numFmtId="0" fontId="48" fillId="0" borderId="21" xfId="0" applyFont="1" applyBorder="1" applyAlignment="1">
      <alignment vertical="center" wrapText="1"/>
    </xf>
    <xf numFmtId="0" fontId="82" fillId="0" borderId="40" xfId="0" applyFont="1" applyBorder="1" applyAlignment="1">
      <alignment vertical="center" wrapText="1"/>
    </xf>
    <xf numFmtId="0" fontId="81" fillId="0" borderId="40" xfId="0" applyFont="1" applyBorder="1" applyAlignment="1">
      <alignment vertical="center"/>
    </xf>
    <xf numFmtId="0" fontId="82" fillId="0" borderId="41" xfId="0" applyFont="1" applyBorder="1" applyAlignment="1">
      <alignment vertical="center" wrapText="1"/>
    </xf>
    <xf numFmtId="0" fontId="81" fillId="0" borderId="41" xfId="0" applyFont="1" applyBorder="1" applyAlignment="1">
      <alignment vertical="center"/>
    </xf>
    <xf numFmtId="0" fontId="82" fillId="0" borderId="42" xfId="0" applyFont="1" applyBorder="1" applyAlignment="1">
      <alignment vertical="center" wrapText="1"/>
    </xf>
    <xf numFmtId="0" fontId="81" fillId="0" borderId="42" xfId="0" applyFont="1" applyBorder="1" applyAlignment="1">
      <alignment vertical="center"/>
    </xf>
    <xf numFmtId="0" fontId="80" fillId="0" borderId="40" xfId="0" applyFont="1" applyBorder="1" applyAlignment="1">
      <alignment vertical="center"/>
    </xf>
    <xf numFmtId="0" fontId="80" fillId="0" borderId="41" xfId="0" applyFont="1" applyBorder="1" applyAlignment="1">
      <alignment vertical="center"/>
    </xf>
    <xf numFmtId="0" fontId="80" fillId="0" borderId="42" xfId="0" applyFont="1" applyBorder="1" applyAlignment="1">
      <alignment vertical="center"/>
    </xf>
    <xf numFmtId="0" fontId="31" fillId="0" borderId="40" xfId="0" applyFont="1" applyBorder="1" applyAlignment="1">
      <alignment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80" fillId="0" borderId="40" xfId="0" applyFont="1" applyBorder="1" applyAlignment="1">
      <alignment vertical="center" wrapText="1"/>
    </xf>
    <xf numFmtId="0" fontId="80" fillId="0" borderId="41" xfId="0" applyFont="1" applyBorder="1" applyAlignment="1">
      <alignment vertical="center" wrapText="1"/>
    </xf>
    <xf numFmtId="0" fontId="80" fillId="0" borderId="42" xfId="0" applyFont="1" applyBorder="1" applyAlignment="1">
      <alignment vertical="center" wrapText="1"/>
    </xf>
    <xf numFmtId="0" fontId="88" fillId="0" borderId="0" xfId="0" applyFont="1" applyAlignment="1">
      <alignment horizontal="center"/>
    </xf>
    <xf numFmtId="0" fontId="82" fillId="0" borderId="0" xfId="0" applyFont="1"/>
    <xf numFmtId="0" fontId="88" fillId="0" borderId="6" xfId="0" applyFont="1" applyBorder="1"/>
    <xf numFmtId="0" fontId="88" fillId="0" borderId="39" xfId="0" applyFont="1" applyBorder="1"/>
    <xf numFmtId="0" fontId="88" fillId="0" borderId="7" xfId="0" applyFont="1" applyBorder="1"/>
    <xf numFmtId="0" fontId="88" fillId="0" borderId="0" xfId="0" applyFont="1"/>
    <xf numFmtId="0" fontId="28" fillId="0" borderId="31" xfId="0" applyFont="1" applyBorder="1"/>
    <xf numFmtId="0" fontId="28" fillId="6" borderId="31" xfId="0" applyFont="1" applyFill="1" applyBorder="1"/>
    <xf numFmtId="0" fontId="99" fillId="0" borderId="0" xfId="0" applyFont="1"/>
    <xf numFmtId="0" fontId="96" fillId="0" borderId="0" xfId="0" applyFont="1"/>
    <xf numFmtId="0" fontId="63" fillId="0" borderId="0" xfId="5" applyFont="1"/>
    <xf numFmtId="0" fontId="74" fillId="0" borderId="0" xfId="5" applyFont="1"/>
    <xf numFmtId="1" fontId="74" fillId="0" borderId="0" xfId="5" applyNumberFormat="1" applyFont="1"/>
    <xf numFmtId="1" fontId="0" fillId="0" borderId="29" xfId="0" applyNumberFormat="1" applyBorder="1" applyAlignment="1">
      <alignment horizontal="center"/>
    </xf>
    <xf numFmtId="1" fontId="100" fillId="0" borderId="60" xfId="0" applyNumberFormat="1" applyFont="1" applyBorder="1" applyAlignment="1">
      <alignment horizontal="center"/>
    </xf>
    <xf numFmtId="1" fontId="100" fillId="0" borderId="61" xfId="0" applyNumberFormat="1" applyFont="1" applyBorder="1" applyAlignment="1">
      <alignment horizontal="center"/>
    </xf>
    <xf numFmtId="1" fontId="30" fillId="0" borderId="62" xfId="0" applyNumberFormat="1" applyFont="1" applyBorder="1" applyAlignment="1">
      <alignment horizontal="center"/>
    </xf>
    <xf numFmtId="1" fontId="100" fillId="0" borderId="63" xfId="0" applyNumberFormat="1" applyFont="1" applyBorder="1" applyAlignment="1">
      <alignment horizontal="center"/>
    </xf>
    <xf numFmtId="1" fontId="100" fillId="0" borderId="64" xfId="0" applyNumberFormat="1" applyFont="1" applyBorder="1" applyAlignment="1">
      <alignment horizontal="center"/>
    </xf>
    <xf numFmtId="1" fontId="30" fillId="0" borderId="65" xfId="0" applyNumberFormat="1" applyFont="1" applyBorder="1" applyAlignment="1">
      <alignment horizontal="center"/>
    </xf>
    <xf numFmtId="1" fontId="100" fillId="3" borderId="66" xfId="0" applyNumberFormat="1" applyFont="1" applyFill="1" applyBorder="1" applyAlignment="1">
      <alignment horizontal="center"/>
    </xf>
    <xf numFmtId="1" fontId="100" fillId="3" borderId="67" xfId="0" applyNumberFormat="1" applyFont="1" applyFill="1" applyBorder="1" applyAlignment="1">
      <alignment horizontal="center"/>
    </xf>
    <xf numFmtId="1" fontId="30" fillId="3" borderId="68" xfId="0" applyNumberFormat="1" applyFont="1" applyFill="1" applyBorder="1" applyAlignment="1">
      <alignment horizontal="center"/>
    </xf>
    <xf numFmtId="1" fontId="101" fillId="0" borderId="69" xfId="0" applyNumberFormat="1" applyFont="1" applyBorder="1"/>
    <xf numFmtId="1" fontId="101" fillId="0" borderId="61" xfId="0" applyNumberFormat="1" applyFont="1" applyBorder="1"/>
    <xf numFmtId="1" fontId="101" fillId="0" borderId="62" xfId="0" applyNumberFormat="1" applyFont="1" applyBorder="1"/>
    <xf numFmtId="0" fontId="101" fillId="0" borderId="70" xfId="0" applyFont="1" applyBorder="1"/>
    <xf numFmtId="0" fontId="100" fillId="0" borderId="64" xfId="0" applyFont="1" applyBorder="1"/>
    <xf numFmtId="0" fontId="101" fillId="0" borderId="64" xfId="0" applyFont="1" applyBorder="1"/>
    <xf numFmtId="1" fontId="101" fillId="0" borderId="65" xfId="0" applyNumberFormat="1" applyFont="1" applyBorder="1"/>
    <xf numFmtId="0" fontId="101" fillId="3" borderId="71" xfId="0" applyFont="1" applyFill="1" applyBorder="1" applyAlignment="1">
      <alignment horizontal="right"/>
    </xf>
    <xf numFmtId="0" fontId="101" fillId="3" borderId="67" xfId="0" applyFont="1" applyFill="1" applyBorder="1" applyAlignment="1">
      <alignment horizontal="right"/>
    </xf>
    <xf numFmtId="0" fontId="101" fillId="3" borderId="68" xfId="0" applyFont="1" applyFill="1" applyBorder="1" applyAlignment="1">
      <alignment horizontal="right"/>
    </xf>
    <xf numFmtId="1" fontId="100" fillId="0" borderId="60" xfId="0" applyNumberFormat="1" applyFont="1" applyBorder="1" applyAlignment="1">
      <alignment horizontal="right"/>
    </xf>
    <xf numFmtId="1" fontId="100" fillId="0" borderId="61" xfId="0" applyNumberFormat="1" applyFont="1" applyBorder="1" applyAlignment="1">
      <alignment horizontal="right"/>
    </xf>
    <xf numFmtId="1" fontId="100" fillId="0" borderId="62" xfId="0" applyNumberFormat="1" applyFont="1" applyBorder="1" applyAlignment="1">
      <alignment horizontal="right"/>
    </xf>
    <xf numFmtId="1" fontId="100" fillId="0" borderId="63" xfId="0" applyNumberFormat="1" applyFont="1" applyBorder="1" applyAlignment="1">
      <alignment horizontal="right"/>
    </xf>
    <xf numFmtId="1" fontId="100" fillId="0" borderId="64" xfId="0" applyNumberFormat="1" applyFont="1" applyBorder="1" applyAlignment="1">
      <alignment horizontal="right"/>
    </xf>
    <xf numFmtId="1" fontId="100" fillId="0" borderId="65" xfId="0" applyNumberFormat="1" applyFont="1" applyBorder="1" applyAlignment="1">
      <alignment horizontal="right"/>
    </xf>
    <xf numFmtId="1" fontId="100" fillId="3" borderId="66" xfId="0" applyNumberFormat="1" applyFont="1" applyFill="1" applyBorder="1" applyAlignment="1">
      <alignment horizontal="right"/>
    </xf>
    <xf numFmtId="1" fontId="100" fillId="3" borderId="67" xfId="0" applyNumberFormat="1" applyFont="1" applyFill="1" applyBorder="1" applyAlignment="1">
      <alignment horizontal="right"/>
    </xf>
    <xf numFmtId="1" fontId="100" fillId="3" borderId="68" xfId="0" applyNumberFormat="1" applyFont="1" applyFill="1" applyBorder="1" applyAlignment="1">
      <alignment horizontal="right"/>
    </xf>
    <xf numFmtId="0" fontId="101" fillId="0" borderId="71" xfId="0" applyFont="1" applyBorder="1" applyAlignment="1">
      <alignment horizontal="right"/>
    </xf>
    <xf numFmtId="0" fontId="101" fillId="0" borderId="67" xfId="0" applyFont="1" applyBorder="1" applyAlignment="1">
      <alignment horizontal="right"/>
    </xf>
    <xf numFmtId="0" fontId="101" fillId="0" borderId="68" xfId="0" applyFont="1" applyBorder="1" applyAlignment="1">
      <alignment horizontal="right"/>
    </xf>
    <xf numFmtId="0" fontId="0" fillId="0" borderId="0" xfId="0" applyAlignment="1">
      <alignment wrapText="1"/>
    </xf>
    <xf numFmtId="0" fontId="13" fillId="0" borderId="0" xfId="0" applyFont="1" applyAlignment="1">
      <alignment wrapText="1"/>
    </xf>
    <xf numFmtId="0" fontId="0" fillId="0" borderId="0" xfId="0" applyAlignment="1">
      <alignment horizontal="center"/>
    </xf>
    <xf numFmtId="1" fontId="23" fillId="0" borderId="0" xfId="0" applyNumberFormat="1" applyFont="1" applyAlignment="1">
      <alignment horizontal="center"/>
    </xf>
    <xf numFmtId="1" fontId="48" fillId="0" borderId="0" xfId="0" applyNumberFormat="1" applyFont="1" applyAlignment="1">
      <alignment horizontal="center"/>
    </xf>
    <xf numFmtId="1" fontId="23" fillId="0" borderId="0" xfId="0" applyNumberFormat="1" applyFont="1" applyAlignment="1">
      <alignment horizontal="right" indent="1"/>
    </xf>
    <xf numFmtId="0" fontId="46" fillId="0" borderId="0" xfId="0" applyFont="1"/>
    <xf numFmtId="9" fontId="13" fillId="0" borderId="0" xfId="6" applyFont="1" applyFill="1" applyBorder="1"/>
    <xf numFmtId="0" fontId="102" fillId="0" borderId="0" xfId="0" applyFont="1" applyAlignment="1">
      <alignment horizontal="center" wrapText="1"/>
    </xf>
    <xf numFmtId="1" fontId="76" fillId="0" borderId="0" xfId="0" applyNumberFormat="1" applyFont="1" applyAlignment="1">
      <alignment horizontal="center"/>
    </xf>
    <xf numFmtId="1" fontId="6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76" fillId="0" borderId="0" xfId="0" applyFont="1"/>
    <xf numFmtId="168" fontId="0" fillId="0" borderId="0" xfId="0" applyNumberFormat="1" applyAlignment="1">
      <alignment horizontal="center"/>
    </xf>
    <xf numFmtId="3" fontId="0" fillId="0" borderId="0" xfId="0" applyNumberFormat="1"/>
    <xf numFmtId="2" fontId="0" fillId="0" borderId="0" xfId="0" applyNumberFormat="1" applyAlignment="1">
      <alignment horizontal="center"/>
    </xf>
    <xf numFmtId="0" fontId="104" fillId="0" borderId="72" xfId="0" applyFont="1" applyBorder="1" applyAlignment="1">
      <alignment horizontal="right"/>
    </xf>
    <xf numFmtId="0" fontId="104" fillId="0" borderId="73" xfId="0" applyFont="1" applyBorder="1" applyAlignment="1">
      <alignment horizontal="right"/>
    </xf>
    <xf numFmtId="0" fontId="105" fillId="0" borderId="0" xfId="0" applyFont="1" applyAlignment="1">
      <alignment horizontal="right"/>
    </xf>
    <xf numFmtId="0" fontId="106" fillId="0" borderId="0" xfId="0" applyFont="1" applyAlignment="1">
      <alignment horizontal="left"/>
    </xf>
    <xf numFmtId="0" fontId="105" fillId="0" borderId="31" xfId="0" applyFont="1" applyBorder="1" applyAlignment="1">
      <alignment horizontal="right"/>
    </xf>
    <xf numFmtId="0" fontId="105" fillId="0" borderId="57" xfId="0" applyFont="1" applyBorder="1" applyAlignment="1">
      <alignment horizontal="right"/>
    </xf>
    <xf numFmtId="1" fontId="13" fillId="0" borderId="0" xfId="8" applyNumberFormat="1" applyFont="1" applyAlignment="1">
      <alignment horizontal="right"/>
    </xf>
    <xf numFmtId="2" fontId="13" fillId="0" borderId="0" xfId="8" applyNumberFormat="1" applyFont="1"/>
    <xf numFmtId="1" fontId="109" fillId="0" borderId="0" xfId="8" applyNumberFormat="1" applyFont="1" applyAlignment="1">
      <alignment horizontal="center"/>
    </xf>
    <xf numFmtId="167" fontId="13" fillId="0" borderId="0" xfId="8" applyNumberFormat="1" applyFont="1" applyAlignment="1">
      <alignment horizontal="center"/>
    </xf>
    <xf numFmtId="1" fontId="13" fillId="0" borderId="0" xfId="8" applyNumberFormat="1" applyFont="1"/>
    <xf numFmtId="1" fontId="15" fillId="0" borderId="0" xfId="0" applyNumberFormat="1" applyFont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9" fontId="13" fillId="0" borderId="0" xfId="6" applyFont="1" applyFill="1" applyAlignment="1">
      <alignment horizontal="center"/>
    </xf>
    <xf numFmtId="1" fontId="15" fillId="0" borderId="9" xfId="0" applyNumberFormat="1" applyFont="1" applyBorder="1" applyAlignment="1">
      <alignment horizontal="center"/>
    </xf>
    <xf numFmtId="0" fontId="13" fillId="0" borderId="82" xfId="0" applyFont="1" applyBorder="1"/>
    <xf numFmtId="0" fontId="13" fillId="0" borderId="24" xfId="0" applyFont="1" applyBorder="1"/>
    <xf numFmtId="0" fontId="13" fillId="0" borderId="83" xfId="0" applyFont="1" applyBorder="1"/>
    <xf numFmtId="0" fontId="110" fillId="0" borderId="0" xfId="0" applyFont="1" applyAlignment="1">
      <alignment horizontal="center" readingOrder="1"/>
    </xf>
    <xf numFmtId="0" fontId="77" fillId="0" borderId="0" xfId="0" applyFont="1"/>
    <xf numFmtId="0" fontId="56" fillId="0" borderId="0" xfId="0" applyFont="1"/>
    <xf numFmtId="1" fontId="77" fillId="0" borderId="0" xfId="0" applyNumberFormat="1" applyFont="1"/>
    <xf numFmtId="1" fontId="0" fillId="0" borderId="0" xfId="0" applyNumberFormat="1" applyAlignment="1">
      <alignment horizontal="right"/>
    </xf>
    <xf numFmtId="1" fontId="56" fillId="0" borderId="0" xfId="0" applyNumberFormat="1" applyFont="1" applyAlignment="1">
      <alignment horizontal="center"/>
    </xf>
    <xf numFmtId="0" fontId="15" fillId="0" borderId="17" xfId="7" applyFont="1" applyBorder="1"/>
    <xf numFmtId="0" fontId="15" fillId="0" borderId="15" xfId="7" applyFont="1" applyBorder="1"/>
    <xf numFmtId="0" fontId="15" fillId="0" borderId="12" xfId="7" applyFont="1" applyBorder="1"/>
    <xf numFmtId="1" fontId="15" fillId="0" borderId="11" xfId="7" applyNumberFormat="1" applyFont="1" applyBorder="1"/>
    <xf numFmtId="1" fontId="62" fillId="0" borderId="0" xfId="3" applyNumberFormat="1" applyFont="1"/>
    <xf numFmtId="0" fontId="28" fillId="10" borderId="0" xfId="0" applyFont="1" applyFill="1"/>
    <xf numFmtId="1" fontId="24" fillId="10" borderId="5" xfId="8" applyNumberFormat="1" applyFont="1" applyFill="1" applyBorder="1" applyAlignment="1">
      <alignment horizontal="left"/>
    </xf>
    <xf numFmtId="1" fontId="24" fillId="10" borderId="9" xfId="8" applyNumberFormat="1" applyFont="1" applyFill="1" applyBorder="1" applyAlignment="1">
      <alignment horizontal="left"/>
    </xf>
    <xf numFmtId="0" fontId="105" fillId="0" borderId="81" xfId="0" applyFont="1" applyBorder="1" applyAlignment="1">
      <alignment horizontal="right"/>
    </xf>
    <xf numFmtId="0" fontId="105" fillId="0" borderId="80" xfId="0" applyFont="1" applyBorder="1" applyAlignment="1">
      <alignment horizontal="right"/>
    </xf>
    <xf numFmtId="0" fontId="105" fillId="0" borderId="6" xfId="0" applyFont="1" applyBorder="1" applyAlignment="1">
      <alignment horizontal="right"/>
    </xf>
    <xf numFmtId="0" fontId="105" fillId="0" borderId="77" xfId="0" applyFont="1" applyBorder="1" applyAlignment="1">
      <alignment horizontal="right"/>
    </xf>
    <xf numFmtId="0" fontId="105" fillId="0" borderId="74" xfId="0" applyFont="1" applyBorder="1" applyAlignment="1">
      <alignment horizontal="right"/>
    </xf>
    <xf numFmtId="0" fontId="105" fillId="0" borderId="78" xfId="0" applyFont="1" applyBorder="1" applyAlignment="1">
      <alignment horizontal="right"/>
    </xf>
    <xf numFmtId="0" fontId="104" fillId="0" borderId="79" xfId="0" applyFont="1" applyBorder="1" applyAlignment="1">
      <alignment horizontal="center" wrapText="1"/>
    </xf>
    <xf numFmtId="0" fontId="104" fillId="0" borderId="76" xfId="0" applyFont="1" applyBorder="1" applyAlignment="1">
      <alignment horizontal="center" wrapText="1"/>
    </xf>
    <xf numFmtId="0" fontId="104" fillId="0" borderId="75" xfId="0" applyFont="1" applyBorder="1" applyAlignment="1">
      <alignment horizontal="center" wrapText="1"/>
    </xf>
    <xf numFmtId="0" fontId="104" fillId="0" borderId="40" xfId="0" applyFont="1" applyBorder="1" applyAlignment="1">
      <alignment horizontal="center"/>
    </xf>
    <xf numFmtId="0" fontId="104" fillId="0" borderId="41" xfId="0" applyFont="1" applyBorder="1" applyAlignment="1">
      <alignment horizontal="center"/>
    </xf>
    <xf numFmtId="0" fontId="104" fillId="0" borderId="42" xfId="0" applyFont="1" applyBorder="1" applyAlignment="1">
      <alignment horizontal="center"/>
    </xf>
    <xf numFmtId="9" fontId="32" fillId="0" borderId="0" xfId="6" applyFont="1" applyFill="1" applyBorder="1" applyAlignment="1">
      <alignment horizontal="center"/>
    </xf>
    <xf numFmtId="173" fontId="79" fillId="0" borderId="49" xfId="1" applyNumberFormat="1" applyFont="1" applyFill="1" applyBorder="1"/>
    <xf numFmtId="173" fontId="79" fillId="0" borderId="21" xfId="1" applyNumberFormat="1" applyFont="1" applyFill="1" applyBorder="1"/>
    <xf numFmtId="173" fontId="79" fillId="0" borderId="50" xfId="1" applyNumberFormat="1" applyFont="1" applyFill="1" applyBorder="1"/>
    <xf numFmtId="174" fontId="13" fillId="0" borderId="0" xfId="0" applyNumberFormat="1" applyFont="1"/>
    <xf numFmtId="0" fontId="105" fillId="0" borderId="84" xfId="0" applyFont="1" applyBorder="1" applyAlignment="1">
      <alignment horizontal="right"/>
    </xf>
    <xf numFmtId="0" fontId="105" fillId="0" borderId="39" xfId="0" applyFont="1" applyBorder="1" applyAlignment="1">
      <alignment horizontal="right"/>
    </xf>
    <xf numFmtId="0" fontId="105" fillId="0" borderId="0" xfId="0" applyFont="1" applyAlignment="1">
      <alignment horizontal="left"/>
    </xf>
    <xf numFmtId="0" fontId="104" fillId="0" borderId="0" xfId="0" applyFont="1" applyAlignment="1">
      <alignment horizontal="right"/>
    </xf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/>
    </xf>
    <xf numFmtId="1" fontId="76" fillId="0" borderId="0" xfId="0" applyNumberFormat="1" applyFont="1" applyAlignment="1">
      <alignment horizontal="center" vertical="center" wrapText="1"/>
    </xf>
    <xf numFmtId="0" fontId="76" fillId="0" borderId="0" xfId="0" applyFont="1" applyAlignment="1">
      <alignment horizontal="center" vertical="center" wrapText="1"/>
    </xf>
    <xf numFmtId="0" fontId="1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76" fillId="0" borderId="0" xfId="0" applyNumberFormat="1" applyFont="1" applyAlignment="1">
      <alignment horizontal="center" vertical="center"/>
    </xf>
    <xf numFmtId="0" fontId="116" fillId="0" borderId="0" xfId="0" applyFont="1" applyAlignment="1">
      <alignment wrapText="1"/>
    </xf>
    <xf numFmtId="1" fontId="117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113" fillId="0" borderId="0" xfId="0" applyNumberFormat="1" applyFont="1" applyAlignment="1">
      <alignment horizontal="center" vertical="center"/>
    </xf>
    <xf numFmtId="0" fontId="115" fillId="0" borderId="19" xfId="0" applyFont="1" applyBorder="1"/>
    <xf numFmtId="1" fontId="115" fillId="0" borderId="0" xfId="0" applyNumberFormat="1" applyFont="1"/>
    <xf numFmtId="0" fontId="77" fillId="0" borderId="85" xfId="0" applyFont="1" applyBorder="1"/>
    <xf numFmtId="0" fontId="77" fillId="0" borderId="20" xfId="0" applyFont="1" applyBorder="1"/>
    <xf numFmtId="1" fontId="77" fillId="0" borderId="20" xfId="0" applyNumberFormat="1" applyFont="1" applyBorder="1"/>
    <xf numFmtId="0" fontId="83" fillId="0" borderId="86" xfId="0" applyFont="1" applyBorder="1"/>
    <xf numFmtId="0" fontId="83" fillId="0" borderId="87" xfId="0" applyFont="1" applyBorder="1"/>
    <xf numFmtId="0" fontId="13" fillId="10" borderId="0" xfId="0" applyFont="1" applyFill="1"/>
    <xf numFmtId="172" fontId="108" fillId="0" borderId="0" xfId="1" applyNumberFormat="1" applyFont="1" applyFill="1" applyBorder="1" applyAlignment="1"/>
    <xf numFmtId="1" fontId="100" fillId="0" borderId="62" xfId="0" applyNumberFormat="1" applyFont="1" applyBorder="1" applyAlignment="1">
      <alignment horizontal="center"/>
    </xf>
    <xf numFmtId="1" fontId="100" fillId="0" borderId="65" xfId="0" applyNumberFormat="1" applyFont="1" applyBorder="1" applyAlignment="1">
      <alignment horizontal="center"/>
    </xf>
    <xf numFmtId="1" fontId="100" fillId="3" borderId="68" xfId="0" applyNumberFormat="1" applyFont="1" applyFill="1" applyBorder="1" applyAlignment="1">
      <alignment horizontal="center"/>
    </xf>
    <xf numFmtId="1" fontId="79" fillId="0" borderId="28" xfId="0" applyNumberFormat="1" applyFont="1" applyBorder="1" applyAlignment="1">
      <alignment horizontal="center"/>
    </xf>
    <xf numFmtId="1" fontId="79" fillId="0" borderId="29" xfId="0" applyNumberFormat="1" applyFont="1" applyBorder="1" applyAlignment="1">
      <alignment horizontal="center"/>
    </xf>
    <xf numFmtId="1" fontId="79" fillId="0" borderId="43" xfId="0" applyNumberFormat="1" applyFont="1" applyBorder="1" applyAlignment="1">
      <alignment horizontal="center"/>
    </xf>
    <xf numFmtId="0" fontId="28" fillId="5" borderId="0" xfId="0" applyFont="1" applyFill="1" applyProtection="1">
      <protection locked="0"/>
    </xf>
    <xf numFmtId="0" fontId="12" fillId="10" borderId="0" xfId="0" applyFont="1" applyFill="1"/>
    <xf numFmtId="1" fontId="13" fillId="11" borderId="0" xfId="0" applyNumberFormat="1" applyFont="1" applyFill="1"/>
    <xf numFmtId="1" fontId="13" fillId="11" borderId="10" xfId="0" applyNumberFormat="1" applyFont="1" applyFill="1" applyBorder="1"/>
    <xf numFmtId="0" fontId="15" fillId="0" borderId="5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13" fillId="12" borderId="0" xfId="0" applyFont="1" applyFill="1"/>
    <xf numFmtId="0" fontId="47" fillId="12" borderId="0" xfId="0" applyFont="1" applyFill="1" applyAlignment="1">
      <alignment horizontal="center" vertical="center" wrapText="1"/>
    </xf>
    <xf numFmtId="0" fontId="47" fillId="12" borderId="0" xfId="0" applyFont="1" applyFill="1" applyAlignment="1">
      <alignment vertical="center"/>
    </xf>
    <xf numFmtId="0" fontId="47" fillId="12" borderId="0" xfId="0" applyFont="1" applyFill="1" applyAlignment="1">
      <alignment vertical="center" wrapText="1"/>
    </xf>
    <xf numFmtId="0" fontId="82" fillId="12" borderId="0" xfId="0" applyFont="1" applyFill="1" applyAlignment="1">
      <alignment vertical="center" wrapText="1"/>
    </xf>
    <xf numFmtId="0" fontId="119" fillId="12" borderId="0" xfId="0" applyFont="1" applyFill="1"/>
    <xf numFmtId="0" fontId="31" fillId="12" borderId="0" xfId="0" applyFont="1" applyFill="1"/>
    <xf numFmtId="1" fontId="119" fillId="12" borderId="0" xfId="0" applyNumberFormat="1" applyFont="1" applyFill="1"/>
    <xf numFmtId="0" fontId="91" fillId="12" borderId="0" xfId="0" applyFont="1" applyFill="1"/>
    <xf numFmtId="0" fontId="78" fillId="3" borderId="56" xfId="0" applyFont="1" applyFill="1" applyBorder="1"/>
    <xf numFmtId="1" fontId="56" fillId="0" borderId="89" xfId="0" applyNumberFormat="1" applyFont="1" applyBorder="1" applyAlignment="1">
      <alignment horizontal="center"/>
    </xf>
    <xf numFmtId="169" fontId="13" fillId="0" borderId="0" xfId="0" applyNumberFormat="1" applyFont="1" applyAlignment="1">
      <alignment horizontal="center"/>
    </xf>
    <xf numFmtId="1" fontId="13" fillId="10" borderId="0" xfId="0" applyNumberFormat="1" applyFont="1" applyFill="1"/>
    <xf numFmtId="0" fontId="115" fillId="0" borderId="92" xfId="0" applyFont="1" applyBorder="1"/>
    <xf numFmtId="0" fontId="13" fillId="10" borderId="0" xfId="0" applyFont="1" applyFill="1" applyAlignment="1">
      <alignment wrapText="1"/>
    </xf>
    <xf numFmtId="1" fontId="13" fillId="10" borderId="0" xfId="0" applyNumberFormat="1" applyFont="1" applyFill="1" applyAlignment="1">
      <alignment horizontal="center"/>
    </xf>
    <xf numFmtId="0" fontId="81" fillId="0" borderId="18" xfId="0" applyFont="1" applyBorder="1"/>
    <xf numFmtId="0" fontId="81" fillId="0" borderId="29" xfId="0" applyFont="1" applyBorder="1"/>
    <xf numFmtId="0" fontId="13" fillId="0" borderId="29" xfId="0" applyFont="1" applyBorder="1"/>
    <xf numFmtId="0" fontId="81" fillId="0" borderId="43" xfId="0" applyFont="1" applyBorder="1"/>
    <xf numFmtId="0" fontId="23" fillId="0" borderId="33" xfId="0" applyFont="1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81" fillId="0" borderId="28" xfId="0" applyFont="1" applyBorder="1"/>
    <xf numFmtId="0" fontId="81" fillId="0" borderId="29" xfId="0" applyFont="1" applyBorder="1" applyAlignment="1">
      <alignment horizontal="center"/>
    </xf>
    <xf numFmtId="0" fontId="81" fillId="0" borderId="43" xfId="0" applyFont="1" applyBorder="1" applyAlignment="1">
      <alignment horizontal="center"/>
    </xf>
    <xf numFmtId="0" fontId="15" fillId="0" borderId="88" xfId="0" applyFont="1" applyBorder="1" applyAlignment="1">
      <alignment horizontal="center"/>
    </xf>
    <xf numFmtId="172" fontId="15" fillId="0" borderId="94" xfId="0" applyNumberFormat="1" applyFont="1" applyBorder="1" applyAlignment="1">
      <alignment horizontal="center"/>
    </xf>
    <xf numFmtId="0" fontId="102" fillId="0" borderId="9" xfId="0" applyFont="1" applyBorder="1" applyAlignment="1">
      <alignment vertical="center"/>
    </xf>
    <xf numFmtId="0" fontId="102" fillId="0" borderId="17" xfId="0" applyFont="1" applyBorder="1" applyAlignment="1">
      <alignment vertical="center"/>
    </xf>
    <xf numFmtId="0" fontId="102" fillId="0" borderId="9" xfId="0" applyFont="1" applyBorder="1" applyAlignment="1">
      <alignment horizontal="center" vertical="center"/>
    </xf>
    <xf numFmtId="0" fontId="108" fillId="0" borderId="0" xfId="0" applyFont="1"/>
    <xf numFmtId="167" fontId="128" fillId="0" borderId="0" xfId="0" applyNumberFormat="1" applyFont="1" applyProtection="1">
      <protection locked="0"/>
    </xf>
    <xf numFmtId="0" fontId="102" fillId="0" borderId="9" xfId="0" applyFont="1" applyBorder="1"/>
    <xf numFmtId="0" fontId="102" fillId="0" borderId="15" xfId="0" applyFont="1" applyBorder="1"/>
    <xf numFmtId="0" fontId="102" fillId="0" borderId="17" xfId="0" applyFont="1" applyBorder="1"/>
    <xf numFmtId="0" fontId="13" fillId="0" borderId="8" xfId="0" applyFont="1" applyBorder="1"/>
    <xf numFmtId="0" fontId="13" fillId="0" borderId="90" xfId="0" applyFont="1" applyBorder="1"/>
    <xf numFmtId="0" fontId="13" fillId="0" borderId="91" xfId="0" applyFont="1" applyBorder="1"/>
    <xf numFmtId="1" fontId="79" fillId="0" borderId="35" xfId="0" applyNumberFormat="1" applyFont="1" applyBorder="1"/>
    <xf numFmtId="0" fontId="35" fillId="0" borderId="0" xfId="5" applyFont="1"/>
    <xf numFmtId="0" fontId="102" fillId="0" borderId="17" xfId="0" applyFont="1" applyBorder="1" applyAlignment="1">
      <alignment horizontal="center" vertical="center"/>
    </xf>
    <xf numFmtId="167" fontId="128" fillId="0" borderId="0" xfId="0" applyNumberFormat="1" applyFont="1" applyAlignment="1" applyProtection="1">
      <alignment horizontal="center"/>
      <protection locked="0"/>
    </xf>
    <xf numFmtId="0" fontId="67" fillId="0" borderId="0" xfId="0" applyFont="1" applyAlignment="1">
      <alignment horizontal="center"/>
    </xf>
    <xf numFmtId="0" fontId="98" fillId="0" borderId="0" xfId="0" applyFont="1" applyAlignment="1">
      <alignment horizontal="center"/>
    </xf>
    <xf numFmtId="1" fontId="15" fillId="0" borderId="11" xfId="0" applyNumberFormat="1" applyFont="1" applyBorder="1" applyAlignment="1">
      <alignment horizontal="center"/>
    </xf>
    <xf numFmtId="0" fontId="134" fillId="0" borderId="0" xfId="0" applyFont="1"/>
    <xf numFmtId="0" fontId="0" fillId="0" borderId="6" xfId="0" applyBorder="1"/>
    <xf numFmtId="0" fontId="0" fillId="0" borderId="39" xfId="0" applyBorder="1"/>
    <xf numFmtId="0" fontId="0" fillId="0" borderId="7" xfId="0" applyBorder="1"/>
    <xf numFmtId="0" fontId="0" fillId="0" borderId="18" xfId="0" applyBorder="1"/>
    <xf numFmtId="1" fontId="0" fillId="0" borderId="56" xfId="0" applyNumberFormat="1" applyBorder="1"/>
    <xf numFmtId="1" fontId="0" fillId="0" borderId="13" xfId="0" applyNumberFormat="1" applyBorder="1"/>
    <xf numFmtId="0" fontId="0" fillId="0" borderId="0" xfId="0" applyAlignment="1">
      <alignment horizontal="right"/>
    </xf>
    <xf numFmtId="1" fontId="30" fillId="0" borderId="62" xfId="0" applyNumberFormat="1" applyFont="1" applyBorder="1" applyAlignment="1">
      <alignment horizontal="right"/>
    </xf>
    <xf numFmtId="0" fontId="78" fillId="0" borderId="0" xfId="0" applyFont="1" applyAlignment="1">
      <alignment horizontal="right"/>
    </xf>
    <xf numFmtId="1" fontId="30" fillId="0" borderId="65" xfId="0" applyNumberFormat="1" applyFont="1" applyBorder="1" applyAlignment="1">
      <alignment horizontal="right"/>
    </xf>
    <xf numFmtId="1" fontId="30" fillId="3" borderId="68" xfId="0" applyNumberFormat="1" applyFont="1" applyFill="1" applyBorder="1" applyAlignment="1">
      <alignment horizontal="right"/>
    </xf>
    <xf numFmtId="1" fontId="100" fillId="0" borderId="69" xfId="0" applyNumberFormat="1" applyFont="1" applyBorder="1"/>
    <xf numFmtId="1" fontId="100" fillId="0" borderId="61" xfId="0" applyNumberFormat="1" applyFont="1" applyBorder="1"/>
    <xf numFmtId="1" fontId="100" fillId="0" borderId="62" xfId="0" applyNumberFormat="1" applyFont="1" applyBorder="1"/>
    <xf numFmtId="0" fontId="100" fillId="0" borderId="70" xfId="0" applyFont="1" applyBorder="1"/>
    <xf numFmtId="1" fontId="100" fillId="0" borderId="65" xfId="0" applyNumberFormat="1" applyFont="1" applyBorder="1"/>
    <xf numFmtId="0" fontId="100" fillId="3" borderId="71" xfId="0" applyFont="1" applyFill="1" applyBorder="1" applyAlignment="1">
      <alignment horizontal="right"/>
    </xf>
    <xf numFmtId="0" fontId="100" fillId="3" borderId="67" xfId="0" applyFont="1" applyFill="1" applyBorder="1" applyAlignment="1">
      <alignment horizontal="right"/>
    </xf>
    <xf numFmtId="0" fontId="100" fillId="3" borderId="68" xfId="0" applyFont="1" applyFill="1" applyBorder="1" applyAlignment="1">
      <alignment horizontal="right"/>
    </xf>
    <xf numFmtId="1" fontId="30" fillId="0" borderId="69" xfId="0" applyNumberFormat="1" applyFont="1" applyBorder="1"/>
    <xf numFmtId="1" fontId="30" fillId="0" borderId="61" xfId="0" applyNumberFormat="1" applyFont="1" applyBorder="1"/>
    <xf numFmtId="1" fontId="30" fillId="0" borderId="62" xfId="0" applyNumberFormat="1" applyFont="1" applyBorder="1"/>
    <xf numFmtId="0" fontId="107" fillId="0" borderId="96" xfId="0" applyFont="1" applyBorder="1"/>
    <xf numFmtId="0" fontId="107" fillId="0" borderId="97" xfId="0" applyFont="1" applyBorder="1"/>
    <xf numFmtId="0" fontId="107" fillId="0" borderId="98" xfId="0" applyFont="1" applyBorder="1"/>
    <xf numFmtId="0" fontId="0" fillId="0" borderId="99" xfId="0" applyBorder="1" applyAlignment="1">
      <alignment horizontal="center"/>
    </xf>
    <xf numFmtId="2" fontId="0" fillId="0" borderId="21" xfId="0" applyNumberFormat="1" applyBorder="1" applyAlignment="1">
      <alignment horizontal="center"/>
    </xf>
    <xf numFmtId="2" fontId="0" fillId="0" borderId="100" xfId="0" applyNumberFormat="1" applyBorder="1" applyAlignment="1">
      <alignment horizontal="center"/>
    </xf>
    <xf numFmtId="2" fontId="113" fillId="0" borderId="21" xfId="0" applyNumberFormat="1" applyFont="1" applyBorder="1" applyAlignment="1">
      <alignment horizontal="center"/>
    </xf>
    <xf numFmtId="2" fontId="113" fillId="0" borderId="100" xfId="0" applyNumberFormat="1" applyFont="1" applyBorder="1" applyAlignment="1">
      <alignment horizontal="center"/>
    </xf>
    <xf numFmtId="0" fontId="107" fillId="0" borderId="102" xfId="0" applyFont="1" applyBorder="1"/>
    <xf numFmtId="2" fontId="0" fillId="0" borderId="88" xfId="0" applyNumberFormat="1" applyBorder="1" applyAlignment="1">
      <alignment horizontal="center"/>
    </xf>
    <xf numFmtId="17" fontId="76" fillId="0" borderId="0" xfId="0" applyNumberFormat="1" applyFont="1"/>
    <xf numFmtId="0" fontId="0" fillId="0" borderId="10" xfId="0" applyBorder="1"/>
    <xf numFmtId="0" fontId="0" fillId="0" borderId="55" xfId="0" applyBorder="1"/>
    <xf numFmtId="0" fontId="0" fillId="0" borderId="13" xfId="0" applyBorder="1"/>
    <xf numFmtId="0" fontId="0" fillId="0" borderId="56" xfId="0" applyBorder="1"/>
    <xf numFmtId="0" fontId="0" fillId="0" borderId="103" xfId="0" applyBorder="1"/>
    <xf numFmtId="1" fontId="0" fillId="0" borderId="31" xfId="0" applyNumberFormat="1" applyBorder="1"/>
    <xf numFmtId="1" fontId="0" fillId="0" borderId="57" xfId="0" applyNumberFormat="1" applyBorder="1"/>
    <xf numFmtId="1" fontId="0" fillId="0" borderId="103" xfId="0" applyNumberFormat="1" applyBorder="1"/>
    <xf numFmtId="0" fontId="136" fillId="0" borderId="0" xfId="0" applyFont="1"/>
    <xf numFmtId="0" fontId="14" fillId="0" borderId="0" xfId="0" applyFont="1"/>
    <xf numFmtId="167" fontId="13" fillId="6" borderId="0" xfId="0" applyNumberFormat="1" applyFont="1" applyFill="1"/>
    <xf numFmtId="2" fontId="77" fillId="0" borderId="33" xfId="0" applyNumberFormat="1" applyFont="1" applyBorder="1"/>
    <xf numFmtId="2" fontId="77" fillId="0" borderId="104" xfId="0" applyNumberFormat="1" applyFont="1" applyBorder="1"/>
    <xf numFmtId="2" fontId="77" fillId="0" borderId="25" xfId="0" applyNumberFormat="1" applyFont="1" applyBorder="1"/>
    <xf numFmtId="0" fontId="78" fillId="0" borderId="49" xfId="0" applyFont="1" applyBorder="1"/>
    <xf numFmtId="0" fontId="78" fillId="0" borderId="105" xfId="0" applyFont="1" applyBorder="1"/>
    <xf numFmtId="2" fontId="78" fillId="0" borderId="105" xfId="0" applyNumberFormat="1" applyFont="1" applyBorder="1"/>
    <xf numFmtId="0" fontId="78" fillId="0" borderId="21" xfId="0" applyFont="1" applyBorder="1"/>
    <xf numFmtId="2" fontId="0" fillId="0" borderId="33" xfId="0" applyNumberFormat="1" applyBorder="1"/>
    <xf numFmtId="2" fontId="83" fillId="0" borderId="104" xfId="0" applyNumberFormat="1" applyFont="1" applyBorder="1"/>
    <xf numFmtId="2" fontId="83" fillId="0" borderId="25" xfId="0" applyNumberFormat="1" applyFont="1" applyBorder="1"/>
    <xf numFmtId="2" fontId="0" fillId="0" borderId="25" xfId="0" applyNumberFormat="1" applyBorder="1"/>
    <xf numFmtId="2" fontId="0" fillId="0" borderId="49" xfId="0" applyNumberFormat="1" applyBorder="1"/>
    <xf numFmtId="2" fontId="83" fillId="0" borderId="105" xfId="0" applyNumberFormat="1" applyFont="1" applyBorder="1"/>
    <xf numFmtId="2" fontId="83" fillId="0" borderId="21" xfId="0" applyNumberFormat="1" applyFont="1" applyBorder="1"/>
    <xf numFmtId="2" fontId="0" fillId="0" borderId="21" xfId="0" applyNumberFormat="1" applyBorder="1"/>
    <xf numFmtId="2" fontId="78" fillId="0" borderId="25" xfId="0" applyNumberFormat="1" applyFont="1" applyBorder="1"/>
    <xf numFmtId="0" fontId="13" fillId="14" borderId="0" xfId="0" applyFont="1" applyFill="1"/>
    <xf numFmtId="9" fontId="74" fillId="0" borderId="0" xfId="6" applyFont="1" applyFill="1" applyAlignment="1">
      <alignment horizontal="center"/>
    </xf>
    <xf numFmtId="9" fontId="120" fillId="0" borderId="0" xfId="6" applyFont="1" applyFill="1" applyBorder="1" applyAlignment="1">
      <alignment horizontal="center"/>
    </xf>
    <xf numFmtId="1" fontId="28" fillId="5" borderId="13" xfId="0" applyNumberFormat="1" applyFont="1" applyFill="1" applyBorder="1" applyProtection="1">
      <protection locked="0"/>
    </xf>
    <xf numFmtId="1" fontId="15" fillId="0" borderId="0" xfId="0" applyNumberFormat="1" applyFont="1" applyAlignment="1">
      <alignment horizontal="center" vertical="center" wrapText="1"/>
    </xf>
    <xf numFmtId="0" fontId="28" fillId="3" borderId="0" xfId="0" applyFont="1" applyFill="1"/>
    <xf numFmtId="168" fontId="28" fillId="4" borderId="0" xfId="0" applyNumberFormat="1" applyFont="1" applyFill="1"/>
    <xf numFmtId="167" fontId="28" fillId="4" borderId="0" xfId="0" applyNumberFormat="1" applyFont="1" applyFill="1"/>
    <xf numFmtId="9" fontId="28" fillId="5" borderId="0" xfId="0" applyNumberFormat="1" applyFont="1" applyFill="1" applyProtection="1">
      <protection locked="0"/>
    </xf>
    <xf numFmtId="9" fontId="28" fillId="3" borderId="0" xfId="6" applyFont="1" applyFill="1" applyProtection="1"/>
    <xf numFmtId="9" fontId="88" fillId="3" borderId="0" xfId="6" applyFont="1" applyFill="1" applyProtection="1"/>
    <xf numFmtId="9" fontId="88" fillId="53" borderId="0" xfId="6" applyFont="1" applyFill="1" applyProtection="1"/>
    <xf numFmtId="0" fontId="28" fillId="5" borderId="0" xfId="0" applyFont="1" applyFill="1" applyAlignment="1" applyProtection="1">
      <alignment horizontal="right"/>
      <protection locked="0"/>
    </xf>
    <xf numFmtId="1" fontId="108" fillId="0" borderId="0" xfId="0" applyNumberFormat="1" applyFont="1" applyAlignment="1">
      <alignment horizontal="center"/>
    </xf>
    <xf numFmtId="1" fontId="108" fillId="0" borderId="0" xfId="0" applyNumberFormat="1" applyFont="1"/>
    <xf numFmtId="1" fontId="102" fillId="0" borderId="0" xfId="0" applyNumberFormat="1" applyFont="1" applyAlignment="1">
      <alignment horizontal="center"/>
    </xf>
    <xf numFmtId="9" fontId="129" fillId="0" borderId="0" xfId="6" applyFont="1" applyFill="1" applyAlignment="1">
      <alignment horizontal="center"/>
    </xf>
    <xf numFmtId="172" fontId="102" fillId="0" borderId="0" xfId="0" applyNumberFormat="1" applyFont="1" applyAlignment="1">
      <alignment horizontal="center"/>
    </xf>
    <xf numFmtId="9" fontId="154" fillId="0" borderId="0" xfId="6" applyFont="1" applyFill="1" applyBorder="1" applyAlignment="1">
      <alignment horizontal="center"/>
    </xf>
    <xf numFmtId="1" fontId="154" fillId="0" borderId="0" xfId="6" applyNumberFormat="1" applyFont="1" applyFill="1" applyBorder="1" applyAlignment="1">
      <alignment horizontal="center"/>
    </xf>
    <xf numFmtId="9" fontId="108" fillId="0" borderId="0" xfId="6" applyFont="1" applyFill="1" applyAlignment="1">
      <alignment horizontal="center"/>
    </xf>
    <xf numFmtId="0" fontId="102" fillId="0" borderId="9" xfId="0" applyFont="1" applyBorder="1" applyAlignment="1">
      <alignment horizontal="center"/>
    </xf>
    <xf numFmtId="0" fontId="102" fillId="0" borderId="17" xfId="0" applyFont="1" applyBorder="1" applyAlignment="1">
      <alignment horizontal="center"/>
    </xf>
    <xf numFmtId="1" fontId="102" fillId="0" borderId="11" xfId="0" applyNumberFormat="1" applyFont="1" applyBorder="1" applyAlignment="1">
      <alignment horizontal="center"/>
    </xf>
    <xf numFmtId="1" fontId="102" fillId="0" borderId="27" xfId="0" applyNumberFormat="1" applyFont="1" applyBorder="1" applyAlignment="1">
      <alignment horizontal="center"/>
    </xf>
    <xf numFmtId="172" fontId="102" fillId="0" borderId="94" xfId="0" applyNumberFormat="1" applyFont="1" applyBorder="1" applyAlignment="1">
      <alignment horizontal="center"/>
    </xf>
    <xf numFmtId="0" fontId="102" fillId="0" borderId="93" xfId="0" applyFont="1" applyBorder="1" applyAlignment="1">
      <alignment horizontal="center"/>
    </xf>
    <xf numFmtId="0" fontId="102" fillId="0" borderId="88" xfId="0" applyFont="1" applyBorder="1" applyAlignment="1">
      <alignment horizontal="center"/>
    </xf>
    <xf numFmtId="1" fontId="128" fillId="0" borderId="0" xfId="0" applyNumberFormat="1" applyFont="1" applyAlignment="1">
      <alignment horizontal="center"/>
    </xf>
    <xf numFmtId="2" fontId="128" fillId="0" borderId="0" xfId="0" applyNumberFormat="1" applyFont="1" applyAlignment="1">
      <alignment horizontal="center"/>
    </xf>
    <xf numFmtId="1" fontId="102" fillId="0" borderId="9" xfId="0" applyNumberFormat="1" applyFont="1" applyBorder="1" applyAlignment="1">
      <alignment horizontal="center"/>
    </xf>
    <xf numFmtId="1" fontId="63" fillId="0" borderId="0" xfId="0" applyNumberFormat="1" applyFont="1" applyAlignment="1">
      <alignment horizontal="center"/>
    </xf>
    <xf numFmtId="1" fontId="120" fillId="0" borderId="0" xfId="6" applyNumberFormat="1" applyFont="1" applyFill="1" applyBorder="1" applyAlignment="1">
      <alignment horizontal="center"/>
    </xf>
    <xf numFmtId="9" fontId="63" fillId="0" borderId="0" xfId="6" applyFont="1" applyFill="1" applyAlignment="1">
      <alignment horizontal="center"/>
    </xf>
    <xf numFmtId="1" fontId="15" fillId="6" borderId="116" xfId="0" applyNumberFormat="1" applyFont="1" applyFill="1" applyBorder="1" applyAlignment="1">
      <alignment horizontal="center"/>
    </xf>
    <xf numFmtId="1" fontId="108" fillId="0" borderId="117" xfId="0" applyNumberFormat="1" applyFont="1" applyBorder="1" applyAlignment="1">
      <alignment horizontal="center"/>
    </xf>
    <xf numFmtId="1" fontId="102" fillId="6" borderId="88" xfId="0" applyNumberFormat="1" applyFont="1" applyFill="1" applyBorder="1" applyAlignment="1">
      <alignment horizontal="center"/>
    </xf>
    <xf numFmtId="1" fontId="102" fillId="0" borderId="118" xfId="0" applyNumberFormat="1" applyFont="1" applyBorder="1" applyAlignment="1" applyProtection="1">
      <alignment horizontal="center" vertical="top" wrapText="1"/>
      <protection locked="0"/>
    </xf>
    <xf numFmtId="1" fontId="102" fillId="0" borderId="116" xfId="0" applyNumberFormat="1" applyFont="1" applyBorder="1" applyAlignment="1" applyProtection="1">
      <alignment horizontal="center" vertical="top" wrapText="1"/>
      <protection locked="0"/>
    </xf>
    <xf numFmtId="1" fontId="102" fillId="0" borderId="25" xfId="0" applyNumberFormat="1" applyFont="1" applyBorder="1" applyAlignment="1">
      <alignment horizontal="center"/>
    </xf>
    <xf numFmtId="1" fontId="102" fillId="0" borderId="21" xfId="0" applyNumberFormat="1" applyFont="1" applyBorder="1" applyAlignment="1">
      <alignment horizontal="center"/>
    </xf>
    <xf numFmtId="1" fontId="108" fillId="0" borderId="115" xfId="10" applyNumberFormat="1" applyFont="1" applyFill="1" applyBorder="1" applyAlignment="1">
      <alignment horizontal="center"/>
    </xf>
    <xf numFmtId="1" fontId="30" fillId="0" borderId="0" xfId="0" applyNumberFormat="1" applyFont="1" applyAlignment="1">
      <alignment horizontal="right"/>
    </xf>
    <xf numFmtId="1" fontId="100" fillId="0" borderId="0" xfId="0" applyNumberFormat="1" applyFont="1"/>
    <xf numFmtId="1" fontId="101" fillId="0" borderId="60" xfId="0" applyNumberFormat="1" applyFont="1" applyBorder="1"/>
    <xf numFmtId="1" fontId="100" fillId="0" borderId="66" xfId="0" applyNumberFormat="1" applyFont="1" applyBorder="1" applyAlignment="1">
      <alignment horizontal="right"/>
    </xf>
    <xf numFmtId="1" fontId="100" fillId="0" borderId="67" xfId="0" applyNumberFormat="1" applyFont="1" applyBorder="1" applyAlignment="1">
      <alignment horizontal="right"/>
    </xf>
    <xf numFmtId="1" fontId="30" fillId="0" borderId="68" xfId="0" applyNumberFormat="1" applyFont="1" applyBorder="1" applyAlignment="1">
      <alignment horizontal="right"/>
    </xf>
    <xf numFmtId="0" fontId="100" fillId="0" borderId="71" xfId="0" applyFont="1" applyBorder="1" applyAlignment="1">
      <alignment horizontal="right"/>
    </xf>
    <xf numFmtId="0" fontId="100" fillId="0" borderId="67" xfId="0" applyFont="1" applyBorder="1" applyAlignment="1">
      <alignment horizontal="right"/>
    </xf>
    <xf numFmtId="0" fontId="100" fillId="0" borderId="68" xfId="0" applyFont="1" applyBorder="1" applyAlignment="1">
      <alignment horizontal="right"/>
    </xf>
    <xf numFmtId="165" fontId="76" fillId="0" borderId="0" xfId="1" applyFont="1"/>
    <xf numFmtId="167" fontId="76" fillId="0" borderId="0" xfId="0" applyNumberFormat="1" applyFont="1"/>
    <xf numFmtId="0" fontId="80" fillId="6" borderId="40" xfId="0" applyFont="1" applyFill="1" applyBorder="1" applyAlignment="1">
      <alignment vertical="center"/>
    </xf>
    <xf numFmtId="0" fontId="31" fillId="6" borderId="40" xfId="0" applyFont="1" applyFill="1" applyBorder="1" applyAlignment="1">
      <alignment vertical="center"/>
    </xf>
    <xf numFmtId="0" fontId="80" fillId="6" borderId="35" xfId="0" applyFont="1" applyFill="1" applyBorder="1"/>
    <xf numFmtId="174" fontId="13" fillId="6" borderId="0" xfId="0" applyNumberFormat="1" applyFont="1" applyFill="1"/>
    <xf numFmtId="0" fontId="80" fillId="6" borderId="41" xfId="0" applyFont="1" applyFill="1" applyBorder="1" applyAlignment="1">
      <alignment vertical="center"/>
    </xf>
    <xf numFmtId="0" fontId="31" fillId="6" borderId="41" xfId="0" applyFont="1" applyFill="1" applyBorder="1" applyAlignment="1">
      <alignment vertical="center"/>
    </xf>
    <xf numFmtId="0" fontId="80" fillId="6" borderId="42" xfId="0" applyFont="1" applyFill="1" applyBorder="1" applyAlignment="1">
      <alignment vertical="center"/>
    </xf>
    <xf numFmtId="0" fontId="31" fillId="6" borderId="42" xfId="0" applyFont="1" applyFill="1" applyBorder="1" applyAlignment="1">
      <alignment vertical="center"/>
    </xf>
    <xf numFmtId="0" fontId="13" fillId="6" borderId="5" xfId="0" applyFont="1" applyFill="1" applyBorder="1"/>
    <xf numFmtId="0" fontId="13" fillId="6" borderId="9" xfId="0" applyFont="1" applyFill="1" applyBorder="1"/>
    <xf numFmtId="0" fontId="13" fillId="6" borderId="15" xfId="0" applyFont="1" applyFill="1" applyBorder="1"/>
    <xf numFmtId="0" fontId="66" fillId="6" borderId="0" xfId="0" applyFont="1" applyFill="1"/>
    <xf numFmtId="0" fontId="107" fillId="0" borderId="119" xfId="0" applyFont="1" applyBorder="1"/>
    <xf numFmtId="0" fontId="107" fillId="0" borderId="120" xfId="0" applyFont="1" applyBorder="1"/>
    <xf numFmtId="0" fontId="107" fillId="0" borderId="121" xfId="0" applyFont="1" applyBorder="1"/>
    <xf numFmtId="0" fontId="107" fillId="0" borderId="122" xfId="0" applyFont="1" applyBorder="1"/>
    <xf numFmtId="0" fontId="0" fillId="0" borderId="123" xfId="0" applyBorder="1" applyAlignment="1">
      <alignment horizontal="center"/>
    </xf>
    <xf numFmtId="1" fontId="13" fillId="0" borderId="118" xfId="0" applyNumberFormat="1" applyFont="1" applyBorder="1"/>
    <xf numFmtId="2" fontId="0" fillId="0" borderId="124" xfId="0" applyNumberFormat="1" applyBorder="1" applyAlignment="1">
      <alignment horizontal="center"/>
    </xf>
    <xf numFmtId="2" fontId="0" fillId="0" borderId="118" xfId="0" applyNumberFormat="1" applyBorder="1" applyAlignment="1">
      <alignment horizontal="center"/>
    </xf>
    <xf numFmtId="2" fontId="113" fillId="0" borderId="116" xfId="0" applyNumberFormat="1" applyFont="1" applyBorder="1" applyAlignment="1">
      <alignment horizontal="center"/>
    </xf>
    <xf numFmtId="2" fontId="113" fillId="0" borderId="125" xfId="0" applyNumberFormat="1" applyFont="1" applyBorder="1" applyAlignment="1">
      <alignment horizontal="center"/>
    </xf>
    <xf numFmtId="0" fontId="157" fillId="55" borderId="0" xfId="0" applyFont="1" applyFill="1" applyAlignment="1">
      <alignment horizontal="center"/>
    </xf>
    <xf numFmtId="0" fontId="13" fillId="11" borderId="0" xfId="0" applyFont="1" applyFill="1"/>
    <xf numFmtId="0" fontId="14" fillId="11" borderId="0" xfId="0" applyFont="1" applyFill="1"/>
    <xf numFmtId="0" fontId="35" fillId="11" borderId="0" xfId="0" applyFont="1" applyFill="1"/>
    <xf numFmtId="0" fontId="0" fillId="11" borderId="0" xfId="0" applyFill="1"/>
    <xf numFmtId="0" fontId="32" fillId="11" borderId="0" xfId="0" applyFont="1" applyFill="1"/>
    <xf numFmtId="0" fontId="12" fillId="11" borderId="0" xfId="0" applyFont="1" applyFill="1" applyAlignment="1">
      <alignment horizontal="center" vertical="center"/>
    </xf>
    <xf numFmtId="0" fontId="12" fillId="11" borderId="0" xfId="0" applyFont="1" applyFill="1"/>
    <xf numFmtId="1" fontId="56" fillId="11" borderId="20" xfId="0" applyNumberFormat="1" applyFont="1" applyFill="1" applyBorder="1"/>
    <xf numFmtId="1" fontId="0" fillId="11" borderId="0" xfId="0" applyNumberFormat="1" applyFill="1"/>
    <xf numFmtId="1" fontId="56" fillId="11" borderId="19" xfId="0" applyNumberFormat="1" applyFont="1" applyFill="1" applyBorder="1"/>
    <xf numFmtId="2" fontId="77" fillId="11" borderId="33" xfId="0" applyNumberFormat="1" applyFont="1" applyFill="1" applyBorder="1"/>
    <xf numFmtId="2" fontId="77" fillId="11" borderId="104" xfId="0" applyNumberFormat="1" applyFont="1" applyFill="1" applyBorder="1"/>
    <xf numFmtId="2" fontId="77" fillId="11" borderId="25" xfId="0" applyNumberFormat="1" applyFont="1" applyFill="1" applyBorder="1"/>
    <xf numFmtId="1" fontId="28" fillId="11" borderId="0" xfId="0" applyNumberFormat="1" applyFont="1" applyFill="1"/>
    <xf numFmtId="0" fontId="32" fillId="11" borderId="0" xfId="0" applyFont="1" applyFill="1" applyAlignment="1">
      <alignment horizontal="center"/>
    </xf>
    <xf numFmtId="169" fontId="13" fillId="11" borderId="0" xfId="0" applyNumberFormat="1" applyFont="1" applyFill="1"/>
    <xf numFmtId="1" fontId="56" fillId="11" borderId="0" xfId="0" applyNumberFormat="1" applyFont="1" applyFill="1"/>
    <xf numFmtId="168" fontId="13" fillId="11" borderId="0" xfId="0" applyNumberFormat="1" applyFont="1" applyFill="1"/>
    <xf numFmtId="167" fontId="13" fillId="11" borderId="0" xfId="0" applyNumberFormat="1" applyFont="1" applyFill="1"/>
    <xf numFmtId="0" fontId="15" fillId="11" borderId="0" xfId="0" applyFont="1" applyFill="1"/>
    <xf numFmtId="0" fontId="46" fillId="11" borderId="0" xfId="0" applyFont="1" applyFill="1"/>
    <xf numFmtId="1" fontId="13" fillId="11" borderId="0" xfId="0" applyNumberFormat="1" applyFont="1" applyFill="1" applyAlignment="1">
      <alignment horizontal="center"/>
    </xf>
    <xf numFmtId="0" fontId="78" fillId="11" borderId="49" xfId="0" applyFont="1" applyFill="1" applyBorder="1"/>
    <xf numFmtId="0" fontId="78" fillId="11" borderId="105" xfId="0" applyFont="1" applyFill="1" applyBorder="1"/>
    <xf numFmtId="2" fontId="78" fillId="11" borderId="105" xfId="0" applyNumberFormat="1" applyFont="1" applyFill="1" applyBorder="1"/>
    <xf numFmtId="0" fontId="78" fillId="11" borderId="21" xfId="0" applyFont="1" applyFill="1" applyBorder="1"/>
    <xf numFmtId="1" fontId="83" fillId="0" borderId="7" xfId="0" applyNumberFormat="1" applyFont="1" applyBorder="1" applyAlignment="1">
      <alignment horizontal="right"/>
    </xf>
    <xf numFmtId="168" fontId="28" fillId="11" borderId="0" xfId="0" applyNumberFormat="1" applyFont="1" applyFill="1"/>
    <xf numFmtId="2" fontId="0" fillId="0" borderId="126" xfId="0" applyNumberFormat="1" applyBorder="1"/>
    <xf numFmtId="1" fontId="42" fillId="11" borderId="0" xfId="0" applyNumberFormat="1" applyFont="1" applyFill="1"/>
    <xf numFmtId="0" fontId="158" fillId="0" borderId="126" xfId="0" applyFont="1" applyBorder="1"/>
    <xf numFmtId="0" fontId="158" fillId="0" borderId="33" xfId="0" applyFont="1" applyBorder="1"/>
    <xf numFmtId="2" fontId="137" fillId="0" borderId="104" xfId="0" applyNumberFormat="1" applyFont="1" applyBorder="1"/>
    <xf numFmtId="2" fontId="137" fillId="0" borderId="127" xfId="0" applyNumberFormat="1" applyFont="1" applyBorder="1"/>
    <xf numFmtId="1" fontId="137" fillId="0" borderId="126" xfId="0" applyNumberFormat="1" applyFont="1" applyBorder="1"/>
    <xf numFmtId="2" fontId="137" fillId="0" borderId="105" xfId="0" applyNumberFormat="1" applyFont="1" applyBorder="1"/>
    <xf numFmtId="1" fontId="42" fillId="0" borderId="0" xfId="0" applyNumberFormat="1" applyFont="1"/>
    <xf numFmtId="0" fontId="48" fillId="11" borderId="0" xfId="0" applyFont="1" applyFill="1"/>
    <xf numFmtId="0" fontId="47" fillId="11" borderId="0" xfId="0" applyFont="1" applyFill="1"/>
    <xf numFmtId="0" fontId="23" fillId="11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1" fontId="159" fillId="11" borderId="19" xfId="0" applyNumberFormat="1" applyFont="1" applyFill="1" applyBorder="1"/>
    <xf numFmtId="1" fontId="159" fillId="0" borderId="0" xfId="0" applyNumberFormat="1" applyFont="1"/>
    <xf numFmtId="1" fontId="48" fillId="11" borderId="0" xfId="0" applyNumberFormat="1" applyFont="1" applyFill="1"/>
    <xf numFmtId="1" fontId="47" fillId="11" borderId="0" xfId="0" applyNumberFormat="1" applyFont="1" applyFill="1"/>
    <xf numFmtId="1" fontId="85" fillId="0" borderId="0" xfId="8" applyNumberFormat="1" applyFont="1" applyAlignment="1">
      <alignment horizontal="right"/>
    </xf>
    <xf numFmtId="0" fontId="12" fillId="0" borderId="0" xfId="8" applyAlignment="1">
      <alignment horizontal="right"/>
    </xf>
    <xf numFmtId="0" fontId="13" fillId="0" borderId="118" xfId="0" applyFont="1" applyBorder="1"/>
    <xf numFmtId="169" fontId="15" fillId="0" borderId="0" xfId="0" applyNumberFormat="1" applyFont="1"/>
    <xf numFmtId="1" fontId="42" fillId="0" borderId="0" xfId="4" applyNumberFormat="1" applyFont="1"/>
    <xf numFmtId="0" fontId="0" fillId="58" borderId="0" xfId="0" applyFill="1"/>
    <xf numFmtId="0" fontId="13" fillId="0" borderId="131" xfId="0" applyFont="1" applyBorder="1" applyAlignment="1">
      <alignment horizontal="center"/>
    </xf>
    <xf numFmtId="0" fontId="13" fillId="0" borderId="132" xfId="0" applyFont="1" applyBorder="1" applyAlignment="1">
      <alignment horizontal="center"/>
    </xf>
    <xf numFmtId="0" fontId="13" fillId="0" borderId="132" xfId="0" applyFont="1" applyBorder="1" applyAlignment="1">
      <alignment horizontal="right"/>
    </xf>
    <xf numFmtId="0" fontId="13" fillId="59" borderId="132" xfId="0" applyFont="1" applyFill="1" applyBorder="1" applyAlignment="1">
      <alignment horizontal="right"/>
    </xf>
    <xf numFmtId="0" fontId="13" fillId="0" borderId="132" xfId="0" applyFont="1" applyBorder="1" applyAlignment="1">
      <alignment horizontal="right" vertical="center"/>
    </xf>
    <xf numFmtId="0" fontId="13" fillId="60" borderId="131" xfId="0" applyFont="1" applyFill="1" applyBorder="1" applyAlignment="1">
      <alignment horizontal="center"/>
    </xf>
    <xf numFmtId="0" fontId="15" fillId="0" borderId="132" xfId="0" applyFont="1" applyBorder="1" applyAlignment="1">
      <alignment horizontal="right"/>
    </xf>
    <xf numFmtId="0" fontId="160" fillId="0" borderId="0" xfId="0" applyFont="1"/>
    <xf numFmtId="1" fontId="30" fillId="61" borderId="0" xfId="0" applyNumberFormat="1" applyFont="1" applyFill="1" applyAlignment="1">
      <alignment horizontal="right"/>
    </xf>
    <xf numFmtId="0" fontId="100" fillId="61" borderId="0" xfId="0" applyFont="1" applyFill="1" applyAlignment="1">
      <alignment horizontal="right"/>
    </xf>
    <xf numFmtId="0" fontId="47" fillId="61" borderId="0" xfId="0" applyFont="1" applyFill="1"/>
    <xf numFmtId="0" fontId="13" fillId="61" borderId="0" xfId="0" applyFont="1" applyFill="1"/>
    <xf numFmtId="0" fontId="47" fillId="61" borderId="32" xfId="0" applyFont="1" applyFill="1" applyBorder="1"/>
    <xf numFmtId="0" fontId="47" fillId="61" borderId="23" xfId="0" applyFont="1" applyFill="1" applyBorder="1"/>
    <xf numFmtId="0" fontId="47" fillId="61" borderId="44" xfId="0" applyFont="1" applyFill="1" applyBorder="1"/>
    <xf numFmtId="1" fontId="100" fillId="61" borderId="60" xfId="0" applyNumberFormat="1" applyFont="1" applyFill="1" applyBorder="1" applyAlignment="1">
      <alignment horizontal="right"/>
    </xf>
    <xf numFmtId="1" fontId="100" fillId="61" borderId="61" xfId="0" applyNumberFormat="1" applyFont="1" applyFill="1" applyBorder="1" applyAlignment="1">
      <alignment horizontal="right"/>
    </xf>
    <xf numFmtId="1" fontId="100" fillId="61" borderId="62" xfId="0" applyNumberFormat="1" applyFont="1" applyFill="1" applyBorder="1" applyAlignment="1">
      <alignment horizontal="right"/>
    </xf>
    <xf numFmtId="1" fontId="100" fillId="61" borderId="63" xfId="0" applyNumberFormat="1" applyFont="1" applyFill="1" applyBorder="1" applyAlignment="1">
      <alignment horizontal="right"/>
    </xf>
    <xf numFmtId="1" fontId="100" fillId="61" borderId="64" xfId="0" applyNumberFormat="1" applyFont="1" applyFill="1" applyBorder="1" applyAlignment="1">
      <alignment horizontal="right"/>
    </xf>
    <xf numFmtId="1" fontId="100" fillId="61" borderId="65" xfId="0" applyNumberFormat="1" applyFont="1" applyFill="1" applyBorder="1" applyAlignment="1">
      <alignment horizontal="right"/>
    </xf>
    <xf numFmtId="1" fontId="100" fillId="61" borderId="66" xfId="0" applyNumberFormat="1" applyFont="1" applyFill="1" applyBorder="1" applyAlignment="1">
      <alignment horizontal="right"/>
    </xf>
    <xf numFmtId="1" fontId="100" fillId="61" borderId="67" xfId="0" applyNumberFormat="1" applyFont="1" applyFill="1" applyBorder="1" applyAlignment="1">
      <alignment horizontal="right"/>
    </xf>
    <xf numFmtId="1" fontId="100" fillId="61" borderId="68" xfId="0" applyNumberFormat="1" applyFont="1" applyFill="1" applyBorder="1" applyAlignment="1">
      <alignment horizontal="right"/>
    </xf>
    <xf numFmtId="1" fontId="13" fillId="61" borderId="0" xfId="0" applyNumberFormat="1" applyFont="1" applyFill="1"/>
    <xf numFmtId="167" fontId="13" fillId="61" borderId="0" xfId="0" applyNumberFormat="1" applyFont="1" applyFill="1"/>
    <xf numFmtId="0" fontId="84" fillId="0" borderId="101" xfId="0" applyFont="1" applyBorder="1" applyAlignment="1">
      <alignment horizontal="center"/>
    </xf>
    <xf numFmtId="0" fontId="15" fillId="0" borderId="118" xfId="0" applyFont="1" applyBorder="1"/>
    <xf numFmtId="0" fontId="15" fillId="0" borderId="118" xfId="0" applyFont="1" applyBorder="1" applyAlignment="1">
      <alignment horizontal="center"/>
    </xf>
    <xf numFmtId="1" fontId="15" fillId="0" borderId="118" xfId="0" applyNumberFormat="1" applyFont="1" applyBorder="1"/>
    <xf numFmtId="1" fontId="13" fillId="0" borderId="118" xfId="0" applyNumberFormat="1" applyFont="1" applyBorder="1" applyAlignment="1">
      <alignment horizontal="center"/>
    </xf>
    <xf numFmtId="1" fontId="108" fillId="0" borderId="118" xfId="0" applyNumberFormat="1" applyFont="1" applyBorder="1" applyAlignment="1">
      <alignment horizontal="center"/>
    </xf>
    <xf numFmtId="1" fontId="108" fillId="0" borderId="116" xfId="0" applyNumberFormat="1" applyFont="1" applyBorder="1" applyAlignment="1">
      <alignment horizontal="center"/>
    </xf>
    <xf numFmtId="0" fontId="13" fillId="0" borderId="131" xfId="0" applyFont="1" applyBorder="1"/>
    <xf numFmtId="1" fontId="13" fillId="0" borderId="131" xfId="0" applyNumberFormat="1" applyFont="1" applyBorder="1"/>
    <xf numFmtId="1" fontId="13" fillId="0" borderId="131" xfId="0" applyNumberFormat="1" applyFont="1" applyBorder="1" applyAlignment="1">
      <alignment vertical="center"/>
    </xf>
    <xf numFmtId="1" fontId="13" fillId="0" borderId="133" xfId="0" applyNumberFormat="1" applyFont="1" applyBorder="1"/>
    <xf numFmtId="1" fontId="15" fillId="0" borderId="118" xfId="0" applyNumberFormat="1" applyFont="1" applyBorder="1" applyAlignment="1">
      <alignment horizontal="center"/>
    </xf>
    <xf numFmtId="0" fontId="15" fillId="0" borderId="131" xfId="0" applyFont="1" applyBorder="1"/>
    <xf numFmtId="0" fontId="15" fillId="0" borderId="133" xfId="0" applyFont="1" applyBorder="1"/>
    <xf numFmtId="1" fontId="102" fillId="0" borderId="118" xfId="0" applyNumberFormat="1" applyFont="1" applyBorder="1" applyAlignment="1">
      <alignment horizontal="center"/>
    </xf>
    <xf numFmtId="1" fontId="102" fillId="0" borderId="116" xfId="0" applyNumberFormat="1" applyFont="1" applyBorder="1" applyAlignment="1">
      <alignment horizontal="center"/>
    </xf>
    <xf numFmtId="0" fontId="108" fillId="0" borderId="132" xfId="0" applyFont="1" applyBorder="1" applyAlignment="1">
      <alignment horizontal="center"/>
    </xf>
    <xf numFmtId="0" fontId="13" fillId="6" borderId="131" xfId="0" applyFont="1" applyFill="1" applyBorder="1"/>
    <xf numFmtId="0" fontId="15" fillId="0" borderId="131" xfId="0" applyFont="1" applyBorder="1" applyAlignment="1">
      <alignment vertical="top" wrapText="1"/>
    </xf>
    <xf numFmtId="0" fontId="15" fillId="0" borderId="132" xfId="0" applyFont="1" applyBorder="1" applyAlignment="1">
      <alignment horizontal="center" vertical="top" wrapText="1"/>
    </xf>
    <xf numFmtId="0" fontId="15" fillId="0" borderId="131" xfId="0" applyFont="1" applyBorder="1" applyAlignment="1">
      <alignment horizontal="center" vertical="top" wrapText="1"/>
    </xf>
    <xf numFmtId="0" fontId="13" fillId="0" borderId="132" xfId="0" applyFont="1" applyBorder="1" applyAlignment="1">
      <alignment horizontal="center" vertical="top" wrapText="1"/>
    </xf>
    <xf numFmtId="1" fontId="13" fillId="0" borderId="132" xfId="0" applyNumberFormat="1" applyFont="1" applyBorder="1" applyAlignment="1">
      <alignment horizontal="center" vertical="top" wrapText="1"/>
    </xf>
    <xf numFmtId="1" fontId="13" fillId="0" borderId="132" xfId="0" applyNumberFormat="1" applyFont="1" applyBorder="1" applyAlignment="1">
      <alignment horizontal="center"/>
    </xf>
    <xf numFmtId="0" fontId="13" fillId="0" borderId="118" xfId="0" applyFont="1" applyBorder="1" applyAlignment="1">
      <alignment horizontal="center"/>
    </xf>
    <xf numFmtId="0" fontId="13" fillId="0" borderId="134" xfId="0" applyFont="1" applyBorder="1" applyAlignment="1">
      <alignment horizontal="center"/>
    </xf>
    <xf numFmtId="0" fontId="15" fillId="0" borderId="133" xfId="0" applyFont="1" applyBorder="1" applyAlignment="1">
      <alignment horizontal="center" vertical="top" wrapText="1"/>
    </xf>
    <xf numFmtId="1" fontId="42" fillId="0" borderId="118" xfId="0" applyNumberFormat="1" applyFont="1" applyBorder="1" applyAlignment="1">
      <alignment horizontal="center" wrapText="1"/>
    </xf>
    <xf numFmtId="1" fontId="79" fillId="0" borderId="126" xfId="0" applyNumberFormat="1" applyFont="1" applyBorder="1"/>
    <xf numFmtId="1" fontId="79" fillId="0" borderId="135" xfId="0" applyNumberFormat="1" applyFont="1" applyBorder="1"/>
    <xf numFmtId="1" fontId="79" fillId="0" borderId="136" xfId="0" applyNumberFormat="1" applyFont="1" applyBorder="1"/>
    <xf numFmtId="1" fontId="79" fillId="0" borderId="137" xfId="0" applyNumberFormat="1" applyFont="1" applyBorder="1"/>
    <xf numFmtId="1" fontId="79" fillId="0" borderId="138" xfId="0" applyNumberFormat="1" applyFont="1" applyBorder="1"/>
    <xf numFmtId="1" fontId="79" fillId="0" borderId="118" xfId="0" applyNumberFormat="1" applyFont="1" applyBorder="1"/>
    <xf numFmtId="1" fontId="79" fillId="0" borderId="139" xfId="0" applyNumberFormat="1" applyFont="1" applyBorder="1"/>
    <xf numFmtId="173" fontId="79" fillId="0" borderId="126" xfId="1" applyNumberFormat="1" applyFont="1" applyFill="1" applyBorder="1"/>
    <xf numFmtId="173" fontId="79" fillId="0" borderId="138" xfId="1" applyNumberFormat="1" applyFont="1" applyFill="1" applyBorder="1"/>
    <xf numFmtId="173" fontId="79" fillId="0" borderId="118" xfId="1" applyNumberFormat="1" applyFont="1" applyFill="1" applyBorder="1"/>
    <xf numFmtId="173" fontId="79" fillId="0" borderId="139" xfId="1" applyNumberFormat="1" applyFont="1" applyFill="1" applyBorder="1"/>
    <xf numFmtId="0" fontId="82" fillId="0" borderId="118" xfId="0" applyFont="1" applyBorder="1" applyAlignment="1">
      <alignment vertical="center" wrapText="1"/>
    </xf>
    <xf numFmtId="0" fontId="47" fillId="0" borderId="118" xfId="0" applyFont="1" applyBorder="1" applyAlignment="1">
      <alignment vertical="center" wrapText="1"/>
    </xf>
    <xf numFmtId="0" fontId="28" fillId="0" borderId="126" xfId="0" applyFont="1" applyBorder="1" applyAlignment="1">
      <alignment horizontal="center"/>
    </xf>
    <xf numFmtId="0" fontId="28" fillId="0" borderId="135" xfId="0" applyFont="1" applyBorder="1" applyAlignment="1">
      <alignment horizontal="center"/>
    </xf>
    <xf numFmtId="0" fontId="28" fillId="0" borderId="136" xfId="0" applyFont="1" applyBorder="1" applyAlignment="1">
      <alignment horizontal="center"/>
    </xf>
    <xf numFmtId="0" fontId="28" fillId="0" borderId="137" xfId="0" applyFont="1" applyBorder="1" applyAlignment="1">
      <alignment horizontal="center"/>
    </xf>
    <xf numFmtId="0" fontId="28" fillId="0" borderId="138" xfId="0" applyFont="1" applyBorder="1" applyAlignment="1">
      <alignment horizontal="center"/>
    </xf>
    <xf numFmtId="0" fontId="28" fillId="0" borderId="118" xfId="0" applyFont="1" applyBorder="1" applyAlignment="1">
      <alignment horizontal="center"/>
    </xf>
    <xf numFmtId="0" fontId="28" fillId="0" borderId="139" xfId="0" applyFont="1" applyBorder="1" applyAlignment="1">
      <alignment horizontal="center"/>
    </xf>
    <xf numFmtId="0" fontId="48" fillId="0" borderId="118" xfId="0" applyFont="1" applyBorder="1" applyAlignment="1">
      <alignment vertical="center" wrapText="1"/>
    </xf>
    <xf numFmtId="0" fontId="31" fillId="0" borderId="140" xfId="0" applyFont="1" applyBorder="1"/>
    <xf numFmtId="0" fontId="80" fillId="0" borderId="140" xfId="0" applyFont="1" applyBorder="1"/>
    <xf numFmtId="1" fontId="79" fillId="0" borderId="126" xfId="0" applyNumberFormat="1" applyFont="1" applyBorder="1" applyAlignment="1">
      <alignment horizontal="center"/>
    </xf>
    <xf numFmtId="0" fontId="80" fillId="0" borderId="141" xfId="0" applyFont="1" applyBorder="1"/>
    <xf numFmtId="1" fontId="79" fillId="0" borderId="135" xfId="0" applyNumberFormat="1" applyFont="1" applyBorder="1" applyAlignment="1">
      <alignment horizontal="center"/>
    </xf>
    <xf numFmtId="1" fontId="79" fillId="0" borderId="136" xfId="0" applyNumberFormat="1" applyFont="1" applyBorder="1" applyAlignment="1">
      <alignment horizontal="center"/>
    </xf>
    <xf numFmtId="1" fontId="79" fillId="0" borderId="137" xfId="0" applyNumberFormat="1" applyFont="1" applyBorder="1" applyAlignment="1">
      <alignment horizontal="center"/>
    </xf>
    <xf numFmtId="0" fontId="80" fillId="6" borderId="140" xfId="0" applyFont="1" applyFill="1" applyBorder="1"/>
    <xf numFmtId="0" fontId="80" fillId="6" borderId="141" xfId="0" applyFont="1" applyFill="1" applyBorder="1"/>
    <xf numFmtId="1" fontId="79" fillId="8" borderId="140" xfId="0" applyNumberFormat="1" applyFont="1" applyFill="1" applyBorder="1"/>
    <xf numFmtId="1" fontId="79" fillId="0" borderId="140" xfId="0" applyNumberFormat="1" applyFont="1" applyBorder="1"/>
    <xf numFmtId="1" fontId="79" fillId="8" borderId="141" xfId="0" applyNumberFormat="1" applyFont="1" applyFill="1" applyBorder="1"/>
    <xf numFmtId="1" fontId="79" fillId="0" borderId="141" xfId="0" applyNumberFormat="1" applyFont="1" applyBorder="1"/>
    <xf numFmtId="0" fontId="81" fillId="0" borderId="136" xfId="0" applyFont="1" applyBorder="1" applyAlignment="1">
      <alignment vertical="center"/>
    </xf>
    <xf numFmtId="0" fontId="31" fillId="0" borderId="136" xfId="0" applyFont="1" applyBorder="1"/>
    <xf numFmtId="1" fontId="79" fillId="0" borderId="136" xfId="0" applyNumberFormat="1" applyFont="1" applyBorder="1" applyAlignment="1">
      <alignment horizontal="right"/>
    </xf>
    <xf numFmtId="1" fontId="79" fillId="0" borderId="137" xfId="0" applyNumberFormat="1" applyFont="1" applyBorder="1" applyAlignment="1">
      <alignment horizontal="right"/>
    </xf>
    <xf numFmtId="0" fontId="23" fillId="0" borderId="138" xfId="0" applyFont="1" applyBorder="1" applyAlignment="1">
      <alignment vertical="center" wrapText="1"/>
    </xf>
    <xf numFmtId="0" fontId="23" fillId="0" borderId="126" xfId="0" applyFont="1" applyBorder="1" applyAlignment="1">
      <alignment vertical="center" wrapText="1"/>
    </xf>
    <xf numFmtId="0" fontId="0" fillId="0" borderId="126" xfId="0" applyBorder="1"/>
    <xf numFmtId="0" fontId="0" fillId="0" borderId="135" xfId="0" applyBorder="1"/>
    <xf numFmtId="0" fontId="0" fillId="0" borderId="142" xfId="0" applyBorder="1" applyAlignment="1">
      <alignment horizontal="center"/>
    </xf>
    <xf numFmtId="2" fontId="0" fillId="0" borderId="143" xfId="0" applyNumberFormat="1" applyBorder="1" applyAlignment="1">
      <alignment horizontal="center"/>
    </xf>
    <xf numFmtId="2" fontId="113" fillId="0" borderId="143" xfId="0" applyNumberFormat="1" applyFont="1" applyBorder="1" applyAlignment="1">
      <alignment horizontal="center"/>
    </xf>
    <xf numFmtId="0" fontId="73" fillId="0" borderId="118" xfId="0" applyFont="1" applyBorder="1" applyAlignment="1">
      <alignment horizontal="center"/>
    </xf>
    <xf numFmtId="0" fontId="73" fillId="0" borderId="135" xfId="2" applyFont="1" applyBorder="1" applyAlignment="1">
      <alignment horizontal="center"/>
    </xf>
    <xf numFmtId="0" fontId="73" fillId="0" borderId="144" xfId="2" applyFont="1" applyBorder="1" applyAlignment="1">
      <alignment horizontal="center"/>
    </xf>
    <xf numFmtId="175" fontId="0" fillId="0" borderId="143" xfId="0" applyNumberFormat="1" applyBorder="1" applyAlignment="1">
      <alignment horizontal="center"/>
    </xf>
    <xf numFmtId="0" fontId="0" fillId="0" borderId="145" xfId="0" applyBorder="1" applyAlignment="1">
      <alignment horizontal="center"/>
    </xf>
    <xf numFmtId="2" fontId="0" fillId="0" borderId="146" xfId="0" applyNumberFormat="1" applyBorder="1" applyAlignment="1">
      <alignment horizontal="center"/>
    </xf>
    <xf numFmtId="2" fontId="0" fillId="0" borderId="147" xfId="0" applyNumberFormat="1" applyBorder="1" applyAlignment="1">
      <alignment horizontal="center"/>
    </xf>
    <xf numFmtId="2" fontId="113" fillId="0" borderId="118" xfId="0" applyNumberFormat="1" applyFont="1" applyBorder="1" applyAlignment="1">
      <alignment horizontal="center"/>
    </xf>
    <xf numFmtId="2" fontId="0" fillId="0" borderId="116" xfId="0" applyNumberFormat="1" applyBorder="1" applyAlignment="1">
      <alignment horizontal="center"/>
    </xf>
    <xf numFmtId="2" fontId="113" fillId="0" borderId="124" xfId="0" applyNumberFormat="1" applyFont="1" applyBorder="1" applyAlignment="1">
      <alignment horizontal="center"/>
    </xf>
    <xf numFmtId="2" fontId="0" fillId="0" borderId="125" xfId="0" applyNumberFormat="1" applyBorder="1" applyAlignment="1">
      <alignment horizontal="center"/>
    </xf>
    <xf numFmtId="2" fontId="113" fillId="0" borderId="146" xfId="0" applyNumberFormat="1" applyFont="1" applyBorder="1" applyAlignment="1">
      <alignment horizontal="center"/>
    </xf>
    <xf numFmtId="2" fontId="113" fillId="0" borderId="147" xfId="0" applyNumberFormat="1" applyFont="1" applyBorder="1" applyAlignment="1">
      <alignment horizontal="center"/>
    </xf>
    <xf numFmtId="0" fontId="13" fillId="6" borderId="131" xfId="0" applyFont="1" applyFill="1" applyBorder="1" applyAlignment="1">
      <alignment horizontal="center"/>
    </xf>
    <xf numFmtId="0" fontId="13" fillId="6" borderId="132" xfId="0" applyFont="1" applyFill="1" applyBorder="1" applyAlignment="1">
      <alignment horizontal="center"/>
    </xf>
    <xf numFmtId="0" fontId="13" fillId="6" borderId="132" xfId="0" applyFont="1" applyFill="1" applyBorder="1"/>
    <xf numFmtId="3" fontId="13" fillId="6" borderId="132" xfId="0" applyNumberFormat="1" applyFont="1" applyFill="1" applyBorder="1" applyAlignment="1">
      <alignment horizontal="right"/>
    </xf>
    <xf numFmtId="3" fontId="13" fillId="0" borderId="132" xfId="0" applyNumberFormat="1" applyFont="1" applyBorder="1" applyAlignment="1">
      <alignment horizontal="right"/>
    </xf>
    <xf numFmtId="1" fontId="0" fillId="0" borderId="126" xfId="0" applyNumberFormat="1" applyBorder="1"/>
    <xf numFmtId="2" fontId="77" fillId="0" borderId="126" xfId="0" applyNumberFormat="1" applyFont="1" applyBorder="1"/>
    <xf numFmtId="1" fontId="0" fillId="11" borderId="126" xfId="0" applyNumberFormat="1" applyFill="1" applyBorder="1"/>
    <xf numFmtId="2" fontId="77" fillId="11" borderId="126" xfId="0" applyNumberFormat="1" applyFont="1" applyFill="1" applyBorder="1"/>
    <xf numFmtId="0" fontId="15" fillId="0" borderId="131" xfId="7" applyFont="1" applyBorder="1"/>
    <xf numFmtId="1" fontId="13" fillId="0" borderId="132" xfId="3" applyNumberFormat="1" applyFont="1" applyBorder="1"/>
    <xf numFmtId="0" fontId="13" fillId="0" borderId="131" xfId="7" applyFont="1" applyBorder="1"/>
    <xf numFmtId="0" fontId="104" fillId="0" borderId="0" xfId="0" applyFont="1" applyAlignment="1">
      <alignment horizontal="center" vertical="center" readingOrder="1"/>
    </xf>
    <xf numFmtId="0" fontId="112" fillId="0" borderId="148" xfId="65" applyFont="1" applyBorder="1"/>
    <xf numFmtId="1" fontId="30" fillId="0" borderId="148" xfId="65" applyNumberFormat="1" applyFont="1" applyBorder="1" applyAlignment="1">
      <alignment horizontal="right"/>
    </xf>
    <xf numFmtId="0" fontId="83" fillId="0" borderId="56" xfId="65" applyFont="1" applyBorder="1"/>
    <xf numFmtId="2" fontId="56" fillId="0" borderId="104" xfId="0" applyNumberFormat="1" applyFont="1" applyBorder="1"/>
    <xf numFmtId="168" fontId="56" fillId="0" borderId="0" xfId="0" applyNumberFormat="1" applyFont="1"/>
    <xf numFmtId="167" fontId="56" fillId="0" borderId="0" xfId="0" applyNumberFormat="1" applyFont="1"/>
    <xf numFmtId="9" fontId="28" fillId="53" borderId="0" xfId="6" applyFont="1" applyFill="1" applyProtection="1"/>
    <xf numFmtId="0" fontId="161" fillId="0" borderId="0" xfId="0" applyFont="1" applyAlignment="1">
      <alignment horizontal="center" vertical="center" readingOrder="1"/>
    </xf>
    <xf numFmtId="0" fontId="162" fillId="0" borderId="0" xfId="0" applyFont="1" applyAlignment="1">
      <alignment horizontal="center" vertical="center" readingOrder="1"/>
    </xf>
    <xf numFmtId="1" fontId="63" fillId="61" borderId="0" xfId="0" applyNumberFormat="1" applyFont="1" applyFill="1" applyAlignment="1">
      <alignment horizontal="center"/>
    </xf>
    <xf numFmtId="0" fontId="102" fillId="61" borderId="17" xfId="0" applyFont="1" applyFill="1" applyBorder="1" applyAlignment="1">
      <alignment horizontal="center"/>
    </xf>
    <xf numFmtId="1" fontId="102" fillId="61" borderId="0" xfId="0" applyNumberFormat="1" applyFont="1" applyFill="1" applyAlignment="1">
      <alignment horizontal="center"/>
    </xf>
    <xf numFmtId="1" fontId="102" fillId="61" borderId="0" xfId="6" applyNumberFormat="1" applyFont="1" applyFill="1" applyBorder="1" applyAlignment="1">
      <alignment horizontal="center"/>
    </xf>
    <xf numFmtId="9" fontId="108" fillId="61" borderId="0" xfId="6" applyFont="1" applyFill="1" applyAlignment="1">
      <alignment horizontal="center"/>
    </xf>
    <xf numFmtId="1" fontId="108" fillId="61" borderId="0" xfId="0" applyNumberFormat="1" applyFont="1" applyFill="1" applyAlignment="1">
      <alignment horizontal="center"/>
    </xf>
    <xf numFmtId="1" fontId="102" fillId="61" borderId="88" xfId="0" applyNumberFormat="1" applyFont="1" applyFill="1" applyBorder="1" applyAlignment="1">
      <alignment horizontal="center"/>
    </xf>
    <xf numFmtId="1" fontId="102" fillId="61" borderId="116" xfId="0" applyNumberFormat="1" applyFont="1" applyFill="1" applyBorder="1" applyAlignment="1" applyProtection="1">
      <alignment horizontal="center" vertical="top" wrapText="1"/>
      <protection locked="0"/>
    </xf>
    <xf numFmtId="172" fontId="102" fillId="61" borderId="0" xfId="0" applyNumberFormat="1" applyFont="1" applyFill="1" applyAlignment="1">
      <alignment horizontal="center"/>
    </xf>
    <xf numFmtId="1" fontId="154" fillId="61" borderId="0" xfId="6" applyNumberFormat="1" applyFont="1" applyFill="1" applyBorder="1" applyAlignment="1">
      <alignment horizontal="center"/>
    </xf>
    <xf numFmtId="1" fontId="9" fillId="61" borderId="0" xfId="68" applyNumberFormat="1" applyFill="1"/>
    <xf numFmtId="1" fontId="100" fillId="0" borderId="66" xfId="65" applyNumberFormat="1" applyFont="1" applyBorder="1" applyAlignment="1">
      <alignment horizontal="right"/>
    </xf>
    <xf numFmtId="0" fontId="47" fillId="0" borderId="0" xfId="0" applyFont="1" applyAlignment="1">
      <alignment horizontal="center"/>
    </xf>
    <xf numFmtId="0" fontId="9" fillId="0" borderId="0" xfId="68"/>
    <xf numFmtId="0" fontId="47" fillId="0" borderId="36" xfId="69" applyFont="1" applyBorder="1"/>
    <xf numFmtId="0" fontId="47" fillId="0" borderId="37" xfId="69" applyFont="1" applyBorder="1"/>
    <xf numFmtId="0" fontId="48" fillId="0" borderId="38" xfId="69" applyFont="1" applyBorder="1"/>
    <xf numFmtId="0" fontId="47" fillId="0" borderId="32" xfId="69" applyFont="1" applyBorder="1"/>
    <xf numFmtId="0" fontId="47" fillId="0" borderId="23" xfId="69" applyFont="1" applyBorder="1"/>
    <xf numFmtId="0" fontId="47" fillId="0" borderId="30" xfId="69" applyFont="1" applyBorder="1"/>
    <xf numFmtId="1" fontId="80" fillId="0" borderId="30" xfId="69" applyNumberFormat="1" applyFont="1" applyBorder="1" applyAlignment="1">
      <alignment horizontal="left"/>
    </xf>
    <xf numFmtId="0" fontId="48" fillId="0" borderId="23" xfId="69" applyFont="1" applyBorder="1" applyAlignment="1">
      <alignment vertical="center"/>
    </xf>
    <xf numFmtId="0" fontId="48" fillId="0" borderId="25" xfId="69" applyFont="1" applyBorder="1" applyAlignment="1">
      <alignment vertical="center"/>
    </xf>
    <xf numFmtId="0" fontId="48" fillId="0" borderId="45" xfId="69" applyFont="1" applyBorder="1" applyAlignment="1">
      <alignment vertical="center"/>
    </xf>
    <xf numFmtId="0" fontId="13" fillId="0" borderId="23" xfId="69" applyFont="1" applyBorder="1" applyAlignment="1">
      <alignment vertical="center"/>
    </xf>
    <xf numFmtId="0" fontId="13" fillId="0" borderId="90" xfId="69" applyFont="1" applyBorder="1"/>
    <xf numFmtId="0" fontId="13" fillId="0" borderId="25" xfId="69" applyFont="1" applyBorder="1" applyAlignment="1">
      <alignment vertical="center"/>
    </xf>
    <xf numFmtId="0" fontId="13" fillId="0" borderId="3" xfId="69" applyFont="1" applyBorder="1"/>
    <xf numFmtId="0" fontId="13" fillId="0" borderId="45" xfId="69" applyFont="1" applyBorder="1" applyAlignment="1">
      <alignment vertical="center"/>
    </xf>
    <xf numFmtId="0" fontId="13" fillId="0" borderId="91" xfId="69" applyFont="1" applyBorder="1"/>
    <xf numFmtId="0" fontId="48" fillId="0" borderId="150" xfId="69" applyFont="1" applyBorder="1"/>
    <xf numFmtId="0" fontId="48" fillId="0" borderId="151" xfId="69" applyFont="1" applyBorder="1"/>
    <xf numFmtId="1" fontId="80" fillId="0" borderId="150" xfId="69" applyNumberFormat="1" applyFont="1" applyBorder="1" applyAlignment="1">
      <alignment horizontal="left"/>
    </xf>
    <xf numFmtId="1" fontId="80" fillId="0" borderId="151" xfId="69" applyNumberFormat="1" applyFont="1" applyBorder="1" applyAlignment="1">
      <alignment horizontal="left"/>
    </xf>
    <xf numFmtId="1" fontId="100" fillId="0" borderId="61" xfId="65" applyNumberFormat="1" applyFont="1" applyBorder="1" applyAlignment="1">
      <alignment horizontal="right"/>
    </xf>
    <xf numFmtId="1" fontId="100" fillId="0" borderId="61" xfId="65" applyNumberFormat="1" applyFont="1" applyBorder="1"/>
    <xf numFmtId="1" fontId="100" fillId="0" borderId="60" xfId="65" applyNumberFormat="1" applyFont="1" applyBorder="1"/>
    <xf numFmtId="0" fontId="83" fillId="0" borderId="0" xfId="65" applyFont="1" applyAlignment="1">
      <alignment horizontal="right"/>
    </xf>
    <xf numFmtId="0" fontId="19" fillId="0" borderId="0" xfId="65"/>
    <xf numFmtId="0" fontId="101" fillId="3" borderId="71" xfId="65" applyFont="1" applyFill="1" applyBorder="1" applyAlignment="1">
      <alignment horizontal="right"/>
    </xf>
    <xf numFmtId="0" fontId="101" fillId="3" borderId="67" xfId="65" applyFont="1" applyFill="1" applyBorder="1" applyAlignment="1">
      <alignment horizontal="right"/>
    </xf>
    <xf numFmtId="0" fontId="101" fillId="3" borderId="68" xfId="65" applyFont="1" applyFill="1" applyBorder="1" applyAlignment="1">
      <alignment horizontal="right"/>
    </xf>
    <xf numFmtId="0" fontId="100" fillId="0" borderId="70" xfId="65" applyFont="1" applyBorder="1"/>
    <xf numFmtId="0" fontId="100" fillId="0" borderId="64" xfId="65" applyFont="1" applyBorder="1"/>
    <xf numFmtId="1" fontId="100" fillId="0" borderId="65" xfId="65" applyNumberFormat="1" applyFont="1" applyBorder="1"/>
    <xf numFmtId="1" fontId="30" fillId="0" borderId="69" xfId="65" applyNumberFormat="1" applyFont="1" applyBorder="1"/>
    <xf numFmtId="1" fontId="30" fillId="0" borderId="61" xfId="65" applyNumberFormat="1" applyFont="1" applyBorder="1"/>
    <xf numFmtId="1" fontId="30" fillId="0" borderId="62" xfId="65" applyNumberFormat="1" applyFont="1" applyBorder="1"/>
    <xf numFmtId="0" fontId="112" fillId="3" borderId="148" xfId="65" applyFont="1" applyFill="1" applyBorder="1"/>
    <xf numFmtId="167" fontId="31" fillId="62" borderId="150" xfId="8" applyNumberFormat="1" applyFont="1" applyFill="1" applyBorder="1"/>
    <xf numFmtId="1" fontId="30" fillId="0" borderId="5" xfId="8" applyNumberFormat="1" applyFont="1" applyBorder="1" applyAlignment="1">
      <alignment horizontal="right"/>
    </xf>
    <xf numFmtId="1" fontId="30" fillId="0" borderId="9" xfId="8" applyNumberFormat="1" applyFont="1" applyBorder="1" applyAlignment="1">
      <alignment horizontal="right"/>
    </xf>
    <xf numFmtId="1" fontId="31" fillId="0" borderId="150" xfId="8" applyNumberFormat="1" applyFont="1" applyBorder="1" applyAlignment="1">
      <alignment horizontal="right"/>
    </xf>
    <xf numFmtId="1" fontId="31" fillId="0" borderId="150" xfId="8" applyNumberFormat="1" applyFont="1" applyBorder="1" applyAlignment="1">
      <alignment horizontal="center"/>
    </xf>
    <xf numFmtId="1" fontId="31" fillId="0" borderId="17" xfId="8" applyNumberFormat="1" applyFont="1" applyBorder="1"/>
    <xf numFmtId="1" fontId="158" fillId="0" borderId="0" xfId="0" applyNumberFormat="1" applyFont="1"/>
    <xf numFmtId="1" fontId="78" fillId="0" borderId="0" xfId="0" applyNumberFormat="1" applyFont="1"/>
    <xf numFmtId="3" fontId="76" fillId="0" borderId="0" xfId="0" applyNumberFormat="1" applyFont="1" applyAlignment="1">
      <alignment horizontal="center" vertical="center"/>
    </xf>
    <xf numFmtId="0" fontId="76" fillId="61" borderId="0" xfId="68" applyFont="1" applyFill="1" applyAlignment="1">
      <alignment horizontal="center"/>
    </xf>
    <xf numFmtId="1" fontId="9" fillId="61" borderId="0" xfId="68" applyNumberFormat="1" applyFill="1" applyAlignment="1">
      <alignment horizontal="center"/>
    </xf>
    <xf numFmtId="1" fontId="56" fillId="0" borderId="155" xfId="0" applyNumberFormat="1" applyFont="1" applyBorder="1"/>
    <xf numFmtId="1" fontId="56" fillId="0" borderId="89" xfId="0" applyNumberFormat="1" applyFont="1" applyBorder="1"/>
    <xf numFmtId="1" fontId="28" fillId="5" borderId="13" xfId="0" applyNumberFormat="1" applyFont="1" applyFill="1" applyBorder="1" applyAlignment="1" applyProtection="1">
      <alignment vertical="top"/>
      <protection locked="0"/>
    </xf>
    <xf numFmtId="1" fontId="28" fillId="5" borderId="0" xfId="0" applyNumberFormat="1" applyFont="1" applyFill="1" applyAlignment="1" applyProtection="1">
      <alignment vertical="top"/>
      <protection locked="0"/>
    </xf>
    <xf numFmtId="0" fontId="28" fillId="5" borderId="0" xfId="0" applyFont="1" applyFill="1" applyAlignment="1" applyProtection="1">
      <alignment vertical="top"/>
      <protection locked="0"/>
    </xf>
    <xf numFmtId="1" fontId="15" fillId="0" borderId="17" xfId="8" applyNumberFormat="1" applyFont="1" applyBorder="1"/>
    <xf numFmtId="167" fontId="31" fillId="0" borderId="150" xfId="8" applyNumberFormat="1" applyFont="1" applyBorder="1"/>
    <xf numFmtId="0" fontId="9" fillId="6" borderId="0" xfId="68" applyFill="1"/>
    <xf numFmtId="1" fontId="56" fillId="0" borderId="19" xfId="65" applyNumberFormat="1" applyFont="1" applyBorder="1"/>
    <xf numFmtId="1" fontId="56" fillId="0" borderId="57" xfId="65" applyNumberFormat="1" applyFont="1" applyBorder="1" applyAlignment="1">
      <alignment horizontal="right"/>
    </xf>
    <xf numFmtId="1" fontId="115" fillId="0" borderId="19" xfId="0" applyNumberFormat="1" applyFont="1" applyBorder="1"/>
    <xf numFmtId="1" fontId="56" fillId="0" borderId="92" xfId="0" applyNumberFormat="1" applyFont="1" applyBorder="1"/>
    <xf numFmtId="1" fontId="158" fillId="0" borderId="155" xfId="0" applyNumberFormat="1" applyFont="1" applyBorder="1"/>
    <xf numFmtId="1" fontId="15" fillId="0" borderId="0" xfId="3" applyNumberFormat="1" applyFont="1"/>
    <xf numFmtId="9" fontId="13" fillId="0" borderId="0" xfId="0" applyNumberFormat="1" applyFont="1"/>
    <xf numFmtId="1" fontId="108" fillId="0" borderId="150" xfId="1" applyNumberFormat="1" applyFont="1" applyFill="1" applyBorder="1" applyAlignment="1">
      <alignment horizontal="center"/>
    </xf>
    <xf numFmtId="1" fontId="102" fillId="0" borderId="150" xfId="0" applyNumberFormat="1" applyFont="1" applyBorder="1" applyAlignment="1">
      <alignment horizontal="center"/>
    </xf>
    <xf numFmtId="1" fontId="102" fillId="0" borderId="150" xfId="1" applyNumberFormat="1" applyFont="1" applyFill="1" applyBorder="1" applyAlignment="1">
      <alignment horizontal="center"/>
    </xf>
    <xf numFmtId="1" fontId="108" fillId="0" borderId="150" xfId="0" applyNumberFormat="1" applyFont="1" applyBorder="1" applyAlignment="1">
      <alignment horizontal="center"/>
    </xf>
    <xf numFmtId="1" fontId="102" fillId="61" borderId="150" xfId="0" applyNumberFormat="1" applyFont="1" applyFill="1" applyBorder="1" applyAlignment="1">
      <alignment horizontal="center"/>
    </xf>
    <xf numFmtId="1" fontId="108" fillId="61" borderId="150" xfId="0" applyNumberFormat="1" applyFont="1" applyFill="1" applyBorder="1" applyAlignment="1">
      <alignment horizontal="center"/>
    </xf>
    <xf numFmtId="172" fontId="13" fillId="6" borderId="150" xfId="1" applyNumberFormat="1" applyFont="1" applyFill="1" applyBorder="1" applyAlignment="1">
      <alignment horizontal="left"/>
    </xf>
    <xf numFmtId="168" fontId="102" fillId="0" borderId="150" xfId="0" applyNumberFormat="1" applyFont="1" applyBorder="1" applyAlignment="1">
      <alignment horizontal="center"/>
    </xf>
    <xf numFmtId="1" fontId="153" fillId="0" borderId="150" xfId="0" applyNumberFormat="1" applyFont="1" applyBorder="1" applyAlignment="1">
      <alignment horizontal="center" vertical="center"/>
    </xf>
    <xf numFmtId="0" fontId="108" fillId="61" borderId="150" xfId="0" applyFont="1" applyFill="1" applyBorder="1" applyAlignment="1">
      <alignment horizontal="center"/>
    </xf>
    <xf numFmtId="173" fontId="108" fillId="61" borderId="150" xfId="1" applyNumberFormat="1" applyFont="1" applyFill="1" applyBorder="1" applyAlignment="1">
      <alignment horizontal="center"/>
    </xf>
    <xf numFmtId="1" fontId="108" fillId="0" borderId="150" xfId="0" applyNumberFormat="1" applyFont="1" applyBorder="1" applyAlignment="1" applyProtection="1">
      <alignment horizontal="center" vertical="top" wrapText="1"/>
      <protection locked="0"/>
    </xf>
    <xf numFmtId="1" fontId="102" fillId="61" borderId="150" xfId="0" applyNumberFormat="1" applyFont="1" applyFill="1" applyBorder="1" applyAlignment="1" applyProtection="1">
      <alignment horizontal="center" vertical="top" wrapText="1"/>
      <protection locked="0"/>
    </xf>
    <xf numFmtId="172" fontId="13" fillId="0" borderId="150" xfId="1" applyNumberFormat="1" applyFont="1" applyFill="1" applyBorder="1" applyAlignment="1">
      <alignment horizontal="center"/>
    </xf>
    <xf numFmtId="1" fontId="108" fillId="0" borderId="150" xfId="10" applyNumberFormat="1" applyFont="1" applyFill="1" applyBorder="1" applyAlignment="1">
      <alignment horizontal="center"/>
    </xf>
    <xf numFmtId="1" fontId="13" fillId="0" borderId="150" xfId="0" applyNumberFormat="1" applyFont="1" applyBorder="1" applyAlignment="1">
      <alignment horizontal="center"/>
    </xf>
    <xf numFmtId="1" fontId="128" fillId="0" borderId="150" xfId="0" applyNumberFormat="1" applyFont="1" applyBorder="1" applyAlignment="1">
      <alignment horizontal="center"/>
    </xf>
    <xf numFmtId="2" fontId="128" fillId="0" borderId="150" xfId="0" applyNumberFormat="1" applyFont="1" applyBorder="1" applyAlignment="1">
      <alignment horizontal="center"/>
    </xf>
    <xf numFmtId="1" fontId="15" fillId="0" borderId="150" xfId="0" applyNumberFormat="1" applyFont="1" applyBorder="1" applyAlignment="1">
      <alignment horizontal="center"/>
    </xf>
    <xf numFmtId="1" fontId="13" fillId="0" borderId="150" xfId="0" applyNumberFormat="1" applyFont="1" applyBorder="1" applyAlignment="1" applyProtection="1">
      <alignment horizontal="center" vertical="top" wrapText="1"/>
      <protection locked="0"/>
    </xf>
    <xf numFmtId="0" fontId="108" fillId="0" borderId="150" xfId="0" applyFont="1" applyBorder="1"/>
    <xf numFmtId="0" fontId="108" fillId="0" borderId="150" xfId="0" applyFont="1" applyBorder="1" applyAlignment="1">
      <alignment horizontal="center"/>
    </xf>
    <xf numFmtId="167" fontId="108" fillId="0" borderId="150" xfId="0" applyNumberFormat="1" applyFont="1" applyBorder="1"/>
    <xf numFmtId="167" fontId="108" fillId="0" borderId="150" xfId="0" applyNumberFormat="1" applyFont="1" applyBorder="1" applyAlignment="1">
      <alignment horizontal="center"/>
    </xf>
    <xf numFmtId="0" fontId="13" fillId="0" borderId="150" xfId="0" applyFont="1" applyBorder="1"/>
    <xf numFmtId="0" fontId="13" fillId="0" borderId="150" xfId="0" applyFont="1" applyBorder="1" applyAlignment="1">
      <alignment horizontal="center"/>
    </xf>
    <xf numFmtId="0" fontId="48" fillId="0" borderId="150" xfId="0" applyFont="1" applyBorder="1"/>
    <xf numFmtId="1" fontId="79" fillId="0" borderId="148" xfId="0" applyNumberFormat="1" applyFont="1" applyBorder="1"/>
    <xf numFmtId="0" fontId="48" fillId="0" borderId="151" xfId="0" applyFont="1" applyBorder="1"/>
    <xf numFmtId="1" fontId="80" fillId="0" borderId="150" xfId="0" applyNumberFormat="1" applyFont="1" applyBorder="1" applyAlignment="1">
      <alignment horizontal="left"/>
    </xf>
    <xf numFmtId="1" fontId="80" fillId="0" borderId="151" xfId="0" applyNumberFormat="1" applyFont="1" applyBorder="1" applyAlignment="1">
      <alignment horizontal="left"/>
    </xf>
    <xf numFmtId="1" fontId="31" fillId="0" borderId="150" xfId="0" applyNumberFormat="1" applyFont="1" applyBorder="1" applyAlignment="1">
      <alignment horizontal="left"/>
    </xf>
    <xf numFmtId="173" fontId="79" fillId="0" borderId="148" xfId="1" applyNumberFormat="1" applyFont="1" applyFill="1" applyBorder="1"/>
    <xf numFmtId="1" fontId="31" fillId="0" borderId="151" xfId="0" applyNumberFormat="1" applyFont="1" applyBorder="1" applyAlignment="1">
      <alignment horizontal="left"/>
    </xf>
    <xf numFmtId="1" fontId="79" fillId="0" borderId="150" xfId="0" applyNumberFormat="1" applyFont="1" applyBorder="1"/>
    <xf numFmtId="1" fontId="79" fillId="0" borderId="151" xfId="0" applyNumberFormat="1" applyFont="1" applyBorder="1"/>
    <xf numFmtId="1" fontId="100" fillId="0" borderId="148" xfId="0" applyNumberFormat="1" applyFont="1" applyBorder="1" applyAlignment="1">
      <alignment horizontal="center"/>
    </xf>
    <xf numFmtId="1" fontId="30" fillId="0" borderId="148" xfId="0" applyNumberFormat="1" applyFont="1" applyBorder="1" applyAlignment="1">
      <alignment horizontal="right"/>
    </xf>
    <xf numFmtId="1" fontId="30" fillId="0" borderId="148" xfId="0" applyNumberFormat="1" applyFont="1" applyBorder="1" applyAlignment="1">
      <alignment horizontal="center"/>
    </xf>
    <xf numFmtId="0" fontId="0" fillId="0" borderId="152" xfId="0" applyBorder="1"/>
    <xf numFmtId="0" fontId="77" fillId="0" borderId="152" xfId="65" applyFont="1" applyBorder="1"/>
    <xf numFmtId="1" fontId="79" fillId="0" borderId="148" xfId="0" applyNumberFormat="1" applyFont="1" applyBorder="1" applyAlignment="1">
      <alignment horizontal="center"/>
    </xf>
    <xf numFmtId="0" fontId="112" fillId="0" borderId="148" xfId="0" applyFont="1" applyBorder="1"/>
    <xf numFmtId="0" fontId="112" fillId="6" borderId="148" xfId="0" applyFont="1" applyFill="1" applyBorder="1"/>
    <xf numFmtId="0" fontId="112" fillId="3" borderId="148" xfId="0" applyFont="1" applyFill="1" applyBorder="1"/>
    <xf numFmtId="0" fontId="81" fillId="0" borderId="148" xfId="0" applyFont="1" applyBorder="1"/>
    <xf numFmtId="1" fontId="79" fillId="0" borderId="148" xfId="0" applyNumberFormat="1" applyFont="1" applyBorder="1" applyAlignment="1">
      <alignment horizontal="right"/>
    </xf>
    <xf numFmtId="0" fontId="81" fillId="0" borderId="148" xfId="0" applyFont="1" applyBorder="1" applyAlignment="1">
      <alignment horizontal="center"/>
    </xf>
    <xf numFmtId="0" fontId="82" fillId="6" borderId="150" xfId="0" applyFont="1" applyFill="1" applyBorder="1"/>
    <xf numFmtId="1" fontId="9" fillId="61" borderId="152" xfId="68" applyNumberFormat="1" applyFill="1" applyBorder="1" applyAlignment="1">
      <alignment horizontal="center"/>
    </xf>
    <xf numFmtId="1" fontId="0" fillId="0" borderId="150" xfId="0" applyNumberFormat="1" applyBorder="1"/>
    <xf numFmtId="2" fontId="0" fillId="0" borderId="150" xfId="0" applyNumberFormat="1" applyBorder="1" applyAlignment="1">
      <alignment horizontal="center"/>
    </xf>
    <xf numFmtId="2" fontId="113" fillId="0" borderId="150" xfId="0" applyNumberFormat="1" applyFont="1" applyBorder="1" applyAlignment="1">
      <alignment horizontal="center"/>
    </xf>
    <xf numFmtId="1" fontId="0" fillId="0" borderId="152" xfId="0" applyNumberFormat="1" applyBorder="1"/>
    <xf numFmtId="1" fontId="0" fillId="11" borderId="152" xfId="0" applyNumberFormat="1" applyFill="1" applyBorder="1"/>
    <xf numFmtId="2" fontId="77" fillId="0" borderId="152" xfId="0" applyNumberFormat="1" applyFont="1" applyBorder="1"/>
    <xf numFmtId="2" fontId="77" fillId="11" borderId="152" xfId="0" applyNumberFormat="1" applyFont="1" applyFill="1" applyBorder="1"/>
    <xf numFmtId="2" fontId="83" fillId="0" borderId="152" xfId="0" applyNumberFormat="1" applyFont="1" applyBorder="1"/>
    <xf numFmtId="1" fontId="48" fillId="11" borderId="150" xfId="0" applyNumberFormat="1" applyFont="1" applyFill="1" applyBorder="1"/>
    <xf numFmtId="2" fontId="137" fillId="0" borderId="152" xfId="0" applyNumberFormat="1" applyFont="1" applyBorder="1"/>
    <xf numFmtId="0" fontId="13" fillId="0" borderId="150" xfId="3" applyFont="1" applyBorder="1"/>
    <xf numFmtId="2" fontId="115" fillId="0" borderId="152" xfId="0" applyNumberFormat="1" applyFont="1" applyBorder="1"/>
    <xf numFmtId="2" fontId="115" fillId="0" borderId="150" xfId="0" applyNumberFormat="1" applyFont="1" applyBorder="1"/>
    <xf numFmtId="2" fontId="56" fillId="0" borderId="152" xfId="0" applyNumberFormat="1" applyFont="1" applyBorder="1"/>
    <xf numFmtId="0" fontId="102" fillId="0" borderId="156" xfId="0" applyFont="1" applyBorder="1"/>
    <xf numFmtId="1" fontId="108" fillId="0" borderId="93" xfId="0" applyNumberFormat="1" applyFont="1" applyBorder="1" applyAlignment="1">
      <alignment horizontal="center"/>
    </xf>
    <xf numFmtId="1" fontId="96" fillId="0" borderId="0" xfId="0" applyNumberFormat="1" applyFont="1" applyAlignment="1">
      <alignment horizontal="center"/>
    </xf>
    <xf numFmtId="0" fontId="167" fillId="0" borderId="0" xfId="0" applyFont="1"/>
    <xf numFmtId="0" fontId="168" fillId="0" borderId="0" xfId="0" applyFont="1"/>
    <xf numFmtId="0" fontId="169" fillId="0" borderId="0" xfId="0" applyFont="1"/>
    <xf numFmtId="0" fontId="169" fillId="0" borderId="8" xfId="0" applyFont="1" applyBorder="1"/>
    <xf numFmtId="0" fontId="169" fillId="0" borderId="36" xfId="0" applyFont="1" applyBorder="1"/>
    <xf numFmtId="0" fontId="169" fillId="0" borderId="37" xfId="0" applyFont="1" applyBorder="1"/>
    <xf numFmtId="0" fontId="169" fillId="0" borderId="58" xfId="0" applyFont="1" applyBorder="1"/>
    <xf numFmtId="0" fontId="169" fillId="0" borderId="39" xfId="0" applyFont="1" applyBorder="1"/>
    <xf numFmtId="0" fontId="169" fillId="0" borderId="157" xfId="0" applyFont="1" applyBorder="1" applyAlignment="1">
      <alignment horizontal="center"/>
    </xf>
    <xf numFmtId="2" fontId="169" fillId="0" borderId="33" xfId="0" applyNumberFormat="1" applyFont="1" applyBorder="1"/>
    <xf numFmtId="2" fontId="169" fillId="0" borderId="157" xfId="0" applyNumberFormat="1" applyFont="1" applyBorder="1"/>
    <xf numFmtId="0" fontId="169" fillId="0" borderId="158" xfId="0" applyFont="1" applyBorder="1" applyAlignment="1">
      <alignment horizontal="center"/>
    </xf>
    <xf numFmtId="2" fontId="169" fillId="0" borderId="41" xfId="0" applyNumberFormat="1" applyFont="1" applyBorder="1"/>
    <xf numFmtId="0" fontId="169" fillId="0" borderId="41" xfId="0" applyFont="1" applyBorder="1" applyAlignment="1">
      <alignment horizontal="center"/>
    </xf>
    <xf numFmtId="0" fontId="23" fillId="0" borderId="159" xfId="0" applyFont="1" applyBorder="1" applyAlignment="1">
      <alignment horizontal="center"/>
    </xf>
    <xf numFmtId="1" fontId="169" fillId="0" borderId="36" xfId="0" applyNumberFormat="1" applyFont="1" applyBorder="1"/>
    <xf numFmtId="1" fontId="169" fillId="0" borderId="58" xfId="0" applyNumberFormat="1" applyFont="1" applyBorder="1"/>
    <xf numFmtId="1" fontId="169" fillId="0" borderId="37" xfId="0" applyNumberFormat="1" applyFont="1" applyBorder="1"/>
    <xf numFmtId="2" fontId="169" fillId="0" borderId="104" xfId="0" applyNumberFormat="1" applyFont="1" applyBorder="1"/>
    <xf numFmtId="0" fontId="169" fillId="0" borderId="40" xfId="0" applyFont="1" applyBorder="1"/>
    <xf numFmtId="0" fontId="15" fillId="0" borderId="47" xfId="0" applyFont="1" applyBorder="1" applyAlignment="1">
      <alignment horizontal="center"/>
    </xf>
    <xf numFmtId="0" fontId="15" fillId="0" borderId="157" xfId="0" applyFont="1" applyBorder="1" applyAlignment="1">
      <alignment horizontal="center"/>
    </xf>
    <xf numFmtId="0" fontId="15" fillId="0" borderId="160" xfId="0" applyFont="1" applyBorder="1" applyAlignment="1">
      <alignment horizontal="center"/>
    </xf>
    <xf numFmtId="2" fontId="169" fillId="0" borderId="158" xfId="0" applyNumberFormat="1" applyFont="1" applyBorder="1" applyAlignment="1">
      <alignment horizontal="right"/>
    </xf>
    <xf numFmtId="1" fontId="168" fillId="0" borderId="0" xfId="0" applyNumberFormat="1" applyFont="1" applyAlignment="1">
      <alignment horizontal="center"/>
    </xf>
    <xf numFmtId="2" fontId="169" fillId="0" borderId="161" xfId="0" applyNumberFormat="1" applyFont="1" applyBorder="1"/>
    <xf numFmtId="2" fontId="169" fillId="0" borderId="47" xfId="0" applyNumberFormat="1" applyFont="1" applyBorder="1"/>
    <xf numFmtId="2" fontId="82" fillId="0" borderId="157" xfId="0" applyNumberFormat="1" applyFont="1" applyBorder="1"/>
    <xf numFmtId="2" fontId="82" fillId="0" borderId="160" xfId="0" applyNumberFormat="1" applyFont="1" applyBorder="1"/>
    <xf numFmtId="2" fontId="24" fillId="0" borderId="40" xfId="0" applyNumberFormat="1" applyFont="1" applyBorder="1" applyAlignment="1">
      <alignment horizontal="right"/>
    </xf>
    <xf numFmtId="2" fontId="24" fillId="0" borderId="8" xfId="0" applyNumberFormat="1" applyFont="1" applyBorder="1" applyAlignment="1">
      <alignment horizontal="right"/>
    </xf>
    <xf numFmtId="2" fontId="24" fillId="0" borderId="42" xfId="0" applyNumberFormat="1" applyFont="1" applyBorder="1" applyAlignment="1">
      <alignment horizontal="right"/>
    </xf>
    <xf numFmtId="0" fontId="78" fillId="0" borderId="8" xfId="0" applyFont="1" applyBorder="1"/>
    <xf numFmtId="0" fontId="78" fillId="0" borderId="36" xfId="0" applyFont="1" applyBorder="1"/>
    <xf numFmtId="0" fontId="78" fillId="0" borderId="37" xfId="0" applyFont="1" applyBorder="1"/>
    <xf numFmtId="0" fontId="78" fillId="0" borderId="58" xfId="0" applyFont="1" applyBorder="1"/>
    <xf numFmtId="0" fontId="78" fillId="0" borderId="39" xfId="0" applyFont="1" applyBorder="1"/>
    <xf numFmtId="0" fontId="78" fillId="0" borderId="157" xfId="0" applyFont="1" applyBorder="1" applyAlignment="1">
      <alignment horizontal="center"/>
    </xf>
    <xf numFmtId="0" fontId="78" fillId="0" borderId="33" xfId="0" applyFont="1" applyBorder="1"/>
    <xf numFmtId="2" fontId="0" fillId="0" borderId="158" xfId="0" applyNumberFormat="1" applyBorder="1"/>
    <xf numFmtId="0" fontId="78" fillId="0" borderId="41" xfId="0" applyFont="1" applyBorder="1" applyAlignment="1">
      <alignment horizontal="center"/>
    </xf>
    <xf numFmtId="2" fontId="78" fillId="0" borderId="33" xfId="0" applyNumberFormat="1" applyFont="1" applyBorder="1"/>
    <xf numFmtId="0" fontId="78" fillId="0" borderId="34" xfId="0" applyFont="1" applyBorder="1"/>
    <xf numFmtId="0" fontId="78" fillId="0" borderId="42" xfId="0" applyFont="1" applyBorder="1"/>
    <xf numFmtId="0" fontId="78" fillId="0" borderId="57" xfId="0" applyFont="1" applyBorder="1"/>
    <xf numFmtId="1" fontId="78" fillId="0" borderId="36" xfId="0" applyNumberFormat="1" applyFont="1" applyBorder="1"/>
    <xf numFmtId="1" fontId="78" fillId="0" borderId="58" xfId="0" applyNumberFormat="1" applyFont="1" applyBorder="1"/>
    <xf numFmtId="1" fontId="78" fillId="0" borderId="37" xfId="0" applyNumberFormat="1" applyFont="1" applyBorder="1"/>
    <xf numFmtId="1" fontId="78" fillId="0" borderId="45" xfId="0" applyNumberFormat="1" applyFont="1" applyBorder="1"/>
    <xf numFmtId="0" fontId="0" fillId="0" borderId="54" xfId="0" applyBorder="1"/>
    <xf numFmtId="0" fontId="0" fillId="0" borderId="8" xfId="0" applyBorder="1"/>
    <xf numFmtId="1" fontId="78" fillId="0" borderId="8" xfId="0" applyNumberFormat="1" applyFont="1" applyBorder="1"/>
    <xf numFmtId="0" fontId="158" fillId="0" borderId="0" xfId="0" applyFont="1"/>
    <xf numFmtId="0" fontId="170" fillId="0" borderId="0" xfId="0" applyFont="1"/>
    <xf numFmtId="1" fontId="171" fillId="0" borderId="0" xfId="0" applyNumberFormat="1" applyFont="1"/>
    <xf numFmtId="1" fontId="168" fillId="6" borderId="0" xfId="0" applyNumberFormat="1" applyFont="1" applyFill="1" applyAlignment="1">
      <alignment horizontal="center"/>
    </xf>
    <xf numFmtId="2" fontId="13" fillId="61" borderId="0" xfId="3" applyNumberFormat="1" applyFont="1" applyFill="1"/>
    <xf numFmtId="0" fontId="18" fillId="0" borderId="0" xfId="3" applyFont="1"/>
    <xf numFmtId="1" fontId="47" fillId="0" borderId="0" xfId="3" applyNumberFormat="1" applyFont="1"/>
    <xf numFmtId="1" fontId="173" fillId="0" borderId="57" xfId="0" applyNumberFormat="1" applyFont="1" applyBorder="1" applyAlignment="1">
      <alignment horizontal="right"/>
    </xf>
    <xf numFmtId="0" fontId="174" fillId="0" borderId="0" xfId="0" applyFont="1"/>
    <xf numFmtId="0" fontId="175" fillId="0" borderId="0" xfId="0" applyFont="1"/>
    <xf numFmtId="0" fontId="164" fillId="0" borderId="0" xfId="0" applyFont="1"/>
    <xf numFmtId="0" fontId="176" fillId="0" borderId="0" xfId="0" applyFont="1"/>
    <xf numFmtId="0" fontId="177" fillId="0" borderId="0" xfId="0" applyFont="1"/>
    <xf numFmtId="0" fontId="178" fillId="0" borderId="0" xfId="0" applyFont="1"/>
    <xf numFmtId="0" fontId="177" fillId="0" borderId="8" xfId="0" applyFont="1" applyBorder="1"/>
    <xf numFmtId="0" fontId="177" fillId="0" borderId="157" xfId="0" applyFont="1" applyBorder="1" applyAlignment="1">
      <alignment horizontal="center"/>
    </xf>
    <xf numFmtId="0" fontId="177" fillId="0" borderId="158" xfId="0" applyFont="1" applyBorder="1" applyAlignment="1">
      <alignment horizontal="center"/>
    </xf>
    <xf numFmtId="0" fontId="177" fillId="0" borderId="41" xfId="0" applyFont="1" applyBorder="1" applyAlignment="1">
      <alignment horizontal="center"/>
    </xf>
    <xf numFmtId="1" fontId="177" fillId="0" borderId="58" xfId="0" applyNumberFormat="1" applyFont="1" applyBorder="1"/>
    <xf numFmtId="0" fontId="175" fillId="0" borderId="139" xfId="0" applyFont="1" applyBorder="1" applyAlignment="1">
      <alignment horizontal="center"/>
    </xf>
    <xf numFmtId="0" fontId="175" fillId="0" borderId="31" xfId="0" applyFont="1" applyBorder="1"/>
    <xf numFmtId="2" fontId="175" fillId="0" borderId="33" xfId="0" applyNumberFormat="1" applyFont="1" applyBorder="1"/>
    <xf numFmtId="2" fontId="177" fillId="0" borderId="104" xfId="0" applyNumberFormat="1" applyFont="1" applyBorder="1"/>
    <xf numFmtId="2" fontId="175" fillId="0" borderId="41" xfId="0" applyNumberFormat="1" applyFont="1" applyBorder="1"/>
    <xf numFmtId="2" fontId="175" fillId="0" borderId="126" xfId="0" applyNumberFormat="1" applyFont="1" applyBorder="1"/>
    <xf numFmtId="2" fontId="175" fillId="0" borderId="49" xfId="0" applyNumberFormat="1" applyFont="1" applyBorder="1"/>
    <xf numFmtId="2" fontId="177" fillId="0" borderId="25" xfId="0" applyNumberFormat="1" applyFont="1" applyBorder="1"/>
    <xf numFmtId="1" fontId="177" fillId="0" borderId="36" xfId="0" applyNumberFormat="1" applyFont="1" applyBorder="1"/>
    <xf numFmtId="1" fontId="177" fillId="0" borderId="37" xfId="0" applyNumberFormat="1" applyFont="1" applyBorder="1"/>
    <xf numFmtId="2" fontId="175" fillId="0" borderId="54" xfId="0" applyNumberFormat="1" applyFont="1" applyBorder="1"/>
    <xf numFmtId="2" fontId="175" fillId="0" borderId="8" xfId="0" applyNumberFormat="1" applyFont="1" applyBorder="1"/>
    <xf numFmtId="1" fontId="177" fillId="0" borderId="8" xfId="0" applyNumberFormat="1" applyFont="1" applyBorder="1"/>
    <xf numFmtId="0" fontId="177" fillId="0" borderId="40" xfId="0" applyFont="1" applyBorder="1"/>
    <xf numFmtId="0" fontId="177" fillId="0" borderId="32" xfId="0" applyFont="1" applyBorder="1"/>
    <xf numFmtId="0" fontId="177" fillId="0" borderId="23" xfId="0" applyFont="1" applyBorder="1"/>
    <xf numFmtId="0" fontId="177" fillId="0" borderId="162" xfId="0" applyFont="1" applyBorder="1"/>
    <xf numFmtId="0" fontId="177" fillId="0" borderId="10" xfId="0" applyFont="1" applyBorder="1"/>
    <xf numFmtId="0" fontId="12" fillId="0" borderId="0" xfId="0" applyFont="1" applyAlignment="1">
      <alignment horizontal="center" vertical="center" wrapText="1"/>
    </xf>
    <xf numFmtId="1" fontId="101" fillId="0" borderId="61" xfId="0" applyNumberFormat="1" applyFont="1" applyBorder="1" applyAlignment="1">
      <alignment horizontal="right"/>
    </xf>
    <xf numFmtId="1" fontId="15" fillId="0" borderId="62" xfId="0" applyNumberFormat="1" applyFont="1" applyBorder="1" applyAlignment="1">
      <alignment horizontal="right"/>
    </xf>
    <xf numFmtId="1" fontId="101" fillId="0" borderId="63" xfId="0" applyNumberFormat="1" applyFont="1" applyBorder="1" applyAlignment="1">
      <alignment horizontal="right"/>
    </xf>
    <xf numFmtId="1" fontId="101" fillId="0" borderId="64" xfId="0" applyNumberFormat="1" applyFont="1" applyBorder="1" applyAlignment="1">
      <alignment horizontal="right"/>
    </xf>
    <xf numFmtId="1" fontId="101" fillId="0" borderId="65" xfId="0" applyNumberFormat="1" applyFont="1" applyBorder="1" applyAlignment="1">
      <alignment horizontal="right"/>
    </xf>
    <xf numFmtId="1" fontId="101" fillId="0" borderId="66" xfId="0" applyNumberFormat="1" applyFont="1" applyBorder="1" applyAlignment="1">
      <alignment horizontal="right"/>
    </xf>
    <xf numFmtId="1" fontId="101" fillId="0" borderId="67" xfId="0" applyNumberFormat="1" applyFont="1" applyBorder="1" applyAlignment="1">
      <alignment horizontal="right"/>
    </xf>
    <xf numFmtId="1" fontId="15" fillId="0" borderId="68" xfId="0" applyNumberFormat="1" applyFont="1" applyBorder="1" applyAlignment="1">
      <alignment horizontal="right"/>
    </xf>
    <xf numFmtId="0" fontId="15" fillId="0" borderId="68" xfId="0" applyFont="1" applyBorder="1" applyAlignment="1">
      <alignment horizontal="right"/>
    </xf>
    <xf numFmtId="0" fontId="47" fillId="0" borderId="44" xfId="0" applyFont="1" applyBorder="1"/>
    <xf numFmtId="1" fontId="101" fillId="0" borderId="60" xfId="0" applyNumberFormat="1" applyFont="1" applyBorder="1" applyAlignment="1">
      <alignment horizontal="right"/>
    </xf>
    <xf numFmtId="1" fontId="101" fillId="0" borderId="62" xfId="0" applyNumberFormat="1" applyFont="1" applyBorder="1" applyAlignment="1">
      <alignment horizontal="right"/>
    </xf>
    <xf numFmtId="1" fontId="101" fillId="0" borderId="68" xfId="0" applyNumberFormat="1" applyFont="1" applyBorder="1" applyAlignment="1">
      <alignment horizontal="right"/>
    </xf>
    <xf numFmtId="1" fontId="12" fillId="0" borderId="69" xfId="0" applyNumberFormat="1" applyFont="1" applyBorder="1"/>
    <xf numFmtId="1" fontId="12" fillId="0" borderId="61" xfId="0" applyNumberFormat="1" applyFont="1" applyBorder="1"/>
    <xf numFmtId="1" fontId="12" fillId="0" borderId="61" xfId="0" applyNumberFormat="1" applyFont="1" applyBorder="1" applyAlignment="1">
      <alignment horizontal="center"/>
    </xf>
    <xf numFmtId="1" fontId="15" fillId="0" borderId="69" xfId="0" applyNumberFormat="1" applyFont="1" applyBorder="1"/>
    <xf numFmtId="1" fontId="15" fillId="0" borderId="61" xfId="0" applyNumberFormat="1" applyFont="1" applyBorder="1"/>
    <xf numFmtId="1" fontId="15" fillId="0" borderId="62" xfId="0" applyNumberFormat="1" applyFont="1" applyBorder="1"/>
    <xf numFmtId="1" fontId="6" fillId="0" borderId="0" xfId="154" applyNumberFormat="1"/>
    <xf numFmtId="0" fontId="6" fillId="0" borderId="0" xfId="154"/>
    <xf numFmtId="0" fontId="81" fillId="0" borderId="44" xfId="0" applyFont="1" applyBorder="1"/>
    <xf numFmtId="1" fontId="112" fillId="0" borderId="148" xfId="65" applyNumberFormat="1" applyFont="1" applyBorder="1"/>
    <xf numFmtId="1" fontId="179" fillId="0" borderId="60" xfId="0" applyNumberFormat="1" applyFont="1" applyBorder="1"/>
    <xf numFmtId="1" fontId="179" fillId="0" borderId="61" xfId="0" applyNumberFormat="1" applyFont="1" applyBorder="1"/>
    <xf numFmtId="1" fontId="179" fillId="0" borderId="61" xfId="0" applyNumberFormat="1" applyFont="1" applyBorder="1" applyAlignment="1">
      <alignment horizontal="right"/>
    </xf>
    <xf numFmtId="1" fontId="179" fillId="0" borderId="62" xfId="0" applyNumberFormat="1" applyFont="1" applyBorder="1" applyAlignment="1">
      <alignment horizontal="right"/>
    </xf>
    <xf numFmtId="1" fontId="179" fillId="0" borderId="63" xfId="0" applyNumberFormat="1" applyFont="1" applyBorder="1" applyAlignment="1">
      <alignment horizontal="right"/>
    </xf>
    <xf numFmtId="1" fontId="180" fillId="0" borderId="64" xfId="0" applyNumberFormat="1" applyFont="1" applyBorder="1" applyAlignment="1">
      <alignment horizontal="right"/>
    </xf>
    <xf numFmtId="1" fontId="180" fillId="0" borderId="65" xfId="0" applyNumberFormat="1" applyFont="1" applyBorder="1" applyAlignment="1">
      <alignment horizontal="right"/>
    </xf>
    <xf numFmtId="1" fontId="181" fillId="0" borderId="60" xfId="0" applyNumberFormat="1" applyFont="1" applyBorder="1"/>
    <xf numFmtId="1" fontId="181" fillId="0" borderId="61" xfId="0" applyNumberFormat="1" applyFont="1" applyBorder="1"/>
    <xf numFmtId="1" fontId="180" fillId="0" borderId="63" xfId="0" applyNumberFormat="1" applyFont="1" applyBorder="1" applyAlignment="1">
      <alignment horizontal="right"/>
    </xf>
    <xf numFmtId="1" fontId="179" fillId="0" borderId="69" xfId="0" applyNumberFormat="1" applyFont="1" applyBorder="1"/>
    <xf numFmtId="2" fontId="0" fillId="6" borderId="0" xfId="0" applyNumberFormat="1" applyFill="1"/>
    <xf numFmtId="0" fontId="13" fillId="6" borderId="0" xfId="0" applyFont="1" applyFill="1" applyAlignment="1">
      <alignment horizontal="left"/>
    </xf>
    <xf numFmtId="0" fontId="12" fillId="0" borderId="0" xfId="8"/>
    <xf numFmtId="1" fontId="13" fillId="0" borderId="0" xfId="8" applyNumberFormat="1" applyFont="1" applyAlignment="1">
      <alignment horizontal="left"/>
    </xf>
    <xf numFmtId="1" fontId="15" fillId="0" borderId="0" xfId="8" applyNumberFormat="1" applyFont="1" applyAlignment="1">
      <alignment horizontal="right"/>
    </xf>
    <xf numFmtId="1" fontId="15" fillId="9" borderId="0" xfId="8" applyNumberFormat="1" applyFont="1" applyFill="1" applyAlignment="1">
      <alignment horizontal="right"/>
    </xf>
    <xf numFmtId="0" fontId="13" fillId="0" borderId="0" xfId="8" applyFont="1"/>
    <xf numFmtId="1" fontId="13" fillId="9" borderId="0" xfId="8" applyNumberFormat="1" applyFont="1" applyFill="1" applyAlignment="1">
      <alignment horizontal="right"/>
    </xf>
    <xf numFmtId="1" fontId="13" fillId="9" borderId="0" xfId="8" applyNumberFormat="1" applyFont="1" applyFill="1" applyAlignment="1">
      <alignment horizontal="left"/>
    </xf>
    <xf numFmtId="168" fontId="109" fillId="0" borderId="0" xfId="8" applyNumberFormat="1" applyFont="1" applyAlignment="1">
      <alignment horizontal="center"/>
    </xf>
    <xf numFmtId="167" fontId="109" fillId="0" borderId="0" xfId="8" applyNumberFormat="1" applyFont="1" applyAlignment="1">
      <alignment horizontal="center"/>
    </xf>
    <xf numFmtId="1" fontId="15" fillId="9" borderId="0" xfId="8" applyNumberFormat="1" applyFont="1" applyFill="1" applyAlignment="1">
      <alignment horizontal="center" wrapText="1"/>
    </xf>
    <xf numFmtId="1" fontId="15" fillId="56" borderId="0" xfId="8" applyNumberFormat="1" applyFont="1" applyFill="1" applyAlignment="1">
      <alignment horizontal="left"/>
    </xf>
    <xf numFmtId="1" fontId="15" fillId="57" borderId="0" xfId="8" applyNumberFormat="1" applyFont="1" applyFill="1" applyAlignment="1">
      <alignment horizontal="left"/>
    </xf>
    <xf numFmtId="0" fontId="15" fillId="0" borderId="0" xfId="8" applyFont="1" applyAlignment="1">
      <alignment horizontal="center"/>
    </xf>
    <xf numFmtId="0" fontId="12" fillId="56" borderId="0" xfId="8" applyFill="1"/>
    <xf numFmtId="0" fontId="12" fillId="56" borderId="0" xfId="8" applyFill="1" applyAlignment="1">
      <alignment horizontal="right"/>
    </xf>
    <xf numFmtId="1" fontId="13" fillId="56" borderId="0" xfId="8" applyNumberFormat="1" applyFont="1" applyFill="1" applyAlignment="1">
      <alignment horizontal="right"/>
    </xf>
    <xf numFmtId="1" fontId="85" fillId="56" borderId="0" xfId="8" applyNumberFormat="1" applyFont="1" applyFill="1" applyAlignment="1">
      <alignment horizontal="right"/>
    </xf>
    <xf numFmtId="1" fontId="13" fillId="57" borderId="0" xfId="8" applyNumberFormat="1" applyFont="1" applyFill="1" applyAlignment="1">
      <alignment horizontal="right"/>
    </xf>
    <xf numFmtId="168" fontId="109" fillId="56" borderId="0" xfId="8" applyNumberFormat="1" applyFont="1" applyFill="1" applyAlignment="1">
      <alignment horizontal="center"/>
    </xf>
    <xf numFmtId="168" fontId="85" fillId="57" borderId="0" xfId="8" applyNumberFormat="1" applyFont="1" applyFill="1" applyAlignment="1">
      <alignment horizontal="center"/>
    </xf>
    <xf numFmtId="1" fontId="85" fillId="57" borderId="0" xfId="8" applyNumberFormat="1" applyFont="1" applyFill="1" applyAlignment="1">
      <alignment horizontal="right"/>
    </xf>
    <xf numFmtId="0" fontId="109" fillId="0" borderId="0" xfId="0" applyFont="1"/>
    <xf numFmtId="1" fontId="63" fillId="0" borderId="0" xfId="8" applyNumberFormat="1" applyFont="1" applyAlignment="1">
      <alignment horizontal="right"/>
    </xf>
    <xf numFmtId="1" fontId="13" fillId="56" borderId="0" xfId="8" applyNumberFormat="1" applyFont="1" applyFill="1" applyAlignment="1">
      <alignment horizontal="left"/>
    </xf>
    <xf numFmtId="1" fontId="85" fillId="0" borderId="0" xfId="8" applyNumberFormat="1" applyFont="1" applyAlignment="1">
      <alignment horizontal="center"/>
    </xf>
    <xf numFmtId="0" fontId="85" fillId="0" borderId="0" xfId="0" applyFont="1" applyAlignment="1">
      <alignment horizontal="center"/>
    </xf>
    <xf numFmtId="167" fontId="85" fillId="0" borderId="0" xfId="8" applyNumberFormat="1" applyFont="1" applyAlignment="1">
      <alignment horizontal="center"/>
    </xf>
    <xf numFmtId="1" fontId="62" fillId="0" borderId="164" xfId="0" applyNumberFormat="1" applyFont="1" applyBorder="1" applyAlignment="1">
      <alignment horizontal="center"/>
    </xf>
    <xf numFmtId="0" fontId="13" fillId="0" borderId="164" xfId="0" applyFont="1" applyBorder="1"/>
    <xf numFmtId="0" fontId="108" fillId="0" borderId="164" xfId="0" applyFont="1" applyBorder="1"/>
    <xf numFmtId="0" fontId="102" fillId="0" borderId="164" xfId="0" applyFont="1" applyBorder="1"/>
    <xf numFmtId="0" fontId="108" fillId="0" borderId="164" xfId="0" applyFont="1" applyBorder="1" applyAlignment="1">
      <alignment horizontal="center"/>
    </xf>
    <xf numFmtId="1" fontId="88" fillId="51" borderId="0" xfId="0" applyNumberFormat="1" applyFont="1" applyFill="1"/>
    <xf numFmtId="1" fontId="88" fillId="52" borderId="0" xfId="0" applyNumberFormat="1" applyFont="1" applyFill="1"/>
    <xf numFmtId="0" fontId="28" fillId="51" borderId="0" xfId="0" applyFont="1" applyFill="1"/>
    <xf numFmtId="1" fontId="28" fillId="52" borderId="0" xfId="0" applyNumberFormat="1" applyFont="1" applyFill="1"/>
    <xf numFmtId="0" fontId="88" fillId="51" borderId="0" xfId="0" applyFont="1" applyFill="1"/>
    <xf numFmtId="2" fontId="28" fillId="52" borderId="0" xfId="0" applyNumberFormat="1" applyFont="1" applyFill="1"/>
    <xf numFmtId="2" fontId="28" fillId="51" borderId="0" xfId="0" applyNumberFormat="1" applyFont="1" applyFill="1" applyAlignment="1">
      <alignment wrapText="1"/>
    </xf>
    <xf numFmtId="0" fontId="13" fillId="0" borderId="164" xfId="5" applyFont="1" applyBorder="1"/>
    <xf numFmtId="1" fontId="34" fillId="0" borderId="0" xfId="0" applyNumberFormat="1" applyFont="1" applyAlignment="1">
      <alignment horizontal="center"/>
    </xf>
    <xf numFmtId="0" fontId="91" fillId="6" borderId="0" xfId="0" applyFont="1" applyFill="1"/>
    <xf numFmtId="0" fontId="13" fillId="0" borderId="44" xfId="0" applyFont="1" applyBorder="1"/>
    <xf numFmtId="0" fontId="0" fillId="0" borderId="164" xfId="0" applyBorder="1"/>
    <xf numFmtId="1" fontId="137" fillId="0" borderId="19" xfId="0" applyNumberFormat="1" applyFont="1" applyBorder="1"/>
    <xf numFmtId="1" fontId="158" fillId="0" borderId="167" xfId="0" applyNumberFormat="1" applyFont="1" applyBorder="1" applyAlignment="1">
      <alignment horizontal="right"/>
    </xf>
    <xf numFmtId="1" fontId="158" fillId="0" borderId="57" xfId="0" applyNumberFormat="1" applyFont="1" applyBorder="1" applyAlignment="1">
      <alignment horizontal="right"/>
    </xf>
    <xf numFmtId="1" fontId="158" fillId="0" borderId="92" xfId="0" applyNumberFormat="1" applyFont="1" applyBorder="1"/>
    <xf numFmtId="0" fontId="13" fillId="11" borderId="164" xfId="0" applyFont="1" applyFill="1" applyBorder="1"/>
    <xf numFmtId="1" fontId="13" fillId="11" borderId="164" xfId="0" applyNumberFormat="1" applyFont="1" applyFill="1" applyBorder="1"/>
    <xf numFmtId="1" fontId="13" fillId="11" borderId="164" xfId="0" applyNumberFormat="1" applyFont="1" applyFill="1" applyBorder="1" applyAlignment="1">
      <alignment horizontal="center"/>
    </xf>
    <xf numFmtId="1" fontId="13" fillId="11" borderId="164" xfId="1" applyNumberFormat="1" applyFont="1" applyFill="1" applyBorder="1" applyAlignment="1">
      <alignment horizontal="center"/>
    </xf>
    <xf numFmtId="1" fontId="108" fillId="11" borderId="164" xfId="1" applyNumberFormat="1" applyFont="1" applyFill="1" applyBorder="1" applyAlignment="1">
      <alignment horizontal="center"/>
    </xf>
    <xf numFmtId="1" fontId="108" fillId="0" borderId="164" xfId="0" applyNumberFormat="1" applyFont="1" applyBorder="1" applyAlignment="1">
      <alignment horizontal="center"/>
    </xf>
    <xf numFmtId="1" fontId="13" fillId="0" borderId="164" xfId="0" applyNumberFormat="1" applyFont="1" applyBorder="1"/>
    <xf numFmtId="1" fontId="13" fillId="0" borderId="164" xfId="0" applyNumberFormat="1" applyFont="1" applyBorder="1" applyAlignment="1">
      <alignment horizontal="center"/>
    </xf>
    <xf numFmtId="0" fontId="13" fillId="0" borderId="164" xfId="0" applyFont="1" applyBorder="1" applyAlignment="1">
      <alignment horizontal="center"/>
    </xf>
    <xf numFmtId="0" fontId="15" fillId="0" borderId="164" xfId="0" applyFont="1" applyBorder="1" applyAlignment="1">
      <alignment horizontal="center" vertical="top" wrapText="1"/>
    </xf>
    <xf numFmtId="0" fontId="13" fillId="0" borderId="164" xfId="0" applyFont="1" applyBorder="1" applyAlignment="1">
      <alignment horizontal="center" vertical="top" wrapText="1"/>
    </xf>
    <xf numFmtId="1" fontId="13" fillId="0" borderId="164" xfId="0" applyNumberFormat="1" applyFont="1" applyBorder="1" applyAlignment="1">
      <alignment horizontal="center" vertical="top" wrapText="1"/>
    </xf>
    <xf numFmtId="0" fontId="12" fillId="0" borderId="164" xfId="0" applyFont="1" applyBorder="1" applyAlignment="1">
      <alignment horizontal="center"/>
    </xf>
    <xf numFmtId="0" fontId="12" fillId="0" borderId="132" xfId="0" applyFont="1" applyBorder="1" applyAlignment="1">
      <alignment horizontal="center"/>
    </xf>
    <xf numFmtId="1" fontId="42" fillId="0" borderId="164" xfId="0" applyNumberFormat="1" applyFont="1" applyBorder="1" applyAlignment="1">
      <alignment horizontal="center" wrapText="1"/>
    </xf>
    <xf numFmtId="0" fontId="0" fillId="0" borderId="164" xfId="0" applyBorder="1" applyAlignment="1">
      <alignment horizontal="center"/>
    </xf>
    <xf numFmtId="1" fontId="0" fillId="0" borderId="164" xfId="0" applyNumberFormat="1" applyBorder="1" applyAlignment="1">
      <alignment horizontal="center"/>
    </xf>
    <xf numFmtId="1" fontId="96" fillId="0" borderId="0" xfId="0" applyNumberFormat="1" applyFont="1"/>
    <xf numFmtId="0" fontId="113" fillId="0" borderId="0" xfId="8" applyFont="1"/>
    <xf numFmtId="0" fontId="85" fillId="6" borderId="0" xfId="8" applyFont="1" applyFill="1"/>
    <xf numFmtId="1" fontId="15" fillId="65" borderId="0" xfId="8" applyNumberFormat="1" applyFont="1" applyFill="1" applyAlignment="1">
      <alignment horizontal="right"/>
    </xf>
    <xf numFmtId="1" fontId="13" fillId="65" borderId="0" xfId="8" applyNumberFormat="1" applyFont="1" applyFill="1" applyAlignment="1">
      <alignment horizontal="right"/>
    </xf>
    <xf numFmtId="0" fontId="12" fillId="57" borderId="0" xfId="8" applyFill="1"/>
    <xf numFmtId="0" fontId="108" fillId="56" borderId="0" xfId="8" applyFont="1" applyFill="1"/>
    <xf numFmtId="0" fontId="108" fillId="57" borderId="0" xfId="8" applyFont="1" applyFill="1"/>
    <xf numFmtId="0" fontId="12" fillId="65" borderId="0" xfId="8" applyFill="1"/>
    <xf numFmtId="0" fontId="12" fillId="6" borderId="0" xfId="8" applyFill="1"/>
    <xf numFmtId="0" fontId="96" fillId="0" borderId="0" xfId="8" applyFont="1"/>
    <xf numFmtId="0" fontId="109" fillId="0" borderId="0" xfId="8" applyFont="1"/>
    <xf numFmtId="0" fontId="12" fillId="0" borderId="0" xfId="8" quotePrefix="1"/>
    <xf numFmtId="168" fontId="85" fillId="7" borderId="0" xfId="8" applyNumberFormat="1" applyFont="1" applyFill="1" applyAlignment="1">
      <alignment horizontal="center"/>
    </xf>
    <xf numFmtId="1" fontId="12" fillId="0" borderId="0" xfId="8" applyNumberFormat="1"/>
    <xf numFmtId="0" fontId="85" fillId="0" borderId="0" xfId="8" applyFont="1" applyAlignment="1">
      <alignment horizontal="center"/>
    </xf>
    <xf numFmtId="1" fontId="62" fillId="0" borderId="164" xfId="8" applyNumberFormat="1" applyFont="1" applyBorder="1" applyAlignment="1">
      <alignment horizontal="center"/>
    </xf>
    <xf numFmtId="1" fontId="90" fillId="0" borderId="0" xfId="8" applyNumberFormat="1" applyFont="1" applyAlignment="1">
      <alignment horizontal="right"/>
    </xf>
    <xf numFmtId="1" fontId="185" fillId="0" borderId="0" xfId="0" applyNumberFormat="1" applyFont="1"/>
    <xf numFmtId="1" fontId="12" fillId="0" borderId="28" xfId="0" applyNumberFormat="1" applyFont="1" applyBorder="1"/>
    <xf numFmtId="1" fontId="12" fillId="0" borderId="29" xfId="0" applyNumberFormat="1" applyFont="1" applyBorder="1"/>
    <xf numFmtId="1" fontId="12" fillId="0" borderId="43" xfId="0" applyNumberFormat="1" applyFont="1" applyBorder="1"/>
    <xf numFmtId="1" fontId="12" fillId="0" borderId="126" xfId="0" applyNumberFormat="1" applyFont="1" applyBorder="1"/>
    <xf numFmtId="1" fontId="12" fillId="0" borderId="164" xfId="0" applyNumberFormat="1" applyFont="1" applyBorder="1"/>
    <xf numFmtId="1" fontId="12" fillId="0" borderId="148" xfId="0" applyNumberFormat="1" applyFont="1" applyBorder="1"/>
    <xf numFmtId="1" fontId="184" fillId="0" borderId="138" xfId="68" applyNumberFormat="1" applyFont="1" applyBorder="1"/>
    <xf numFmtId="1" fontId="184" fillId="0" borderId="118" xfId="68" applyNumberFormat="1" applyFont="1" applyBorder="1"/>
    <xf numFmtId="1" fontId="0" fillId="0" borderId="139" xfId="0" applyNumberFormat="1" applyBorder="1" applyAlignment="1">
      <alignment horizontal="center"/>
    </xf>
    <xf numFmtId="1" fontId="12" fillId="0" borderId="43" xfId="0" applyNumberFormat="1" applyFont="1" applyBorder="1" applyAlignment="1">
      <alignment horizontal="center"/>
    </xf>
    <xf numFmtId="1" fontId="12" fillId="0" borderId="148" xfId="0" applyNumberFormat="1" applyFont="1" applyBorder="1" applyAlignment="1">
      <alignment horizontal="center"/>
    </xf>
    <xf numFmtId="1" fontId="184" fillId="0" borderId="34" xfId="68" applyNumberFormat="1" applyFont="1" applyBorder="1"/>
    <xf numFmtId="1" fontId="184" fillId="0" borderId="45" xfId="68" applyNumberFormat="1" applyFont="1" applyBorder="1"/>
    <xf numFmtId="1" fontId="0" fillId="0" borderId="165" xfId="0" applyNumberFormat="1" applyBorder="1" applyAlignment="1">
      <alignment horizontal="center"/>
    </xf>
    <xf numFmtId="1" fontId="12" fillId="0" borderId="49" xfId="0" applyNumberFormat="1" applyFont="1" applyBorder="1"/>
    <xf numFmtId="1" fontId="12" fillId="0" borderId="21" xfId="0" applyNumberFormat="1" applyFont="1" applyBorder="1"/>
    <xf numFmtId="1" fontId="12" fillId="0" borderId="50" xfId="0" applyNumberFormat="1" applyFont="1" applyBorder="1" applyAlignment="1">
      <alignment horizontal="center"/>
    </xf>
    <xf numFmtId="1" fontId="12" fillId="0" borderId="126" xfId="68" applyNumberFormat="1" applyFont="1" applyBorder="1"/>
    <xf numFmtId="1" fontId="12" fillId="0" borderId="164" xfId="68" applyNumberFormat="1" applyFont="1" applyBorder="1"/>
    <xf numFmtId="1" fontId="12" fillId="0" borderId="164" xfId="0" applyNumberFormat="1" applyFont="1" applyBorder="1" applyAlignment="1">
      <alignment horizontal="center"/>
    </xf>
    <xf numFmtId="1" fontId="12" fillId="0" borderId="139" xfId="0" applyNumberFormat="1" applyFont="1" applyBorder="1" applyAlignment="1">
      <alignment horizontal="center"/>
    </xf>
    <xf numFmtId="1" fontId="0" fillId="0" borderId="28" xfId="0" applyNumberFormat="1" applyBorder="1"/>
    <xf numFmtId="1" fontId="0" fillId="0" borderId="29" xfId="0" applyNumberFormat="1" applyBorder="1"/>
    <xf numFmtId="1" fontId="0" fillId="0" borderId="43" xfId="0" applyNumberFormat="1" applyBorder="1" applyAlignment="1">
      <alignment horizontal="center"/>
    </xf>
    <xf numFmtId="1" fontId="0" fillId="0" borderId="164" xfId="0" applyNumberFormat="1" applyBorder="1"/>
    <xf numFmtId="1" fontId="0" fillId="0" borderId="148" xfId="0" applyNumberFormat="1" applyBorder="1" applyAlignment="1">
      <alignment horizontal="center"/>
    </xf>
    <xf numFmtId="1" fontId="13" fillId="0" borderId="28" xfId="0" applyNumberFormat="1" applyFont="1" applyBorder="1"/>
    <xf numFmtId="1" fontId="13" fillId="0" borderId="29" xfId="0" applyNumberFormat="1" applyFont="1" applyBorder="1"/>
    <xf numFmtId="1" fontId="13" fillId="0" borderId="29" xfId="0" applyNumberFormat="1" applyFont="1" applyBorder="1" applyAlignment="1">
      <alignment horizontal="right"/>
    </xf>
    <xf numFmtId="1" fontId="13" fillId="0" borderId="43" xfId="0" applyNumberFormat="1" applyFont="1" applyBorder="1" applyAlignment="1">
      <alignment horizontal="right"/>
    </xf>
    <xf numFmtId="1" fontId="13" fillId="0" borderId="126" xfId="0" applyNumberFormat="1" applyFont="1" applyBorder="1"/>
    <xf numFmtId="1" fontId="13" fillId="0" borderId="164" xfId="0" applyNumberFormat="1" applyFont="1" applyBorder="1" applyAlignment="1">
      <alignment horizontal="right"/>
    </xf>
    <xf numFmtId="1" fontId="13" fillId="0" borderId="148" xfId="0" applyNumberFormat="1" applyFont="1" applyBorder="1" applyAlignment="1">
      <alignment horizontal="right"/>
    </xf>
    <xf numFmtId="1" fontId="13" fillId="0" borderId="135" xfId="0" applyNumberFormat="1" applyFont="1" applyBorder="1" applyAlignment="1">
      <alignment horizontal="right"/>
    </xf>
    <xf numFmtId="1" fontId="13" fillId="0" borderId="136" xfId="0" applyNumberFormat="1" applyFont="1" applyBorder="1" applyAlignment="1">
      <alignment horizontal="right"/>
    </xf>
    <xf numFmtId="1" fontId="13" fillId="0" borderId="137" xfId="0" applyNumberFormat="1" applyFont="1" applyBorder="1" applyAlignment="1">
      <alignment horizontal="right"/>
    </xf>
    <xf numFmtId="1" fontId="13" fillId="0" borderId="69" xfId="0" applyNumberFormat="1" applyFont="1" applyBorder="1"/>
    <xf numFmtId="1" fontId="13" fillId="0" borderId="61" xfId="0" applyNumberFormat="1" applyFont="1" applyBorder="1"/>
    <xf numFmtId="1" fontId="13" fillId="0" borderId="68" xfId="0" applyNumberFormat="1" applyFont="1" applyBorder="1" applyAlignment="1">
      <alignment horizontal="right"/>
    </xf>
    <xf numFmtId="1" fontId="13" fillId="0" borderId="70" xfId="0" applyNumberFormat="1" applyFont="1" applyBorder="1"/>
    <xf numFmtId="1" fontId="13" fillId="0" borderId="64" xfId="0" applyNumberFormat="1" applyFont="1" applyBorder="1"/>
    <xf numFmtId="1" fontId="13" fillId="0" borderId="65" xfId="0" applyNumberFormat="1" applyFont="1" applyBorder="1"/>
    <xf numFmtId="1" fontId="13" fillId="0" borderId="71" xfId="0" applyNumberFormat="1" applyFont="1" applyBorder="1" applyAlignment="1">
      <alignment horizontal="right"/>
    </xf>
    <xf numFmtId="1" fontId="13" fillId="0" borderId="67" xfId="0" applyNumberFormat="1" applyFont="1" applyBorder="1" applyAlignment="1">
      <alignment horizontal="right"/>
    </xf>
    <xf numFmtId="1" fontId="13" fillId="0" borderId="60" xfId="0" applyNumberFormat="1" applyFont="1" applyBorder="1" applyAlignment="1">
      <alignment horizontal="right"/>
    </xf>
    <xf numFmtId="1" fontId="13" fillId="0" borderId="61" xfId="0" applyNumberFormat="1" applyFont="1" applyBorder="1" applyAlignment="1">
      <alignment horizontal="right"/>
    </xf>
    <xf numFmtId="1" fontId="13" fillId="0" borderId="62" xfId="0" applyNumberFormat="1" applyFont="1" applyBorder="1" applyAlignment="1">
      <alignment horizontal="right"/>
    </xf>
    <xf numFmtId="1" fontId="13" fillId="0" borderId="63" xfId="0" applyNumberFormat="1" applyFont="1" applyBorder="1" applyAlignment="1">
      <alignment horizontal="right"/>
    </xf>
    <xf numFmtId="1" fontId="13" fillId="0" borderId="64" xfId="0" applyNumberFormat="1" applyFont="1" applyBorder="1" applyAlignment="1">
      <alignment horizontal="right"/>
    </xf>
    <xf numFmtId="1" fontId="13" fillId="0" borderId="65" xfId="0" applyNumberFormat="1" applyFont="1" applyBorder="1" applyAlignment="1">
      <alignment horizontal="right"/>
    </xf>
    <xf numFmtId="1" fontId="13" fillId="0" borderId="66" xfId="0" applyNumberFormat="1" applyFont="1" applyBorder="1" applyAlignment="1">
      <alignment horizontal="right"/>
    </xf>
    <xf numFmtId="1" fontId="13" fillId="0" borderId="62" xfId="0" applyNumberFormat="1" applyFont="1" applyBorder="1"/>
    <xf numFmtId="0" fontId="127" fillId="0" borderId="70" xfId="0" applyFont="1" applyBorder="1"/>
    <xf numFmtId="0" fontId="127" fillId="0" borderId="64" xfId="0" applyFont="1" applyBorder="1"/>
    <xf numFmtId="1" fontId="127" fillId="0" borderId="65" xfId="0" applyNumberFormat="1" applyFont="1" applyBorder="1"/>
    <xf numFmtId="0" fontId="127" fillId="0" borderId="71" xfId="0" applyFont="1" applyBorder="1" applyAlignment="1">
      <alignment horizontal="right"/>
    </xf>
    <xf numFmtId="0" fontId="127" fillId="0" borderId="67" xfId="0" applyFont="1" applyBorder="1" applyAlignment="1">
      <alignment horizontal="right"/>
    </xf>
    <xf numFmtId="0" fontId="127" fillId="0" borderId="68" xfId="0" applyFont="1" applyBorder="1" applyAlignment="1">
      <alignment horizontal="right"/>
    </xf>
    <xf numFmtId="1" fontId="12" fillId="0" borderId="0" xfId="0" applyNumberFormat="1" applyFont="1"/>
    <xf numFmtId="1" fontId="0" fillId="0" borderId="21" xfId="0" applyNumberFormat="1" applyBorder="1"/>
    <xf numFmtId="1" fontId="12" fillId="0" borderId="21" xfId="0" applyNumberFormat="1" applyFont="1" applyBorder="1" applyAlignment="1">
      <alignment horizontal="center"/>
    </xf>
    <xf numFmtId="1" fontId="101" fillId="0" borderId="166" xfId="0" applyNumberFormat="1" applyFont="1" applyBorder="1" applyAlignment="1">
      <alignment horizontal="right"/>
    </xf>
    <xf numFmtId="167" fontId="63" fillId="66" borderId="150" xfId="8" applyNumberFormat="1" applyFont="1" applyFill="1" applyBorder="1"/>
    <xf numFmtId="1" fontId="31" fillId="66" borderId="164" xfId="8" applyNumberFormat="1" applyFont="1" applyFill="1" applyBorder="1" applyAlignment="1">
      <alignment horizontal="right"/>
    </xf>
    <xf numFmtId="1" fontId="85" fillId="6" borderId="0" xfId="8" applyNumberFormat="1" applyFont="1" applyFill="1" applyAlignment="1">
      <alignment horizontal="right"/>
    </xf>
    <xf numFmtId="1" fontId="31" fillId="0" borderId="150" xfId="8" applyNumberFormat="1" applyFont="1" applyBorder="1"/>
    <xf numFmtId="1" fontId="6" fillId="0" borderId="164" xfId="154" applyNumberFormat="1" applyBorder="1"/>
    <xf numFmtId="0" fontId="6" fillId="0" borderId="164" xfId="154" applyBorder="1"/>
    <xf numFmtId="0" fontId="158" fillId="0" borderId="6" xfId="0" applyFont="1" applyBorder="1"/>
    <xf numFmtId="0" fontId="158" fillId="0" borderId="32" xfId="0" applyFont="1" applyBorder="1"/>
    <xf numFmtId="0" fontId="158" fillId="0" borderId="162" xfId="0" applyFont="1" applyBorder="1"/>
    <xf numFmtId="0" fontId="158" fillId="0" borderId="23" xfId="0" applyFont="1" applyBorder="1"/>
    <xf numFmtId="0" fontId="158" fillId="0" borderId="48" xfId="0" applyFont="1" applyBorder="1"/>
    <xf numFmtId="0" fontId="158" fillId="0" borderId="37" xfId="0" applyFont="1" applyBorder="1"/>
    <xf numFmtId="0" fontId="158" fillId="0" borderId="39" xfId="0" applyFont="1" applyBorder="1"/>
    <xf numFmtId="0" fontId="158" fillId="0" borderId="8" xfId="0" applyFont="1" applyBorder="1"/>
    <xf numFmtId="0" fontId="158" fillId="0" borderId="35" xfId="0" applyFont="1" applyBorder="1"/>
    <xf numFmtId="167" fontId="137" fillId="0" borderId="164" xfId="0" applyNumberFormat="1" applyFont="1" applyBorder="1"/>
    <xf numFmtId="0" fontId="158" fillId="0" borderId="164" xfId="0" applyFont="1" applyBorder="1"/>
    <xf numFmtId="0" fontId="0" fillId="0" borderId="25" xfId="0" applyBorder="1"/>
    <xf numFmtId="2" fontId="78" fillId="0" borderId="41" xfId="0" applyNumberFormat="1" applyFont="1" applyBorder="1"/>
    <xf numFmtId="0" fontId="158" fillId="0" borderId="140" xfId="0" applyFont="1" applyBorder="1"/>
    <xf numFmtId="0" fontId="0" fillId="0" borderId="115" xfId="0" applyBorder="1"/>
    <xf numFmtId="2" fontId="78" fillId="0" borderId="157" xfId="0" applyNumberFormat="1" applyFont="1" applyBorder="1"/>
    <xf numFmtId="0" fontId="137" fillId="0" borderId="164" xfId="0" applyFont="1" applyBorder="1"/>
    <xf numFmtId="0" fontId="158" fillId="0" borderId="168" xfId="0" applyFont="1" applyBorder="1"/>
    <xf numFmtId="2" fontId="137" fillId="0" borderId="164" xfId="0" applyNumberFormat="1" applyFont="1" applyBorder="1"/>
    <xf numFmtId="2" fontId="158" fillId="0" borderId="164" xfId="0" applyNumberFormat="1" applyFont="1" applyBorder="1"/>
    <xf numFmtId="2" fontId="78" fillId="0" borderId="164" xfId="0" applyNumberFormat="1" applyFont="1" applyBorder="1"/>
    <xf numFmtId="0" fontId="0" fillId="0" borderId="169" xfId="0" applyBorder="1"/>
    <xf numFmtId="2" fontId="78" fillId="0" borderId="56" xfId="0" applyNumberFormat="1" applyFont="1" applyBorder="1"/>
    <xf numFmtId="2" fontId="78" fillId="0" borderId="127" xfId="0" applyNumberFormat="1" applyFont="1" applyBorder="1"/>
    <xf numFmtId="167" fontId="13" fillId="6" borderId="0" xfId="4" applyNumberFormat="1" applyFont="1" applyFill="1"/>
    <xf numFmtId="0" fontId="78" fillId="0" borderId="158" xfId="0" applyFont="1" applyBorder="1" applyAlignment="1">
      <alignment horizontal="center"/>
    </xf>
    <xf numFmtId="0" fontId="0" fillId="0" borderId="159" xfId="0" applyBorder="1" applyAlignment="1">
      <alignment horizontal="center"/>
    </xf>
    <xf numFmtId="0" fontId="78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2" fontId="0" fillId="0" borderId="104" xfId="0" applyNumberFormat="1" applyBorder="1"/>
    <xf numFmtId="2" fontId="78" fillId="0" borderId="104" xfId="0" applyNumberFormat="1" applyFont="1" applyBorder="1"/>
    <xf numFmtId="1" fontId="109" fillId="0" borderId="0" xfId="0" applyNumberFormat="1" applyFont="1"/>
    <xf numFmtId="1" fontId="12" fillId="0" borderId="150" xfId="0" applyNumberFormat="1" applyFont="1" applyBorder="1"/>
    <xf numFmtId="1" fontId="108" fillId="0" borderId="164" xfId="0" applyNumberFormat="1" applyFont="1" applyBorder="1" applyAlignment="1">
      <alignment horizontal="right"/>
    </xf>
    <xf numFmtId="0" fontId="113" fillId="0" borderId="164" xfId="0" applyFont="1" applyBorder="1"/>
    <xf numFmtId="0" fontId="184" fillId="0" borderId="164" xfId="0" applyFont="1" applyBorder="1"/>
    <xf numFmtId="167" fontId="108" fillId="0" borderId="164" xfId="0" applyNumberFormat="1" applyFont="1" applyBorder="1" applyAlignment="1">
      <alignment horizontal="right"/>
    </xf>
    <xf numFmtId="0" fontId="13" fillId="0" borderId="170" xfId="0" applyFont="1" applyBorder="1"/>
    <xf numFmtId="0" fontId="13" fillId="0" borderId="171" xfId="0" applyFont="1" applyBorder="1"/>
    <xf numFmtId="167" fontId="13" fillId="0" borderId="171" xfId="0" applyNumberFormat="1" applyFont="1" applyBorder="1"/>
    <xf numFmtId="167" fontId="108" fillId="0" borderId="171" xfId="0" applyNumberFormat="1" applyFont="1" applyBorder="1"/>
    <xf numFmtId="0" fontId="108" fillId="0" borderId="171" xfId="0" applyFont="1" applyBorder="1"/>
    <xf numFmtId="0" fontId="108" fillId="0" borderId="172" xfId="0" applyFont="1" applyBorder="1"/>
    <xf numFmtId="0" fontId="108" fillId="0" borderId="173" xfId="0" applyFont="1" applyBorder="1"/>
    <xf numFmtId="167" fontId="63" fillId="0" borderId="164" xfId="0" applyNumberFormat="1" applyFont="1" applyBorder="1"/>
    <xf numFmtId="167" fontId="108" fillId="0" borderId="164" xfId="0" applyNumberFormat="1" applyFont="1" applyBorder="1"/>
    <xf numFmtId="167" fontId="108" fillId="0" borderId="164" xfId="0" applyNumberFormat="1" applyFont="1" applyBorder="1" applyAlignment="1">
      <alignment horizontal="center"/>
    </xf>
    <xf numFmtId="0" fontId="13" fillId="6" borderId="164" xfId="0" applyFont="1" applyFill="1" applyBorder="1"/>
    <xf numFmtId="167" fontId="13" fillId="6" borderId="164" xfId="0" applyNumberFormat="1" applyFont="1" applyFill="1" applyBorder="1"/>
    <xf numFmtId="167" fontId="108" fillId="6" borderId="164" xfId="0" applyNumberFormat="1" applyFont="1" applyFill="1" applyBorder="1"/>
    <xf numFmtId="0" fontId="108" fillId="6" borderId="164" xfId="0" applyFont="1" applyFill="1" applyBorder="1"/>
    <xf numFmtId="0" fontId="108" fillId="6" borderId="164" xfId="0" applyFont="1" applyFill="1" applyBorder="1" applyAlignment="1">
      <alignment horizontal="center"/>
    </xf>
    <xf numFmtId="167" fontId="108" fillId="6" borderId="164" xfId="0" applyNumberFormat="1" applyFont="1" applyFill="1" applyBorder="1" applyAlignment="1">
      <alignment horizontal="center"/>
    </xf>
    <xf numFmtId="0" fontId="13" fillId="0" borderId="164" xfId="0" applyFont="1" applyBorder="1" applyAlignment="1">
      <alignment horizontal="right" vertical="center" wrapText="1"/>
    </xf>
    <xf numFmtId="0" fontId="13" fillId="0" borderId="164" xfId="0" applyFont="1" applyBorder="1" applyAlignment="1">
      <alignment horizontal="right" wrapText="1"/>
    </xf>
    <xf numFmtId="1" fontId="108" fillId="6" borderId="164" xfId="0" applyNumberFormat="1" applyFont="1" applyFill="1" applyBorder="1" applyAlignment="1">
      <alignment horizontal="center"/>
    </xf>
    <xf numFmtId="0" fontId="13" fillId="6" borderId="164" xfId="0" applyFont="1" applyFill="1" applyBorder="1" applyAlignment="1">
      <alignment horizontal="right" wrapText="1"/>
    </xf>
    <xf numFmtId="1" fontId="108" fillId="0" borderId="11" xfId="0" applyNumberFormat="1" applyFont="1" applyBorder="1" applyAlignment="1">
      <alignment horizontal="center"/>
    </xf>
    <xf numFmtId="1" fontId="108" fillId="6" borderId="11" xfId="0" applyNumberFormat="1" applyFont="1" applyFill="1" applyBorder="1" applyAlignment="1">
      <alignment horizontal="center"/>
    </xf>
    <xf numFmtId="167" fontId="13" fillId="0" borderId="164" xfId="0" applyNumberFormat="1" applyFont="1" applyBorder="1"/>
    <xf numFmtId="1" fontId="13" fillId="6" borderId="164" xfId="0" applyNumberFormat="1" applyFont="1" applyFill="1" applyBorder="1"/>
    <xf numFmtId="0" fontId="15" fillId="6" borderId="164" xfId="0" applyFont="1" applyFill="1" applyBorder="1" applyAlignment="1">
      <alignment horizontal="center" vertical="top" wrapText="1"/>
    </xf>
    <xf numFmtId="0" fontId="47" fillId="0" borderId="36" xfId="180" applyFont="1" applyBorder="1"/>
    <xf numFmtId="0" fontId="47" fillId="0" borderId="37" xfId="180" applyFont="1" applyBorder="1"/>
    <xf numFmtId="0" fontId="48" fillId="0" borderId="38" xfId="180" applyFont="1" applyBorder="1"/>
    <xf numFmtId="0" fontId="47" fillId="0" borderId="32" xfId="180" applyFont="1" applyBorder="1"/>
    <xf numFmtId="0" fontId="47" fillId="0" borderId="23" xfId="180" applyFont="1" applyBorder="1"/>
    <xf numFmtId="0" fontId="90" fillId="0" borderId="23" xfId="180" applyFont="1" applyBorder="1" applyAlignment="1">
      <alignment vertical="center"/>
    </xf>
    <xf numFmtId="0" fontId="89" fillId="0" borderId="30" xfId="180" applyFont="1" applyBorder="1"/>
    <xf numFmtId="0" fontId="90" fillId="0" borderId="25" xfId="180" applyFont="1" applyBorder="1" applyAlignment="1">
      <alignment vertical="center"/>
    </xf>
    <xf numFmtId="0" fontId="90" fillId="0" borderId="150" xfId="180" applyFont="1" applyBorder="1"/>
    <xf numFmtId="0" fontId="90" fillId="0" borderId="45" xfId="180" applyFont="1" applyBorder="1" applyAlignment="1">
      <alignment vertical="center"/>
    </xf>
    <xf numFmtId="0" fontId="90" fillId="0" borderId="151" xfId="180" applyFont="1" applyBorder="1"/>
    <xf numFmtId="1" fontId="113" fillId="0" borderId="138" xfId="68" applyNumberFormat="1" applyFont="1" applyBorder="1"/>
    <xf numFmtId="1" fontId="113" fillId="0" borderId="118" xfId="68" applyNumberFormat="1" applyFont="1" applyBorder="1"/>
    <xf numFmtId="1" fontId="96" fillId="0" borderId="139" xfId="0" applyNumberFormat="1" applyFont="1" applyBorder="1" applyAlignment="1">
      <alignment horizontal="center"/>
    </xf>
    <xf numFmtId="1" fontId="90" fillId="0" borderId="30" xfId="180" applyNumberFormat="1" applyFont="1" applyBorder="1" applyAlignment="1">
      <alignment horizontal="left"/>
    </xf>
    <xf numFmtId="1" fontId="90" fillId="0" borderId="150" xfId="180" applyNumberFormat="1" applyFont="1" applyBorder="1" applyAlignment="1">
      <alignment horizontal="left"/>
    </xf>
    <xf numFmtId="1" fontId="96" fillId="0" borderId="43" xfId="0" applyNumberFormat="1" applyFont="1" applyBorder="1"/>
    <xf numFmtId="1" fontId="90" fillId="0" borderId="151" xfId="180" applyNumberFormat="1" applyFont="1" applyBorder="1" applyAlignment="1">
      <alignment horizontal="left"/>
    </xf>
    <xf numFmtId="1" fontId="113" fillId="0" borderId="34" xfId="68" applyNumberFormat="1" applyFont="1" applyBorder="1"/>
    <xf numFmtId="1" fontId="113" fillId="0" borderId="45" xfId="68" applyNumberFormat="1" applyFont="1" applyBorder="1"/>
    <xf numFmtId="1" fontId="96" fillId="0" borderId="165" xfId="0" applyNumberFormat="1" applyFont="1" applyBorder="1" applyAlignment="1">
      <alignment horizontal="center"/>
    </xf>
    <xf numFmtId="1" fontId="96" fillId="0" borderId="50" xfId="0" applyNumberFormat="1" applyFont="1" applyBorder="1" applyAlignment="1">
      <alignment horizontal="center"/>
    </xf>
    <xf numFmtId="1" fontId="96" fillId="0" borderId="126" xfId="0" applyNumberFormat="1" applyFont="1" applyBorder="1"/>
    <xf numFmtId="1" fontId="96" fillId="0" borderId="164" xfId="0" applyNumberFormat="1" applyFont="1" applyBorder="1"/>
    <xf numFmtId="1" fontId="96" fillId="0" borderId="43" xfId="0" applyNumberFormat="1" applyFont="1" applyBorder="1" applyAlignment="1">
      <alignment horizontal="center"/>
    </xf>
    <xf numFmtId="1" fontId="96" fillId="0" borderId="148" xfId="0" applyNumberFormat="1" applyFont="1" applyBorder="1" applyAlignment="1">
      <alignment horizontal="center"/>
    </xf>
    <xf numFmtId="0" fontId="63" fillId="0" borderId="23" xfId="180" applyFont="1" applyBorder="1" applyAlignment="1">
      <alignment vertical="center"/>
    </xf>
    <xf numFmtId="0" fontId="63" fillId="0" borderId="90" xfId="180" applyFont="1" applyBorder="1"/>
    <xf numFmtId="1" fontId="63" fillId="0" borderId="43" xfId="0" applyNumberFormat="1" applyFont="1" applyBorder="1" applyAlignment="1">
      <alignment horizontal="right"/>
    </xf>
    <xf numFmtId="0" fontId="63" fillId="0" borderId="25" xfId="180" applyFont="1" applyBorder="1" applyAlignment="1">
      <alignment vertical="center"/>
    </xf>
    <xf numFmtId="0" fontId="63" fillId="0" borderId="3" xfId="180" applyFont="1" applyBorder="1"/>
    <xf numFmtId="1" fontId="187" fillId="0" borderId="64" xfId="0" applyNumberFormat="1" applyFont="1" applyBorder="1" applyAlignment="1">
      <alignment horizontal="right"/>
    </xf>
    <xf numFmtId="1" fontId="63" fillId="0" borderId="148" xfId="0" applyNumberFormat="1" applyFont="1" applyBorder="1" applyAlignment="1">
      <alignment horizontal="right"/>
    </xf>
    <xf numFmtId="0" fontId="63" fillId="0" borderId="45" xfId="180" applyFont="1" applyBorder="1" applyAlignment="1">
      <alignment vertical="center"/>
    </xf>
    <xf numFmtId="0" fontId="63" fillId="0" borderId="91" xfId="180" applyFont="1" applyBorder="1"/>
    <xf numFmtId="1" fontId="63" fillId="0" borderId="137" xfId="0" applyNumberFormat="1" applyFont="1" applyBorder="1" applyAlignment="1">
      <alignment horizontal="right"/>
    </xf>
    <xf numFmtId="0" fontId="90" fillId="0" borderId="23" xfId="0" applyFont="1" applyBorder="1" applyAlignment="1">
      <alignment vertical="center" wrapText="1"/>
    </xf>
    <xf numFmtId="0" fontId="90" fillId="0" borderId="164" xfId="0" applyFont="1" applyBorder="1"/>
    <xf numFmtId="1" fontId="96" fillId="0" borderId="21" xfId="0" applyNumberFormat="1" applyFont="1" applyBorder="1"/>
    <xf numFmtId="1" fontId="96" fillId="0" borderId="21" xfId="0" applyNumberFormat="1" applyFont="1" applyBorder="1" applyAlignment="1">
      <alignment horizontal="center"/>
    </xf>
    <xf numFmtId="1" fontId="188" fillId="0" borderId="166" xfId="0" applyNumberFormat="1" applyFont="1" applyBorder="1" applyAlignment="1">
      <alignment horizontal="right"/>
    </xf>
    <xf numFmtId="0" fontId="90" fillId="0" borderId="25" xfId="0" applyFont="1" applyBorder="1" applyAlignment="1">
      <alignment vertical="center" wrapText="1"/>
    </xf>
    <xf numFmtId="1" fontId="188" fillId="0" borderId="68" xfId="0" applyNumberFormat="1" applyFont="1" applyBorder="1" applyAlignment="1">
      <alignment horizontal="right"/>
    </xf>
    <xf numFmtId="0" fontId="90" fillId="0" borderId="45" xfId="0" applyFont="1" applyBorder="1" applyAlignment="1">
      <alignment vertical="center" wrapText="1"/>
    </xf>
    <xf numFmtId="0" fontId="63" fillId="0" borderId="23" xfId="0" applyFont="1" applyBorder="1" applyAlignment="1">
      <alignment vertical="center"/>
    </xf>
    <xf numFmtId="1" fontId="63" fillId="0" borderId="68" xfId="0" applyNumberFormat="1" applyFont="1" applyBorder="1" applyAlignment="1">
      <alignment horizontal="right"/>
    </xf>
    <xf numFmtId="0" fontId="63" fillId="0" borderId="25" xfId="0" applyFont="1" applyBorder="1" applyAlignment="1">
      <alignment vertical="center"/>
    </xf>
    <xf numFmtId="0" fontId="187" fillId="0" borderId="64" xfId="0" applyFont="1" applyBorder="1"/>
    <xf numFmtId="1" fontId="63" fillId="0" borderId="65" xfId="0" applyNumberFormat="1" applyFont="1" applyBorder="1"/>
    <xf numFmtId="0" fontId="63" fillId="0" borderId="45" xfId="0" applyFont="1" applyBorder="1" applyAlignment="1">
      <alignment vertical="center"/>
    </xf>
    <xf numFmtId="0" fontId="89" fillId="0" borderId="0" xfId="0" applyFont="1"/>
    <xf numFmtId="0" fontId="89" fillId="0" borderId="32" xfId="0" applyFont="1" applyBorder="1"/>
    <xf numFmtId="0" fontId="89" fillId="0" borderId="37" xfId="0" applyFont="1" applyBorder="1"/>
    <xf numFmtId="0" fontId="63" fillId="0" borderId="38" xfId="0" applyFont="1" applyBorder="1"/>
    <xf numFmtId="0" fontId="89" fillId="0" borderId="23" xfId="0" applyFont="1" applyBorder="1"/>
    <xf numFmtId="0" fontId="89" fillId="0" borderId="44" xfId="0" applyFont="1" applyBorder="1"/>
    <xf numFmtId="1" fontId="189" fillId="0" borderId="30" xfId="0" applyNumberFormat="1" applyFont="1" applyBorder="1"/>
    <xf numFmtId="1" fontId="63" fillId="0" borderId="164" xfId="0" applyNumberFormat="1" applyFont="1" applyBorder="1" applyAlignment="1">
      <alignment horizontal="right"/>
    </xf>
    <xf numFmtId="1" fontId="189" fillId="0" borderId="150" xfId="0" applyNumberFormat="1" applyFont="1" applyBorder="1"/>
    <xf numFmtId="1" fontId="189" fillId="0" borderId="151" xfId="0" applyNumberFormat="1" applyFont="1" applyBorder="1"/>
    <xf numFmtId="0" fontId="89" fillId="0" borderId="23" xfId="0" applyFont="1" applyBorder="1" applyAlignment="1">
      <alignment vertical="center" wrapText="1"/>
    </xf>
    <xf numFmtId="1" fontId="96" fillId="0" borderId="164" xfId="0" applyNumberFormat="1" applyFont="1" applyBorder="1" applyAlignment="1">
      <alignment horizontal="center"/>
    </xf>
    <xf numFmtId="0" fontId="96" fillId="0" borderId="164" xfId="0" applyFont="1" applyBorder="1"/>
    <xf numFmtId="1" fontId="188" fillId="0" borderId="164" xfId="0" applyNumberFormat="1" applyFont="1" applyBorder="1" applyAlignment="1">
      <alignment horizontal="right"/>
    </xf>
    <xf numFmtId="0" fontId="89" fillId="0" borderId="25" xfId="0" applyFont="1" applyBorder="1" applyAlignment="1">
      <alignment vertical="center" wrapText="1"/>
    </xf>
    <xf numFmtId="1" fontId="190" fillId="0" borderId="164" xfId="0" applyNumberFormat="1" applyFont="1" applyBorder="1" applyAlignment="1">
      <alignment horizontal="center"/>
    </xf>
    <xf numFmtId="0" fontId="89" fillId="0" borderId="45" xfId="0" applyFont="1" applyBorder="1" applyAlignment="1">
      <alignment vertical="center" wrapText="1"/>
    </xf>
    <xf numFmtId="1" fontId="63" fillId="0" borderId="164" xfId="0" applyNumberFormat="1" applyFont="1" applyBorder="1"/>
    <xf numFmtId="1" fontId="191" fillId="0" borderId="164" xfId="0" applyNumberFormat="1" applyFont="1" applyBorder="1"/>
    <xf numFmtId="0" fontId="191" fillId="0" borderId="164" xfId="0" applyFont="1" applyBorder="1" applyAlignment="1">
      <alignment horizontal="right"/>
    </xf>
    <xf numFmtId="1" fontId="113" fillId="0" borderId="164" xfId="154" applyNumberFormat="1" applyFont="1" applyBorder="1"/>
    <xf numFmtId="0" fontId="113" fillId="0" borderId="164" xfId="154" applyFont="1" applyBorder="1"/>
    <xf numFmtId="173" fontId="63" fillId="0" borderId="164" xfId="70" applyNumberFormat="1" applyFont="1" applyFill="1" applyBorder="1" applyAlignment="1">
      <alignment horizontal="center"/>
    </xf>
    <xf numFmtId="0" fontId="63" fillId="0" borderId="48" xfId="0" applyFont="1" applyBorder="1"/>
    <xf numFmtId="0" fontId="72" fillId="0" borderId="40" xfId="0" applyFont="1" applyBorder="1" applyAlignment="1">
      <alignment vertical="center" wrapText="1"/>
    </xf>
    <xf numFmtId="0" fontId="89" fillId="0" borderId="40" xfId="0" applyFont="1" applyBorder="1" applyAlignment="1">
      <alignment vertical="center"/>
    </xf>
    <xf numFmtId="0" fontId="63" fillId="0" borderId="35" xfId="0" applyFont="1" applyBorder="1"/>
    <xf numFmtId="0" fontId="62" fillId="0" borderId="164" xfId="65" applyFont="1" applyBorder="1"/>
    <xf numFmtId="1" fontId="62" fillId="0" borderId="148" xfId="65" applyNumberFormat="1" applyFont="1" applyBorder="1" applyAlignment="1">
      <alignment horizontal="right"/>
    </xf>
    <xf numFmtId="0" fontId="72" fillId="0" borderId="41" xfId="0" applyFont="1" applyBorder="1" applyAlignment="1">
      <alignment vertical="center" wrapText="1"/>
    </xf>
    <xf numFmtId="0" fontId="89" fillId="0" borderId="41" xfId="0" applyFont="1" applyBorder="1" applyAlignment="1">
      <alignment vertical="center"/>
    </xf>
    <xf numFmtId="0" fontId="63" fillId="0" borderId="140" xfId="0" applyFont="1" applyBorder="1"/>
    <xf numFmtId="1" fontId="62" fillId="0" borderId="164" xfId="65" applyNumberFormat="1" applyFont="1" applyBorder="1" applyAlignment="1">
      <alignment horizontal="right"/>
    </xf>
    <xf numFmtId="0" fontId="72" fillId="0" borderId="42" xfId="0" applyFont="1" applyBorder="1" applyAlignment="1">
      <alignment vertical="center" wrapText="1"/>
    </xf>
    <xf numFmtId="0" fontId="89" fillId="0" borderId="42" xfId="0" applyFont="1" applyBorder="1" applyAlignment="1">
      <alignment vertical="center"/>
    </xf>
    <xf numFmtId="0" fontId="63" fillId="0" borderId="174" xfId="0" applyFont="1" applyBorder="1"/>
    <xf numFmtId="0" fontId="164" fillId="0" borderId="128" xfId="65" applyFont="1" applyBorder="1"/>
    <xf numFmtId="0" fontId="164" fillId="0" borderId="118" xfId="65" applyFont="1" applyBorder="1"/>
    <xf numFmtId="0" fontId="192" fillId="0" borderId="118" xfId="65" applyFont="1" applyBorder="1"/>
    <xf numFmtId="0" fontId="192" fillId="0" borderId="56" xfId="65" applyFont="1" applyBorder="1"/>
    <xf numFmtId="0" fontId="90" fillId="0" borderId="40" xfId="0" applyFont="1" applyBorder="1" applyAlignment="1">
      <alignment vertical="center"/>
    </xf>
    <xf numFmtId="0" fontId="90" fillId="0" borderId="18" xfId="0" applyFont="1" applyBorder="1" applyAlignment="1">
      <alignment vertical="center"/>
    </xf>
    <xf numFmtId="1" fontId="189" fillId="0" borderId="164" xfId="0" applyNumberFormat="1" applyFont="1" applyBorder="1" applyAlignment="1">
      <alignment horizontal="center"/>
    </xf>
    <xf numFmtId="0" fontId="90" fillId="0" borderId="41" xfId="0" applyFont="1" applyBorder="1" applyAlignment="1">
      <alignment vertical="center"/>
    </xf>
    <xf numFmtId="0" fontId="90" fillId="0" borderId="140" xfId="0" applyFont="1" applyBorder="1"/>
    <xf numFmtId="1" fontId="189" fillId="0" borderId="126" xfId="0" applyNumberFormat="1" applyFont="1" applyBorder="1" applyAlignment="1">
      <alignment horizontal="center"/>
    </xf>
    <xf numFmtId="0" fontId="90" fillId="0" borderId="42" xfId="0" applyFont="1" applyBorder="1" applyAlignment="1">
      <alignment vertical="center"/>
    </xf>
    <xf numFmtId="0" fontId="90" fillId="0" borderId="141" xfId="0" applyFont="1" applyBorder="1"/>
    <xf numFmtId="1" fontId="189" fillId="0" borderId="135" xfId="0" applyNumberFormat="1" applyFont="1" applyBorder="1" applyAlignment="1">
      <alignment horizontal="center"/>
    </xf>
    <xf numFmtId="1" fontId="189" fillId="0" borderId="136" xfId="0" applyNumberFormat="1" applyFont="1" applyBorder="1" applyAlignment="1">
      <alignment horizontal="center"/>
    </xf>
    <xf numFmtId="1" fontId="189" fillId="0" borderId="137" xfId="0" applyNumberFormat="1" applyFont="1" applyBorder="1" applyAlignment="1">
      <alignment horizontal="center"/>
    </xf>
    <xf numFmtId="0" fontId="63" fillId="0" borderId="40" xfId="0" applyFont="1" applyBorder="1" applyAlignment="1">
      <alignment vertical="center"/>
    </xf>
    <xf numFmtId="0" fontId="90" fillId="0" borderId="35" xfId="0" applyFont="1" applyBorder="1"/>
    <xf numFmtId="0" fontId="88" fillId="0" borderId="164" xfId="65" applyFont="1" applyBorder="1"/>
    <xf numFmtId="1" fontId="88" fillId="0" borderId="164" xfId="65" applyNumberFormat="1" applyFont="1" applyBorder="1"/>
    <xf numFmtId="1" fontId="88" fillId="0" borderId="148" xfId="65" applyNumberFormat="1" applyFont="1" applyBorder="1"/>
    <xf numFmtId="0" fontId="63" fillId="0" borderId="41" xfId="0" applyFont="1" applyBorder="1" applyAlignment="1">
      <alignment vertical="center"/>
    </xf>
    <xf numFmtId="0" fontId="88" fillId="0" borderId="148" xfId="65" applyFont="1" applyBorder="1"/>
    <xf numFmtId="0" fontId="63" fillId="0" borderId="42" xfId="0" applyFont="1" applyBorder="1" applyAlignment="1">
      <alignment vertical="center"/>
    </xf>
    <xf numFmtId="0" fontId="90" fillId="0" borderId="40" xfId="0" applyFont="1" applyBorder="1" applyAlignment="1">
      <alignment vertical="center" wrapText="1"/>
    </xf>
    <xf numFmtId="1" fontId="189" fillId="0" borderId="35" xfId="0" applyNumberFormat="1" applyFont="1" applyBorder="1"/>
    <xf numFmtId="0" fontId="90" fillId="0" borderId="41" xfId="0" applyFont="1" applyBorder="1" applyAlignment="1">
      <alignment vertical="center" wrapText="1"/>
    </xf>
    <xf numFmtId="1" fontId="189" fillId="0" borderId="140" xfId="0" applyNumberFormat="1" applyFont="1" applyBorder="1"/>
    <xf numFmtId="0" fontId="90" fillId="0" borderId="42" xfId="0" applyFont="1" applyBorder="1" applyAlignment="1">
      <alignment vertical="center" wrapText="1"/>
    </xf>
    <xf numFmtId="1" fontId="189" fillId="0" borderId="141" xfId="0" applyNumberFormat="1" applyFont="1" applyBorder="1"/>
    <xf numFmtId="167" fontId="85" fillId="0" borderId="164" xfId="0" applyNumberFormat="1" applyFont="1" applyBorder="1"/>
    <xf numFmtId="1" fontId="62" fillId="0" borderId="164" xfId="8" applyNumberFormat="1" applyFont="1" applyBorder="1" applyAlignment="1">
      <alignment horizontal="right"/>
    </xf>
    <xf numFmtId="1" fontId="63" fillId="0" borderId="150" xfId="8" applyNumberFormat="1" applyFont="1" applyBorder="1"/>
    <xf numFmtId="1" fontId="62" fillId="0" borderId="150" xfId="8" applyNumberFormat="1" applyFont="1" applyBorder="1"/>
    <xf numFmtId="0" fontId="96" fillId="0" borderId="128" xfId="0" applyFont="1" applyBorder="1"/>
    <xf numFmtId="167" fontId="63" fillId="0" borderId="150" xfId="8" applyNumberFormat="1" applyFont="1" applyBorder="1"/>
    <xf numFmtId="1" fontId="63" fillId="0" borderId="164" xfId="8" applyNumberFormat="1" applyFont="1" applyBorder="1" applyAlignment="1">
      <alignment horizontal="left"/>
    </xf>
    <xf numFmtId="1" fontId="63" fillId="0" borderId="150" xfId="8" applyNumberFormat="1" applyFont="1" applyBorder="1" applyAlignment="1">
      <alignment horizontal="center"/>
    </xf>
    <xf numFmtId="0" fontId="105" fillId="0" borderId="0" xfId="0" applyFont="1"/>
    <xf numFmtId="0" fontId="15" fillId="0" borderId="175" xfId="0" applyFont="1" applyBorder="1"/>
    <xf numFmtId="0" fontId="102" fillId="0" borderId="175" xfId="0" applyFont="1" applyBorder="1"/>
    <xf numFmtId="0" fontId="62" fillId="0" borderId="175" xfId="0" applyFont="1" applyBorder="1"/>
    <xf numFmtId="0" fontId="15" fillId="0" borderId="176" xfId="0" applyFont="1" applyBorder="1"/>
    <xf numFmtId="0" fontId="63" fillId="0" borderId="177" xfId="0" applyFont="1" applyBorder="1"/>
    <xf numFmtId="1" fontId="15" fillId="0" borderId="5" xfId="8" applyNumberFormat="1" applyFont="1" applyBorder="1" applyAlignment="1">
      <alignment horizontal="right"/>
    </xf>
    <xf numFmtId="1" fontId="15" fillId="0" borderId="9" xfId="8" applyNumberFormat="1" applyFont="1" applyBorder="1" applyAlignment="1">
      <alignment horizontal="right"/>
    </xf>
    <xf numFmtId="1" fontId="13" fillId="0" borderId="17" xfId="8" applyNumberFormat="1" applyFont="1" applyBorder="1"/>
    <xf numFmtId="167" fontId="13" fillId="0" borderId="150" xfId="8" applyNumberFormat="1" applyFont="1" applyBorder="1"/>
    <xf numFmtId="1" fontId="13" fillId="0" borderId="150" xfId="8" applyNumberFormat="1" applyFont="1" applyBorder="1"/>
    <xf numFmtId="1" fontId="13" fillId="0" borderId="150" xfId="8" applyNumberFormat="1" applyFont="1" applyBorder="1" applyAlignment="1">
      <alignment horizontal="center"/>
    </xf>
    <xf numFmtId="1" fontId="15" fillId="0" borderId="164" xfId="8" applyNumberFormat="1" applyFont="1" applyBorder="1" applyAlignment="1">
      <alignment horizontal="right"/>
    </xf>
    <xf numFmtId="1" fontId="13" fillId="0" borderId="164" xfId="8" applyNumberFormat="1" applyFont="1" applyBorder="1" applyAlignment="1">
      <alignment horizontal="left"/>
    </xf>
    <xf numFmtId="1" fontId="13" fillId="0" borderId="164" xfId="8" applyNumberFormat="1" applyFont="1" applyBorder="1" applyAlignment="1">
      <alignment horizontal="right"/>
    </xf>
    <xf numFmtId="0" fontId="62" fillId="0" borderId="15" xfId="7" applyFont="1" applyBorder="1"/>
    <xf numFmtId="1" fontId="158" fillId="0" borderId="178" xfId="0" applyNumberFormat="1" applyFont="1" applyBorder="1"/>
    <xf numFmtId="1" fontId="13" fillId="6" borderId="0" xfId="8" applyNumberFormat="1" applyFont="1" applyFill="1" applyAlignment="1">
      <alignment horizontal="center"/>
    </xf>
    <xf numFmtId="2" fontId="195" fillId="0" borderId="0" xfId="0" applyNumberFormat="1" applyFont="1"/>
    <xf numFmtId="167" fontId="29" fillId="0" borderId="0" xfId="0" applyNumberFormat="1" applyFont="1"/>
    <xf numFmtId="167" fontId="172" fillId="0" borderId="0" xfId="0" applyNumberFormat="1" applyFont="1" applyAlignment="1">
      <alignment horizontal="right" vertical="center" readingOrder="1"/>
    </xf>
    <xf numFmtId="167" fontId="13" fillId="61" borderId="0" xfId="3" applyNumberFormat="1" applyFont="1" applyFill="1"/>
    <xf numFmtId="167" fontId="63" fillId="0" borderId="0" xfId="3" applyNumberFormat="1" applyFont="1"/>
    <xf numFmtId="167" fontId="161" fillId="0" borderId="0" xfId="0" applyNumberFormat="1" applyFont="1" applyAlignment="1">
      <alignment horizontal="center" vertical="center" readingOrder="1"/>
    </xf>
    <xf numFmtId="2" fontId="78" fillId="0" borderId="0" xfId="0" applyNumberFormat="1" applyFont="1"/>
    <xf numFmtId="1" fontId="196" fillId="0" borderId="0" xfId="0" applyNumberFormat="1" applyFont="1"/>
    <xf numFmtId="1" fontId="197" fillId="0" borderId="0" xfId="0" applyNumberFormat="1" applyFont="1"/>
    <xf numFmtId="0" fontId="158" fillId="0" borderId="10" xfId="0" applyFont="1" applyBorder="1"/>
    <xf numFmtId="2" fontId="0" fillId="0" borderId="164" xfId="0" applyNumberFormat="1" applyBorder="1"/>
    <xf numFmtId="0" fontId="62" fillId="0" borderId="0" xfId="4" applyFont="1"/>
    <xf numFmtId="0" fontId="34" fillId="0" borderId="1" xfId="7" applyFont="1" applyBorder="1"/>
    <xf numFmtId="2" fontId="34" fillId="0" borderId="0" xfId="4" applyNumberFormat="1" applyFont="1"/>
    <xf numFmtId="0" fontId="34" fillId="0" borderId="0" xfId="4" applyFont="1"/>
    <xf numFmtId="167" fontId="34" fillId="6" borderId="0" xfId="4" applyNumberFormat="1" applyFont="1" applyFill="1"/>
    <xf numFmtId="167" fontId="34" fillId="0" borderId="2" xfId="7" applyNumberFormat="1" applyFont="1" applyBorder="1"/>
    <xf numFmtId="167" fontId="34" fillId="0" borderId="3" xfId="7" applyNumberFormat="1" applyFont="1" applyBorder="1"/>
    <xf numFmtId="167" fontId="34" fillId="0" borderId="4" xfId="7" applyNumberFormat="1" applyFont="1" applyBorder="1"/>
    <xf numFmtId="167" fontId="34" fillId="0" borderId="117" xfId="0" applyNumberFormat="1" applyFont="1" applyBorder="1"/>
    <xf numFmtId="167" fontId="34" fillId="0" borderId="3" xfId="0" applyNumberFormat="1" applyFont="1" applyBorder="1"/>
    <xf numFmtId="167" fontId="34" fillId="0" borderId="0" xfId="4" applyNumberFormat="1" applyFont="1"/>
    <xf numFmtId="167" fontId="198" fillId="6" borderId="0" xfId="0" applyNumberFormat="1" applyFont="1" applyFill="1"/>
    <xf numFmtId="167" fontId="199" fillId="0" borderId="0" xfId="0" applyNumberFormat="1" applyFont="1" applyAlignment="1">
      <alignment horizontal="center" vertical="center" readingOrder="1"/>
    </xf>
    <xf numFmtId="0" fontId="200" fillId="0" borderId="0" xfId="0" applyFont="1"/>
    <xf numFmtId="1" fontId="200" fillId="0" borderId="0" xfId="0" applyNumberFormat="1" applyFont="1"/>
    <xf numFmtId="1" fontId="200" fillId="0" borderId="0" xfId="4" applyNumberFormat="1" applyFont="1"/>
    <xf numFmtId="1" fontId="200" fillId="6" borderId="0" xfId="0" applyNumberFormat="1" applyFont="1" applyFill="1"/>
    <xf numFmtId="1" fontId="191" fillId="0" borderId="164" xfId="0" applyNumberFormat="1" applyFont="1" applyBorder="1" applyAlignment="1">
      <alignment horizontal="right"/>
    </xf>
    <xf numFmtId="1" fontId="183" fillId="0" borderId="0" xfId="0" applyNumberFormat="1" applyFont="1" applyAlignment="1">
      <alignment horizontal="center"/>
    </xf>
    <xf numFmtId="1" fontId="62" fillId="0" borderId="0" xfId="0" applyNumberFormat="1" applyFont="1" applyAlignment="1" applyProtection="1">
      <alignment horizontal="center" vertical="top" wrapText="1"/>
      <protection locked="0"/>
    </xf>
    <xf numFmtId="4" fontId="63" fillId="0" borderId="0" xfId="64" applyNumberFormat="1" applyFont="1" applyFill="1" applyBorder="1" applyAlignment="1">
      <alignment horizontal="center"/>
    </xf>
    <xf numFmtId="172" fontId="62" fillId="0" borderId="0" xfId="0" applyNumberFormat="1" applyFont="1" applyAlignment="1">
      <alignment horizontal="center"/>
    </xf>
    <xf numFmtId="2" fontId="63" fillId="0" borderId="0" xfId="0" applyNumberFormat="1" applyFont="1" applyAlignment="1">
      <alignment horizontal="center"/>
    </xf>
    <xf numFmtId="1" fontId="120" fillId="0" borderId="0" xfId="0" applyNumberFormat="1" applyFont="1" applyAlignment="1">
      <alignment horizontal="center"/>
    </xf>
    <xf numFmtId="0" fontId="183" fillId="0" borderId="0" xfId="0" applyFont="1" applyAlignment="1">
      <alignment horizontal="center"/>
    </xf>
    <xf numFmtId="1" fontId="85" fillId="0" borderId="0" xfId="0" applyNumberFormat="1" applyFont="1" applyAlignment="1">
      <alignment horizontal="center"/>
    </xf>
    <xf numFmtId="9" fontId="183" fillId="0" borderId="0" xfId="6" applyFont="1" applyFill="1" applyAlignment="1">
      <alignment horizontal="center"/>
    </xf>
    <xf numFmtId="0" fontId="202" fillId="0" borderId="0" xfId="0" applyFont="1" applyAlignment="1">
      <alignment horizontal="center"/>
    </xf>
    <xf numFmtId="0" fontId="201" fillId="0" borderId="0" xfId="0" applyFont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62" fillId="0" borderId="0" xfId="0" applyFont="1" applyAlignment="1">
      <alignment horizontal="center"/>
    </xf>
    <xf numFmtId="9" fontId="32" fillId="0" borderId="164" xfId="6" applyFont="1" applyFill="1" applyBorder="1" applyAlignment="1">
      <alignment horizontal="center"/>
    </xf>
    <xf numFmtId="1" fontId="132" fillId="0" borderId="150" xfId="68" applyNumberFormat="1" applyFont="1" applyBorder="1" applyAlignment="1">
      <alignment horizontal="center"/>
    </xf>
    <xf numFmtId="1" fontId="102" fillId="0" borderId="164" xfId="0" applyNumberFormat="1" applyFont="1" applyBorder="1" applyAlignment="1">
      <alignment horizontal="center"/>
    </xf>
    <xf numFmtId="1" fontId="24" fillId="0" borderId="0" xfId="0" applyNumberFormat="1" applyFont="1" applyAlignment="1">
      <alignment horizontal="center"/>
    </xf>
    <xf numFmtId="1" fontId="42" fillId="0" borderId="0" xfId="0" applyNumberFormat="1" applyFont="1" applyAlignment="1">
      <alignment horizontal="center"/>
    </xf>
    <xf numFmtId="1" fontId="15" fillId="0" borderId="164" xfId="0" applyNumberFormat="1" applyFont="1" applyBorder="1"/>
    <xf numFmtId="1" fontId="15" fillId="0" borderId="164" xfId="0" applyNumberFormat="1" applyFont="1" applyBorder="1" applyAlignment="1">
      <alignment horizontal="center"/>
    </xf>
    <xf numFmtId="0" fontId="15" fillId="0" borderId="164" xfId="0" applyFont="1" applyBorder="1" applyAlignment="1">
      <alignment horizontal="center"/>
    </xf>
    <xf numFmtId="0" fontId="102" fillId="0" borderId="164" xfId="0" applyFont="1" applyBorder="1" applyAlignment="1">
      <alignment horizontal="center"/>
    </xf>
    <xf numFmtId="1" fontId="102" fillId="61" borderId="164" xfId="0" applyNumberFormat="1" applyFont="1" applyFill="1" applyBorder="1" applyAlignment="1">
      <alignment horizontal="center"/>
    </xf>
    <xf numFmtId="1" fontId="102" fillId="61" borderId="118" xfId="0" applyNumberFormat="1" applyFont="1" applyFill="1" applyBorder="1" applyAlignment="1">
      <alignment horizontal="center"/>
    </xf>
    <xf numFmtId="1" fontId="15" fillId="0" borderId="169" xfId="0" applyNumberFormat="1" applyFont="1" applyBorder="1"/>
    <xf numFmtId="1" fontId="13" fillId="0" borderId="169" xfId="0" applyNumberFormat="1" applyFont="1" applyBorder="1"/>
    <xf numFmtId="0" fontId="15" fillId="0" borderId="169" xfId="0" applyFont="1" applyBorder="1" applyAlignment="1">
      <alignment horizontal="center"/>
    </xf>
    <xf numFmtId="1" fontId="15" fillId="0" borderId="169" xfId="0" applyNumberFormat="1" applyFont="1" applyBorder="1" applyAlignment="1">
      <alignment horizontal="center"/>
    </xf>
    <xf numFmtId="1" fontId="102" fillId="0" borderId="169" xfId="0" applyNumberFormat="1" applyFont="1" applyBorder="1" applyAlignment="1">
      <alignment horizontal="center"/>
    </xf>
    <xf numFmtId="1" fontId="154" fillId="0" borderId="169" xfId="6" applyNumberFormat="1" applyFont="1" applyFill="1" applyBorder="1" applyAlignment="1">
      <alignment horizontal="center"/>
    </xf>
    <xf numFmtId="1" fontId="102" fillId="61" borderId="169" xfId="0" applyNumberFormat="1" applyFont="1" applyFill="1" applyBorder="1" applyAlignment="1">
      <alignment horizontal="center"/>
    </xf>
    <xf numFmtId="9" fontId="108" fillId="0" borderId="164" xfId="6" applyFont="1" applyFill="1" applyBorder="1" applyAlignment="1">
      <alignment horizontal="center"/>
    </xf>
    <xf numFmtId="1" fontId="203" fillId="0" borderId="164" xfId="0" applyNumberFormat="1" applyFont="1" applyBorder="1"/>
    <xf numFmtId="1" fontId="132" fillId="0" borderId="164" xfId="0" applyNumberFormat="1" applyFont="1" applyBorder="1" applyAlignment="1">
      <alignment horizontal="center"/>
    </xf>
    <xf numFmtId="1" fontId="204" fillId="0" borderId="164" xfId="0" applyNumberFormat="1" applyFont="1" applyBorder="1" applyAlignment="1">
      <alignment horizontal="center"/>
    </xf>
    <xf numFmtId="1" fontId="42" fillId="0" borderId="164" xfId="0" applyNumberFormat="1" applyFont="1" applyBorder="1"/>
    <xf numFmtId="1" fontId="202" fillId="0" borderId="164" xfId="0" applyNumberFormat="1" applyFont="1" applyBorder="1" applyAlignment="1">
      <alignment horizontal="center"/>
    </xf>
    <xf numFmtId="1" fontId="206" fillId="0" borderId="164" xfId="0" applyNumberFormat="1" applyFont="1" applyBorder="1" applyAlignment="1">
      <alignment horizontal="center"/>
    </xf>
    <xf numFmtId="1" fontId="121" fillId="0" borderId="164" xfId="0" applyNumberFormat="1" applyFont="1" applyBorder="1"/>
    <xf numFmtId="1" fontId="121" fillId="0" borderId="164" xfId="0" applyNumberFormat="1" applyFont="1" applyBorder="1" applyAlignment="1">
      <alignment horizontal="center"/>
    </xf>
    <xf numFmtId="1" fontId="208" fillId="0" borderId="164" xfId="0" applyNumberFormat="1" applyFont="1" applyBorder="1" applyAlignment="1">
      <alignment horizontal="center"/>
    </xf>
    <xf numFmtId="1" fontId="42" fillId="61" borderId="0" xfId="0" applyNumberFormat="1" applyFont="1" applyFill="1"/>
    <xf numFmtId="1" fontId="93" fillId="0" borderId="164" xfId="0" applyNumberFormat="1" applyFont="1" applyBorder="1" applyAlignment="1">
      <alignment horizontal="center"/>
    </xf>
    <xf numFmtId="1" fontId="24" fillId="0" borderId="150" xfId="0" applyNumberFormat="1" applyFont="1" applyBorder="1"/>
    <xf numFmtId="1" fontId="24" fillId="0" borderId="164" xfId="0" applyNumberFormat="1" applyFont="1" applyBorder="1"/>
    <xf numFmtId="1" fontId="201" fillId="0" borderId="164" xfId="0" applyNumberFormat="1" applyFont="1" applyBorder="1" applyAlignment="1">
      <alignment horizontal="center"/>
    </xf>
    <xf numFmtId="1" fontId="209" fillId="0" borderId="164" xfId="0" applyNumberFormat="1" applyFont="1" applyBorder="1" applyAlignment="1">
      <alignment horizontal="center"/>
    </xf>
    <xf numFmtId="1" fontId="93" fillId="0" borderId="164" xfId="0" applyNumberFormat="1" applyFont="1" applyBorder="1"/>
    <xf numFmtId="1" fontId="210" fillId="0" borderId="150" xfId="0" applyNumberFormat="1" applyFont="1" applyBorder="1"/>
    <xf numFmtId="1" fontId="210" fillId="0" borderId="164" xfId="0" applyNumberFormat="1" applyFont="1" applyBorder="1"/>
    <xf numFmtId="1" fontId="211" fillId="0" borderId="164" xfId="0" applyNumberFormat="1" applyFont="1" applyBorder="1" applyAlignment="1">
      <alignment horizontal="center"/>
    </xf>
    <xf numFmtId="1" fontId="93" fillId="61" borderId="25" xfId="0" applyNumberFormat="1" applyFont="1" applyFill="1" applyBorder="1"/>
    <xf numFmtId="1" fontId="24" fillId="0" borderId="0" xfId="0" applyNumberFormat="1" applyFont="1"/>
    <xf numFmtId="1" fontId="212" fillId="0" borderId="164" xfId="0" applyNumberFormat="1" applyFont="1" applyBorder="1"/>
    <xf numFmtId="1" fontId="91" fillId="0" borderId="164" xfId="0" applyNumberFormat="1" applyFont="1" applyBorder="1" applyAlignment="1">
      <alignment horizontal="center"/>
    </xf>
    <xf numFmtId="1" fontId="42" fillId="0" borderId="164" xfId="0" applyNumberFormat="1" applyFont="1" applyBorder="1" applyAlignment="1">
      <alignment horizontal="center"/>
    </xf>
    <xf numFmtId="1" fontId="24" fillId="61" borderId="21" xfId="0" applyNumberFormat="1" applyFont="1" applyFill="1" applyBorder="1"/>
    <xf numFmtId="1" fontId="210" fillId="0" borderId="150" xfId="0" applyNumberFormat="1" applyFont="1" applyBorder="1" applyAlignment="1">
      <alignment horizontal="center"/>
    </xf>
    <xf numFmtId="1" fontId="210" fillId="0" borderId="164" xfId="0" applyNumberFormat="1" applyFont="1" applyBorder="1" applyAlignment="1">
      <alignment horizontal="center"/>
    </xf>
    <xf numFmtId="1" fontId="24" fillId="0" borderId="164" xfId="0" applyNumberFormat="1" applyFont="1" applyBorder="1" applyAlignment="1">
      <alignment horizontal="center"/>
    </xf>
    <xf numFmtId="1" fontId="93" fillId="61" borderId="0" xfId="0" applyNumberFormat="1" applyFont="1" applyFill="1" applyAlignment="1">
      <alignment horizontal="center"/>
    </xf>
    <xf numFmtId="1" fontId="93" fillId="0" borderId="0" xfId="0" applyNumberFormat="1" applyFont="1" applyAlignment="1">
      <alignment horizontal="center"/>
    </xf>
    <xf numFmtId="1" fontId="91" fillId="61" borderId="0" xfId="0" applyNumberFormat="1" applyFont="1" applyFill="1" applyAlignment="1">
      <alignment horizontal="center"/>
    </xf>
    <xf numFmtId="1" fontId="91" fillId="0" borderId="0" xfId="0" applyNumberFormat="1" applyFont="1" applyAlignment="1">
      <alignment horizontal="center"/>
    </xf>
    <xf numFmtId="0" fontId="210" fillId="0" borderId="17" xfId="0" applyFont="1" applyBorder="1" applyAlignment="1">
      <alignment horizontal="center"/>
    </xf>
    <xf numFmtId="0" fontId="24" fillId="0" borderId="17" xfId="0" applyFont="1" applyBorder="1" applyAlignment="1">
      <alignment horizontal="center"/>
    </xf>
    <xf numFmtId="0" fontId="91" fillId="0" borderId="9" xfId="0" applyFont="1" applyBorder="1" applyAlignment="1">
      <alignment horizontal="center"/>
    </xf>
    <xf numFmtId="1" fontId="42" fillId="61" borderId="25" xfId="0" applyNumberFormat="1" applyFont="1" applyFill="1" applyBorder="1" applyAlignment="1">
      <alignment horizontal="center"/>
    </xf>
    <xf numFmtId="0" fontId="93" fillId="0" borderId="164" xfId="0" applyFont="1" applyBorder="1" applyAlignment="1">
      <alignment horizontal="center"/>
    </xf>
    <xf numFmtId="0" fontId="42" fillId="0" borderId="164" xfId="0" applyFont="1" applyBorder="1" applyAlignment="1">
      <alignment horizontal="center"/>
    </xf>
    <xf numFmtId="1" fontId="210" fillId="61" borderId="150" xfId="0" applyNumberFormat="1" applyFont="1" applyFill="1" applyBorder="1" applyAlignment="1">
      <alignment horizontal="center"/>
    </xf>
    <xf numFmtId="173" fontId="42" fillId="61" borderId="164" xfId="1" applyNumberFormat="1" applyFont="1" applyFill="1" applyBorder="1" applyAlignment="1">
      <alignment horizontal="center"/>
    </xf>
    <xf numFmtId="1" fontId="91" fillId="0" borderId="164" xfId="0" applyNumberFormat="1" applyFont="1" applyBorder="1" applyAlignment="1" applyProtection="1">
      <alignment horizontal="center" vertical="top" wrapText="1"/>
      <protection locked="0"/>
    </xf>
    <xf numFmtId="1" fontId="24" fillId="0" borderId="164" xfId="0" applyNumberFormat="1" applyFont="1" applyBorder="1" applyAlignment="1" applyProtection="1">
      <alignment horizontal="center" vertical="top" wrapText="1"/>
      <protection locked="0"/>
    </xf>
    <xf numFmtId="1" fontId="91" fillId="61" borderId="118" xfId="0" applyNumberFormat="1" applyFont="1" applyFill="1" applyBorder="1" applyAlignment="1" applyProtection="1">
      <alignment horizontal="center" vertical="top" wrapText="1"/>
      <protection locked="0"/>
    </xf>
    <xf numFmtId="4" fontId="207" fillId="0" borderId="164" xfId="64" applyNumberFormat="1" applyFont="1" applyFill="1" applyBorder="1" applyAlignment="1">
      <alignment horizontal="center"/>
    </xf>
    <xf numFmtId="4" fontId="42" fillId="0" borderId="164" xfId="64" applyNumberFormat="1" applyFont="1" applyFill="1" applyBorder="1" applyAlignment="1">
      <alignment horizontal="center"/>
    </xf>
    <xf numFmtId="4" fontId="93" fillId="0" borderId="164" xfId="64" applyNumberFormat="1" applyFont="1" applyFill="1" applyBorder="1" applyAlignment="1">
      <alignment horizontal="center"/>
    </xf>
    <xf numFmtId="166" fontId="207" fillId="0" borderId="164" xfId="236" applyFont="1" applyFill="1" applyBorder="1" applyAlignment="1">
      <alignment horizontal="center"/>
    </xf>
    <xf numFmtId="1" fontId="24" fillId="0" borderId="11" xfId="0" applyNumberFormat="1" applyFont="1" applyBorder="1" applyAlignment="1">
      <alignment horizontal="center"/>
    </xf>
    <xf numFmtId="9" fontId="207" fillId="0" borderId="0" xfId="6" applyFont="1" applyFill="1" applyAlignment="1">
      <alignment horizontal="center"/>
    </xf>
    <xf numFmtId="9" fontId="93" fillId="0" borderId="0" xfId="6" applyFont="1" applyFill="1" applyAlignment="1">
      <alignment horizontal="center"/>
    </xf>
    <xf numFmtId="172" fontId="24" fillId="61" borderId="0" xfId="0" applyNumberFormat="1" applyFont="1" applyFill="1" applyAlignment="1">
      <alignment horizontal="center"/>
    </xf>
    <xf numFmtId="172" fontId="24" fillId="0" borderId="0" xfId="0" applyNumberFormat="1" applyFont="1" applyAlignment="1">
      <alignment horizontal="center"/>
    </xf>
    <xf numFmtId="0" fontId="24" fillId="0" borderId="164" xfId="0" applyFont="1" applyBorder="1" applyAlignment="1">
      <alignment horizontal="center"/>
    </xf>
    <xf numFmtId="0" fontId="91" fillId="0" borderId="164" xfId="0" applyFont="1" applyBorder="1" applyAlignment="1">
      <alignment horizontal="center"/>
    </xf>
    <xf numFmtId="1" fontId="93" fillId="61" borderId="150" xfId="0" applyNumberFormat="1" applyFont="1" applyFill="1" applyBorder="1" applyAlignment="1">
      <alignment horizontal="center"/>
    </xf>
    <xf numFmtId="2" fontId="93" fillId="61" borderId="150" xfId="0" applyNumberFormat="1" applyFont="1" applyFill="1" applyBorder="1" applyAlignment="1">
      <alignment horizontal="center"/>
    </xf>
    <xf numFmtId="2" fontId="93" fillId="0" borderId="164" xfId="0" applyNumberFormat="1" applyFont="1" applyBorder="1" applyAlignment="1">
      <alignment horizontal="center"/>
    </xf>
    <xf numFmtId="2" fontId="42" fillId="0" borderId="164" xfId="0" applyNumberFormat="1" applyFont="1" applyBorder="1" applyAlignment="1">
      <alignment horizontal="center"/>
    </xf>
    <xf numFmtId="1" fontId="91" fillId="61" borderId="150" xfId="0" applyNumberFormat="1" applyFont="1" applyFill="1" applyBorder="1" applyAlignment="1">
      <alignment horizontal="center"/>
    </xf>
    <xf numFmtId="1" fontId="24" fillId="61" borderId="150" xfId="0" applyNumberFormat="1" applyFont="1" applyFill="1" applyBorder="1" applyAlignment="1">
      <alignment horizontal="center"/>
    </xf>
    <xf numFmtId="173" fontId="42" fillId="61" borderId="150" xfId="1" applyNumberFormat="1" applyFont="1" applyFill="1" applyBorder="1" applyAlignment="1">
      <alignment horizontal="center"/>
    </xf>
    <xf numFmtId="1" fontId="93" fillId="61" borderId="150" xfId="0" applyNumberFormat="1" applyFont="1" applyFill="1" applyBorder="1" applyAlignment="1" applyProtection="1">
      <alignment horizontal="center" vertical="top" wrapText="1"/>
      <protection locked="0"/>
    </xf>
    <xf numFmtId="1" fontId="91" fillId="61" borderId="0" xfId="6" applyNumberFormat="1" applyFont="1" applyFill="1" applyBorder="1" applyAlignment="1">
      <alignment horizontal="center"/>
    </xf>
    <xf numFmtId="1" fontId="91" fillId="0" borderId="0" xfId="6" applyNumberFormat="1" applyFont="1" applyFill="1" applyBorder="1" applyAlignment="1">
      <alignment horizontal="center"/>
    </xf>
    <xf numFmtId="1" fontId="24" fillId="0" borderId="0" xfId="6" applyNumberFormat="1" applyFont="1" applyFill="1" applyBorder="1" applyAlignment="1">
      <alignment horizontal="center"/>
    </xf>
    <xf numFmtId="1" fontId="24" fillId="61" borderId="164" xfId="0" applyNumberFormat="1" applyFont="1" applyFill="1" applyBorder="1" applyAlignment="1">
      <alignment horizontal="center"/>
    </xf>
    <xf numFmtId="1" fontId="210" fillId="61" borderId="118" xfId="0" applyNumberFormat="1" applyFont="1" applyFill="1" applyBorder="1" applyAlignment="1">
      <alignment horizontal="center"/>
    </xf>
    <xf numFmtId="167" fontId="206" fillId="0" borderId="164" xfId="0" applyNumberFormat="1" applyFont="1" applyBorder="1" applyAlignment="1">
      <alignment horizontal="center"/>
    </xf>
    <xf numFmtId="1" fontId="91" fillId="61" borderId="169" xfId="0" applyNumberFormat="1" applyFont="1" applyFill="1" applyBorder="1" applyAlignment="1">
      <alignment horizontal="center"/>
    </xf>
    <xf numFmtId="9" fontId="42" fillId="0" borderId="0" xfId="6" applyFont="1" applyFill="1" applyAlignment="1">
      <alignment horizontal="center"/>
    </xf>
    <xf numFmtId="9" fontId="93" fillId="61" borderId="0" xfId="6" applyFont="1" applyFill="1" applyAlignment="1">
      <alignment horizontal="center"/>
    </xf>
    <xf numFmtId="0" fontId="210" fillId="61" borderId="17" xfId="0" applyFont="1" applyFill="1" applyBorder="1" applyAlignment="1">
      <alignment horizontal="center"/>
    </xf>
    <xf numFmtId="0" fontId="210" fillId="0" borderId="164" xfId="0" applyFont="1" applyBorder="1" applyAlignment="1">
      <alignment horizontal="center"/>
    </xf>
    <xf numFmtId="0" fontId="91" fillId="0" borderId="0" xfId="0" applyFont="1" applyAlignment="1">
      <alignment horizontal="center"/>
    </xf>
    <xf numFmtId="1" fontId="205" fillId="0" borderId="0" xfId="0" applyNumberFormat="1" applyFont="1" applyAlignment="1">
      <alignment horizontal="center"/>
    </xf>
    <xf numFmtId="9" fontId="24" fillId="0" borderId="164" xfId="6" applyFont="1" applyFill="1" applyBorder="1" applyAlignment="1">
      <alignment horizontal="center"/>
    </xf>
    <xf numFmtId="1" fontId="206" fillId="0" borderId="0" xfId="0" applyNumberFormat="1" applyFont="1" applyAlignment="1">
      <alignment horizontal="center"/>
    </xf>
    <xf numFmtId="1" fontId="208" fillId="0" borderId="0" xfId="0" applyNumberFormat="1" applyFont="1" applyAlignment="1">
      <alignment horizontal="center"/>
    </xf>
    <xf numFmtId="1" fontId="209" fillId="0" borderId="0" xfId="0" applyNumberFormat="1" applyFont="1" applyAlignment="1">
      <alignment horizontal="center"/>
    </xf>
    <xf numFmtId="1" fontId="93" fillId="0" borderId="0" xfId="0" applyNumberFormat="1" applyFont="1"/>
    <xf numFmtId="1" fontId="206" fillId="0" borderId="0" xfId="1" applyNumberFormat="1" applyFont="1" applyFill="1" applyBorder="1" applyAlignment="1">
      <alignment horizontal="center"/>
    </xf>
    <xf numFmtId="1" fontId="93" fillId="61" borderId="164" xfId="0" applyNumberFormat="1" applyFont="1" applyFill="1" applyBorder="1" applyAlignment="1">
      <alignment horizontal="center"/>
    </xf>
    <xf numFmtId="9" fontId="24" fillId="0" borderId="0" xfId="6" applyFont="1" applyFill="1" applyBorder="1" applyAlignment="1">
      <alignment horizontal="center"/>
    </xf>
    <xf numFmtId="0" fontId="121" fillId="0" borderId="0" xfId="0" applyFont="1" applyAlignment="1">
      <alignment horizontal="center"/>
    </xf>
    <xf numFmtId="0" fontId="121" fillId="0" borderId="0" xfId="0" applyFont="1"/>
    <xf numFmtId="1" fontId="121" fillId="0" borderId="0" xfId="0" applyNumberFormat="1" applyFont="1" applyAlignment="1">
      <alignment horizontal="center"/>
    </xf>
    <xf numFmtId="1" fontId="121" fillId="0" borderId="0" xfId="0" applyNumberFormat="1" applyFont="1"/>
    <xf numFmtId="0" fontId="93" fillId="0" borderId="0" xfId="0" applyFont="1" applyAlignment="1">
      <alignment horizontal="center"/>
    </xf>
    <xf numFmtId="1" fontId="91" fillId="0" borderId="0" xfId="0" applyNumberFormat="1" applyFont="1" applyAlignment="1" applyProtection="1">
      <alignment horizontal="center" vertical="top" wrapText="1"/>
      <protection locked="0"/>
    </xf>
    <xf numFmtId="0" fontId="42" fillId="61" borderId="25" xfId="0" applyFont="1" applyFill="1" applyBorder="1" applyAlignment="1">
      <alignment horizontal="center"/>
    </xf>
    <xf numFmtId="1" fontId="211" fillId="0" borderId="164" xfId="158" applyNumberFormat="1" applyFont="1" applyBorder="1" applyAlignment="1">
      <alignment horizontal="center"/>
    </xf>
    <xf numFmtId="1" fontId="210" fillId="0" borderId="164" xfId="137" applyNumberFormat="1" applyFont="1" applyBorder="1" applyAlignment="1">
      <alignment horizontal="center"/>
    </xf>
    <xf numFmtId="167" fontId="186" fillId="0" borderId="0" xfId="0" applyNumberFormat="1" applyFont="1" applyAlignment="1">
      <alignment horizontal="center"/>
    </xf>
    <xf numFmtId="9" fontId="108" fillId="0" borderId="0" xfId="6" applyFont="1" applyFill="1" applyBorder="1"/>
    <xf numFmtId="167" fontId="184" fillId="0" borderId="0" xfId="239" applyNumberFormat="1" applyFont="1"/>
    <xf numFmtId="167" fontId="202" fillId="0" borderId="0" xfId="239" applyNumberFormat="1" applyFont="1" applyAlignment="1">
      <alignment horizontal="center"/>
    </xf>
    <xf numFmtId="167" fontId="202" fillId="0" borderId="0" xfId="0" applyNumberFormat="1" applyFont="1" applyAlignment="1">
      <alignment horizontal="center"/>
    </xf>
    <xf numFmtId="1" fontId="32" fillId="0" borderId="164" xfId="6" applyNumberFormat="1" applyFont="1" applyFill="1" applyBorder="1" applyAlignment="1">
      <alignment horizontal="center"/>
    </xf>
    <xf numFmtId="1" fontId="154" fillId="0" borderId="164" xfId="6" applyNumberFormat="1" applyFont="1" applyFill="1" applyBorder="1" applyAlignment="1">
      <alignment horizontal="center"/>
    </xf>
    <xf numFmtId="1" fontId="102" fillId="61" borderId="164" xfId="6" applyNumberFormat="1" applyFont="1" applyFill="1" applyBorder="1" applyAlignment="1">
      <alignment horizontal="center"/>
    </xf>
    <xf numFmtId="1" fontId="210" fillId="61" borderId="164" xfId="6" applyNumberFormat="1" applyFont="1" applyFill="1" applyBorder="1" applyAlignment="1">
      <alignment horizontal="center"/>
    </xf>
    <xf numFmtId="1" fontId="210" fillId="0" borderId="164" xfId="6" applyNumberFormat="1" applyFont="1" applyFill="1" applyBorder="1" applyAlignment="1">
      <alignment horizontal="center"/>
    </xf>
    <xf numFmtId="1" fontId="24" fillId="0" borderId="164" xfId="6" applyNumberFormat="1" applyFont="1" applyFill="1" applyBorder="1" applyAlignment="1">
      <alignment horizontal="center"/>
    </xf>
    <xf numFmtId="1" fontId="91" fillId="0" borderId="164" xfId="6" applyNumberFormat="1" applyFont="1" applyFill="1" applyBorder="1" applyAlignment="1">
      <alignment horizontal="center"/>
    </xf>
    <xf numFmtId="9" fontId="13" fillId="0" borderId="164" xfId="6" applyFont="1" applyFill="1" applyBorder="1" applyAlignment="1">
      <alignment horizontal="center"/>
    </xf>
    <xf numFmtId="9" fontId="108" fillId="61" borderId="164" xfId="6" applyFont="1" applyFill="1" applyBorder="1" applyAlignment="1">
      <alignment horizontal="center"/>
    </xf>
    <xf numFmtId="9" fontId="207" fillId="61" borderId="164" xfId="6" applyFont="1" applyFill="1" applyBorder="1" applyAlignment="1">
      <alignment horizontal="center"/>
    </xf>
    <xf numFmtId="9" fontId="207" fillId="0" borderId="164" xfId="6" applyFont="1" applyFill="1" applyBorder="1" applyAlignment="1">
      <alignment horizontal="center"/>
    </xf>
    <xf numFmtId="9" fontId="42" fillId="0" borderId="164" xfId="6" applyFont="1" applyFill="1" applyBorder="1" applyAlignment="1">
      <alignment horizontal="center"/>
    </xf>
    <xf numFmtId="9" fontId="93" fillId="0" borderId="164" xfId="6" applyFont="1" applyFill="1" applyBorder="1" applyAlignment="1">
      <alignment horizontal="center"/>
    </xf>
    <xf numFmtId="9" fontId="34" fillId="0" borderId="164" xfId="6" applyFont="1" applyFill="1" applyBorder="1" applyAlignment="1">
      <alignment horizontal="center"/>
    </xf>
    <xf numFmtId="1" fontId="42" fillId="61" borderId="21" xfId="0" applyNumberFormat="1" applyFont="1" applyFill="1" applyBorder="1" applyAlignment="1">
      <alignment horizontal="center"/>
    </xf>
    <xf numFmtId="1" fontId="102" fillId="11" borderId="150" xfId="1" applyNumberFormat="1" applyFont="1" applyFill="1" applyBorder="1" applyAlignment="1">
      <alignment horizontal="center"/>
    </xf>
    <xf numFmtId="1" fontId="42" fillId="11" borderId="164" xfId="1" applyNumberFormat="1" applyFont="1" applyFill="1" applyBorder="1" applyAlignment="1"/>
    <xf numFmtId="1" fontId="202" fillId="11" borderId="164" xfId="1" applyNumberFormat="1" applyFont="1" applyFill="1" applyBorder="1" applyAlignment="1">
      <alignment horizontal="center"/>
    </xf>
    <xf numFmtId="1" fontId="93" fillId="11" borderId="164" xfId="0" applyNumberFormat="1" applyFont="1" applyFill="1" applyBorder="1"/>
    <xf numFmtId="1" fontId="108" fillId="11" borderId="150" xfId="0" applyNumberFormat="1" applyFont="1" applyFill="1" applyBorder="1" applyAlignment="1">
      <alignment horizontal="center"/>
    </xf>
    <xf numFmtId="173" fontId="42" fillId="11" borderId="0" xfId="0" applyNumberFormat="1" applyFont="1" applyFill="1"/>
    <xf numFmtId="1" fontId="42" fillId="11" borderId="164" xfId="0" applyNumberFormat="1" applyFont="1" applyFill="1" applyBorder="1"/>
    <xf numFmtId="1" fontId="202" fillId="11" borderId="164" xfId="0" applyNumberFormat="1" applyFont="1" applyFill="1" applyBorder="1" applyAlignment="1">
      <alignment horizontal="center"/>
    </xf>
    <xf numFmtId="1" fontId="206" fillId="11" borderId="164" xfId="0" applyNumberFormat="1" applyFont="1" applyFill="1" applyBorder="1" applyAlignment="1">
      <alignment horizontal="center"/>
    </xf>
    <xf numFmtId="0" fontId="13" fillId="11" borderId="164" xfId="0" applyFont="1" applyFill="1" applyBorder="1" applyAlignment="1">
      <alignment vertical="center"/>
    </xf>
    <xf numFmtId="1" fontId="108" fillId="11" borderId="164" xfId="0" applyNumberFormat="1" applyFont="1" applyFill="1" applyBorder="1" applyAlignment="1">
      <alignment horizontal="center"/>
    </xf>
    <xf numFmtId="173" fontId="108" fillId="11" borderId="164" xfId="1" applyNumberFormat="1" applyFont="1" applyFill="1" applyBorder="1" applyAlignment="1">
      <alignment horizontal="center"/>
    </xf>
    <xf numFmtId="1" fontId="42" fillId="11" borderId="150" xfId="1" applyNumberFormat="1" applyFont="1" applyFill="1" applyBorder="1" applyAlignment="1"/>
    <xf numFmtId="173" fontId="42" fillId="11" borderId="150" xfId="1" applyNumberFormat="1" applyFont="1" applyFill="1" applyBorder="1" applyAlignment="1"/>
    <xf numFmtId="1" fontId="93" fillId="61" borderId="164" xfId="0" applyNumberFormat="1" applyFont="1" applyFill="1" applyBorder="1"/>
    <xf numFmtId="0" fontId="108" fillId="13" borderId="150" xfId="10" applyFont="1" applyBorder="1"/>
    <xf numFmtId="1" fontId="108" fillId="61" borderId="164" xfId="0" applyNumberFormat="1" applyFont="1" applyFill="1" applyBorder="1" applyAlignment="1">
      <alignment horizontal="center"/>
    </xf>
    <xf numFmtId="1" fontId="108" fillId="0" borderId="164" xfId="0" applyNumberFormat="1" applyFont="1" applyBorder="1"/>
    <xf numFmtId="0" fontId="108" fillId="0" borderId="164" xfId="10" applyFont="1" applyFill="1" applyBorder="1"/>
    <xf numFmtId="0" fontId="13" fillId="61" borderId="164" xfId="0" applyFont="1" applyFill="1" applyBorder="1"/>
    <xf numFmtId="0" fontId="42" fillId="61" borderId="164" xfId="0" applyFont="1" applyFill="1" applyBorder="1" applyAlignment="1">
      <alignment horizontal="center"/>
    </xf>
    <xf numFmtId="168" fontId="13" fillId="0" borderId="0" xfId="0" applyNumberFormat="1" applyFont="1" applyAlignment="1">
      <alignment horizontal="center"/>
    </xf>
    <xf numFmtId="173" fontId="12" fillId="0" borderId="150" xfId="1" applyNumberFormat="1" applyFont="1" applyBorder="1" applyAlignment="1">
      <alignment horizontal="center"/>
    </xf>
    <xf numFmtId="173" fontId="12" fillId="0" borderId="164" xfId="1" applyNumberFormat="1" applyFont="1" applyFill="1" applyBorder="1" applyAlignment="1">
      <alignment horizontal="center"/>
    </xf>
    <xf numFmtId="0" fontId="42" fillId="0" borderId="0" xfId="0" applyFont="1" applyAlignment="1">
      <alignment horizontal="center"/>
    </xf>
    <xf numFmtId="0" fontId="121" fillId="0" borderId="164" xfId="0" applyFont="1" applyBorder="1" applyAlignment="1">
      <alignment horizontal="center"/>
    </xf>
    <xf numFmtId="167" fontId="42" fillId="0" borderId="164" xfId="0" applyNumberFormat="1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07" fillId="0" borderId="164" xfId="0" applyFont="1" applyBorder="1" applyAlignment="1">
      <alignment horizontal="center"/>
    </xf>
    <xf numFmtId="173" fontId="121" fillId="0" borderId="164" xfId="1" applyNumberFormat="1" applyFont="1" applyFill="1" applyBorder="1" applyAlignment="1">
      <alignment horizontal="center"/>
    </xf>
    <xf numFmtId="1" fontId="207" fillId="0" borderId="164" xfId="0" applyNumberFormat="1" applyFont="1" applyBorder="1" applyAlignment="1">
      <alignment horizontal="center"/>
    </xf>
    <xf numFmtId="167" fontId="207" fillId="0" borderId="164" xfId="0" applyNumberFormat="1" applyFont="1" applyBorder="1" applyAlignment="1">
      <alignment horizontal="center"/>
    </xf>
    <xf numFmtId="1" fontId="78" fillId="0" borderId="0" xfId="0" applyNumberFormat="1" applyFont="1" applyAlignment="1">
      <alignment horizontal="center"/>
    </xf>
    <xf numFmtId="168" fontId="164" fillId="0" borderId="0" xfId="0" applyNumberFormat="1" applyFont="1"/>
    <xf numFmtId="177" fontId="164" fillId="0" borderId="0" xfId="1" applyNumberFormat="1" applyFont="1" applyBorder="1"/>
    <xf numFmtId="167" fontId="62" fillId="0" borderId="0" xfId="0" applyNumberFormat="1" applyFont="1"/>
    <xf numFmtId="1" fontId="24" fillId="0" borderId="5" xfId="8" applyNumberFormat="1" applyFont="1" applyBorder="1" applyAlignment="1">
      <alignment horizontal="left"/>
    </xf>
    <xf numFmtId="1" fontId="24" fillId="0" borderId="17" xfId="8" applyNumberFormat="1" applyFont="1" applyBorder="1" applyAlignment="1">
      <alignment horizontal="left"/>
    </xf>
    <xf numFmtId="1" fontId="24" fillId="0" borderId="164" xfId="8" applyNumberFormat="1" applyFont="1" applyBorder="1" applyAlignment="1">
      <alignment horizontal="center"/>
    </xf>
    <xf numFmtId="0" fontId="13" fillId="0" borderId="164" xfId="0" applyFont="1" applyBorder="1" applyAlignment="1">
      <alignment vertical="center" wrapText="1"/>
    </xf>
    <xf numFmtId="0" fontId="13" fillId="0" borderId="164" xfId="0" applyFont="1" applyBorder="1" applyAlignment="1">
      <alignment vertical="center"/>
    </xf>
    <xf numFmtId="0" fontId="202" fillId="0" borderId="164" xfId="239" applyFont="1" applyBorder="1" applyAlignment="1">
      <alignment horizontal="center"/>
    </xf>
    <xf numFmtId="167" fontId="202" fillId="0" borderId="164" xfId="239" applyNumberFormat="1" applyFont="1" applyBorder="1" applyAlignment="1">
      <alignment horizontal="center"/>
    </xf>
    <xf numFmtId="168" fontId="42" fillId="0" borderId="164" xfId="239" applyNumberFormat="1" applyFont="1" applyBorder="1" applyAlignment="1">
      <alignment horizontal="center"/>
    </xf>
    <xf numFmtId="0" fontId="135" fillId="0" borderId="118" xfId="11" applyFont="1" applyBorder="1" applyAlignment="1">
      <alignment horizontal="center" wrapText="1"/>
    </xf>
    <xf numFmtId="0" fontId="135" fillId="0" borderId="25" xfId="11" applyFont="1" applyBorder="1" applyAlignment="1">
      <alignment horizontal="center" wrapText="1"/>
    </xf>
    <xf numFmtId="0" fontId="62" fillId="0" borderId="164" xfId="0" applyFont="1" applyBorder="1"/>
    <xf numFmtId="0" fontId="13" fillId="0" borderId="164" xfId="0" applyFont="1" applyBorder="1" applyAlignment="1">
      <alignment horizontal="right"/>
    </xf>
    <xf numFmtId="0" fontId="18" fillId="0" borderId="164" xfId="0" applyFont="1" applyBorder="1"/>
    <xf numFmtId="0" fontId="33" fillId="0" borderId="164" xfId="0" applyFont="1" applyBorder="1"/>
    <xf numFmtId="0" fontId="15" fillId="0" borderId="164" xfId="0" applyFont="1" applyBorder="1"/>
    <xf numFmtId="1" fontId="13" fillId="0" borderId="164" xfId="0" quotePrefix="1" applyNumberFormat="1" applyFont="1" applyBorder="1" applyAlignment="1">
      <alignment horizontal="right"/>
    </xf>
    <xf numFmtId="0" fontId="13" fillId="6" borderId="164" xfId="0" applyFont="1" applyFill="1" applyBorder="1" applyAlignment="1">
      <alignment horizontal="right"/>
    </xf>
    <xf numFmtId="1" fontId="13" fillId="6" borderId="164" xfId="0" quotePrefix="1" applyNumberFormat="1" applyFont="1" applyFill="1" applyBorder="1" applyAlignment="1">
      <alignment horizontal="right"/>
    </xf>
    <xf numFmtId="0" fontId="63" fillId="0" borderId="164" xfId="0" applyFont="1" applyBorder="1"/>
    <xf numFmtId="0" fontId="13" fillId="0" borderId="39" xfId="0" applyFont="1" applyBorder="1"/>
    <xf numFmtId="1" fontId="15" fillId="0" borderId="164" xfId="0" quotePrefix="1" applyNumberFormat="1" applyFont="1" applyBorder="1" applyAlignment="1">
      <alignment horizontal="right"/>
    </xf>
    <xf numFmtId="0" fontId="15" fillId="0" borderId="164" xfId="0" applyFont="1" applyBorder="1" applyAlignment="1">
      <alignment horizontal="right"/>
    </xf>
    <xf numFmtId="1" fontId="202" fillId="0" borderId="164" xfId="1" applyNumberFormat="1" applyFont="1" applyFill="1" applyBorder="1" applyAlignment="1">
      <alignment horizontal="center"/>
    </xf>
    <xf numFmtId="0" fontId="21" fillId="0" borderId="0" xfId="0" applyFont="1"/>
    <xf numFmtId="0" fontId="12" fillId="0" borderId="164" xfId="11" applyBorder="1" applyAlignment="1">
      <alignment horizontal="center"/>
    </xf>
    <xf numFmtId="0" fontId="13" fillId="0" borderId="25" xfId="0" applyFont="1" applyBorder="1"/>
    <xf numFmtId="0" fontId="13" fillId="0" borderId="21" xfId="0" applyFont="1" applyBorder="1"/>
    <xf numFmtId="0" fontId="12" fillId="0" borderId="164" xfId="0" applyFont="1" applyBorder="1" applyAlignment="1">
      <alignment horizontal="center" vertical="center"/>
    </xf>
    <xf numFmtId="0" fontId="135" fillId="0" borderId="21" xfId="11" applyFont="1" applyBorder="1" applyAlignment="1">
      <alignment horizontal="center" wrapText="1"/>
    </xf>
    <xf numFmtId="0" fontId="214" fillId="0" borderId="0" xfId="0" applyFont="1"/>
    <xf numFmtId="1" fontId="13" fillId="0" borderId="164" xfId="1" applyNumberFormat="1" applyFont="1" applyFill="1" applyBorder="1" applyAlignment="1">
      <alignment horizontal="center"/>
    </xf>
    <xf numFmtId="1" fontId="108" fillId="0" borderId="164" xfId="1" applyNumberFormat="1" applyFont="1" applyFill="1" applyBorder="1" applyAlignment="1">
      <alignment horizontal="center"/>
    </xf>
    <xf numFmtId="1" fontId="42" fillId="61" borderId="164" xfId="0" applyNumberFormat="1" applyFont="1" applyFill="1" applyBorder="1"/>
    <xf numFmtId="1" fontId="207" fillId="61" borderId="164" xfId="0" applyNumberFormat="1" applyFont="1" applyFill="1" applyBorder="1"/>
    <xf numFmtId="0" fontId="13" fillId="0" borderId="164" xfId="0" applyFont="1" applyBorder="1" applyAlignment="1">
      <alignment wrapText="1"/>
    </xf>
    <xf numFmtId="9" fontId="13" fillId="0" borderId="164" xfId="6" applyFont="1" applyFill="1" applyBorder="1"/>
    <xf numFmtId="1" fontId="102" fillId="11" borderId="164" xfId="1" applyNumberFormat="1" applyFont="1" applyFill="1" applyBorder="1" applyAlignment="1">
      <alignment horizontal="center"/>
    </xf>
    <xf numFmtId="1" fontId="210" fillId="61" borderId="164" xfId="0" applyNumberFormat="1" applyFont="1" applyFill="1" applyBorder="1"/>
    <xf numFmtId="2" fontId="13" fillId="0" borderId="164" xfId="0" applyNumberFormat="1" applyFont="1" applyBorder="1"/>
    <xf numFmtId="2" fontId="13" fillId="0" borderId="164" xfId="0" applyNumberFormat="1" applyFont="1" applyBorder="1" applyAlignment="1">
      <alignment horizontal="center"/>
    </xf>
    <xf numFmtId="1" fontId="210" fillId="61" borderId="164" xfId="0" applyNumberFormat="1" applyFont="1" applyFill="1" applyBorder="1" applyAlignment="1">
      <alignment horizontal="center"/>
    </xf>
    <xf numFmtId="0" fontId="102" fillId="61" borderId="164" xfId="0" applyFont="1" applyFill="1" applyBorder="1" applyAlignment="1">
      <alignment horizontal="center"/>
    </xf>
    <xf numFmtId="0" fontId="24" fillId="61" borderId="164" xfId="0" applyFont="1" applyFill="1" applyBorder="1" applyAlignment="1">
      <alignment horizontal="center"/>
    </xf>
    <xf numFmtId="168" fontId="102" fillId="0" borderId="164" xfId="0" applyNumberFormat="1" applyFont="1" applyBorder="1" applyAlignment="1">
      <alignment horizontal="center"/>
    </xf>
    <xf numFmtId="1" fontId="42" fillId="61" borderId="164" xfId="0" applyNumberFormat="1" applyFont="1" applyFill="1" applyBorder="1" applyAlignment="1">
      <alignment horizontal="center"/>
    </xf>
    <xf numFmtId="0" fontId="132" fillId="0" borderId="164" xfId="68" applyFont="1" applyBorder="1" applyAlignment="1">
      <alignment horizontal="center"/>
    </xf>
    <xf numFmtId="0" fontId="93" fillId="61" borderId="164" xfId="0" applyFont="1" applyFill="1" applyBorder="1" applyAlignment="1">
      <alignment horizontal="center"/>
    </xf>
    <xf numFmtId="1" fontId="91" fillId="61" borderId="164" xfId="0" applyNumberFormat="1" applyFont="1" applyFill="1" applyBorder="1" applyAlignment="1">
      <alignment horizontal="center"/>
    </xf>
    <xf numFmtId="1" fontId="13" fillId="0" borderId="164" xfId="0" applyNumberFormat="1" applyFont="1" applyBorder="1" applyAlignment="1" applyProtection="1">
      <alignment horizontal="center" vertical="top" wrapText="1"/>
      <protection locked="0"/>
    </xf>
    <xf numFmtId="1" fontId="108" fillId="0" borderId="164" xfId="0" applyNumberFormat="1" applyFont="1" applyBorder="1" applyAlignment="1" applyProtection="1">
      <alignment horizontal="center" vertical="top" wrapText="1"/>
      <protection locked="0"/>
    </xf>
    <xf numFmtId="1" fontId="102" fillId="0" borderId="164" xfId="0" applyNumberFormat="1" applyFont="1" applyBorder="1" applyAlignment="1" applyProtection="1">
      <alignment horizontal="center" vertical="top" wrapText="1"/>
      <protection locked="0"/>
    </xf>
    <xf numFmtId="1" fontId="91" fillId="61" borderId="164" xfId="0" applyNumberFormat="1" applyFont="1" applyFill="1" applyBorder="1" applyAlignment="1" applyProtection="1">
      <alignment horizontal="center" vertical="top" wrapText="1"/>
      <protection locked="0"/>
    </xf>
    <xf numFmtId="1" fontId="211" fillId="0" borderId="164" xfId="137" applyNumberFormat="1" applyFont="1" applyBorder="1" applyAlignment="1">
      <alignment horizontal="center"/>
    </xf>
    <xf numFmtId="1" fontId="15" fillId="0" borderId="164" xfId="0" applyNumberFormat="1" applyFont="1" applyBorder="1" applyAlignment="1" applyProtection="1">
      <alignment horizontal="center" vertical="top" wrapText="1"/>
      <protection locked="0"/>
    </xf>
    <xf numFmtId="37" fontId="13" fillId="0" borderId="164" xfId="1" applyNumberFormat="1" applyFont="1" applyFill="1" applyBorder="1"/>
    <xf numFmtId="1" fontId="108" fillId="0" borderId="164" xfId="10" applyNumberFormat="1" applyFont="1" applyFill="1" applyBorder="1" applyAlignment="1">
      <alignment horizontal="center"/>
    </xf>
    <xf numFmtId="0" fontId="207" fillId="61" borderId="164" xfId="64" applyFont="1" applyFill="1" applyBorder="1" applyAlignment="1">
      <alignment horizontal="center"/>
    </xf>
    <xf numFmtId="0" fontId="207" fillId="0" borderId="164" xfId="64" applyFont="1" applyFill="1" applyBorder="1" applyAlignment="1">
      <alignment horizontal="center"/>
    </xf>
    <xf numFmtId="172" fontId="13" fillId="0" borderId="164" xfId="1" applyNumberFormat="1" applyFont="1" applyFill="1" applyBorder="1" applyAlignment="1">
      <alignment horizontal="center"/>
    </xf>
    <xf numFmtId="172" fontId="108" fillId="0" borderId="164" xfId="1" applyNumberFormat="1" applyFont="1" applyFill="1" applyBorder="1" applyAlignment="1">
      <alignment horizontal="center"/>
    </xf>
    <xf numFmtId="2" fontId="108" fillId="0" borderId="164" xfId="0" applyNumberFormat="1" applyFont="1" applyBorder="1" applyAlignment="1">
      <alignment horizontal="center"/>
    </xf>
    <xf numFmtId="2" fontId="108" fillId="61" borderId="164" xfId="0" applyNumberFormat="1" applyFont="1" applyFill="1" applyBorder="1" applyAlignment="1">
      <alignment horizontal="center"/>
    </xf>
    <xf numFmtId="173" fontId="108" fillId="61" borderId="164" xfId="1" applyNumberFormat="1" applyFont="1" applyFill="1" applyBorder="1" applyAlignment="1">
      <alignment horizontal="center"/>
    </xf>
    <xf numFmtId="2" fontId="15" fillId="0" borderId="164" xfId="0" applyNumberFormat="1" applyFont="1" applyBorder="1"/>
    <xf numFmtId="1" fontId="108" fillId="61" borderId="164" xfId="0" applyNumberFormat="1" applyFont="1" applyFill="1" applyBorder="1" applyAlignment="1" applyProtection="1">
      <alignment horizontal="center" vertical="top" wrapText="1"/>
      <protection locked="0"/>
    </xf>
    <xf numFmtId="172" fontId="13" fillId="0" borderId="164" xfId="1" applyNumberFormat="1" applyFont="1" applyFill="1" applyBorder="1"/>
    <xf numFmtId="172" fontId="13" fillId="0" borderId="164" xfId="0" applyNumberFormat="1" applyFont="1" applyBorder="1"/>
    <xf numFmtId="172" fontId="13" fillId="0" borderId="164" xfId="1" applyNumberFormat="1" applyFont="1" applyBorder="1" applyAlignment="1">
      <alignment horizontal="center"/>
    </xf>
    <xf numFmtId="172" fontId="108" fillId="0" borderId="164" xfId="1" applyNumberFormat="1" applyFont="1" applyBorder="1" applyAlignment="1">
      <alignment horizontal="center"/>
    </xf>
    <xf numFmtId="0" fontId="13" fillId="10" borderId="164" xfId="0" applyFont="1" applyFill="1" applyBorder="1"/>
    <xf numFmtId="1" fontId="207" fillId="61" borderId="164" xfId="0" applyNumberFormat="1" applyFont="1" applyFill="1" applyBorder="1" applyAlignment="1">
      <alignment horizontal="center"/>
    </xf>
    <xf numFmtId="164" fontId="13" fillId="0" borderId="164" xfId="0" applyNumberFormat="1" applyFont="1" applyBorder="1"/>
    <xf numFmtId="1" fontId="102" fillId="0" borderId="164" xfId="1" applyNumberFormat="1" applyFont="1" applyFill="1" applyBorder="1" applyAlignment="1">
      <alignment horizontal="center"/>
    </xf>
    <xf numFmtId="0" fontId="32" fillId="0" borderId="164" xfId="0" applyFont="1" applyBorder="1"/>
    <xf numFmtId="0" fontId="0" fillId="0" borderId="164" xfId="0" applyBorder="1" applyAlignment="1">
      <alignment horizontal="right"/>
    </xf>
    <xf numFmtId="0" fontId="213" fillId="0" borderId="164" xfId="0" applyFont="1" applyBorder="1" applyAlignment="1">
      <alignment horizontal="center"/>
    </xf>
    <xf numFmtId="1" fontId="42" fillId="0" borderId="164" xfId="0" quotePrefix="1" applyNumberFormat="1" applyFont="1" applyBorder="1" applyAlignment="1">
      <alignment horizontal="center"/>
    </xf>
    <xf numFmtId="0" fontId="204" fillId="0" borderId="164" xfId="0" applyFont="1" applyBorder="1" applyAlignment="1">
      <alignment horizontal="center" vertical="center" wrapText="1"/>
    </xf>
    <xf numFmtId="0" fontId="203" fillId="0" borderId="164" xfId="0" applyFont="1" applyBorder="1" applyAlignment="1">
      <alignment horizontal="center" vertical="center" wrapText="1"/>
    </xf>
    <xf numFmtId="0" fontId="13" fillId="59" borderId="164" xfId="0" applyFont="1" applyFill="1" applyBorder="1" applyAlignment="1">
      <alignment horizontal="right"/>
    </xf>
    <xf numFmtId="0" fontId="13" fillId="59" borderId="164" xfId="0" applyFont="1" applyFill="1" applyBorder="1"/>
    <xf numFmtId="0" fontId="105" fillId="0" borderId="164" xfId="0" applyFont="1" applyBorder="1" applyAlignment="1">
      <alignment horizontal="right"/>
    </xf>
    <xf numFmtId="0" fontId="13" fillId="0" borderId="164" xfId="0" applyFont="1" applyBorder="1" applyAlignment="1">
      <alignment horizontal="right" vertical="center"/>
    </xf>
    <xf numFmtId="0" fontId="13" fillId="60" borderId="164" xfId="0" applyFont="1" applyFill="1" applyBorder="1" applyAlignment="1">
      <alignment horizontal="center"/>
    </xf>
    <xf numFmtId="0" fontId="47" fillId="6" borderId="164" xfId="0" applyFont="1" applyFill="1" applyBorder="1" applyAlignment="1">
      <alignment horizontal="center"/>
    </xf>
    <xf numFmtId="0" fontId="47" fillId="0" borderId="164" xfId="0" applyFont="1" applyBorder="1" applyAlignment="1">
      <alignment horizontal="center"/>
    </xf>
    <xf numFmtId="173" fontId="0" fillId="0" borderId="164" xfId="1" applyNumberFormat="1" applyFont="1" applyBorder="1" applyAlignment="1">
      <alignment horizontal="center"/>
    </xf>
    <xf numFmtId="173" fontId="13" fillId="0" borderId="164" xfId="1" applyNumberFormat="1" applyFont="1" applyFill="1" applyBorder="1"/>
    <xf numFmtId="173" fontId="79" fillId="0" borderId="164" xfId="1" applyNumberFormat="1" applyFont="1" applyFill="1" applyBorder="1"/>
    <xf numFmtId="173" fontId="0" fillId="0" borderId="164" xfId="1" applyNumberFormat="1" applyFont="1" applyFill="1" applyBorder="1" applyAlignment="1">
      <alignment horizontal="center"/>
    </xf>
    <xf numFmtId="173" fontId="13" fillId="0" borderId="164" xfId="1" applyNumberFormat="1" applyFont="1" applyFill="1" applyBorder="1" applyAlignment="1">
      <alignment horizontal="center"/>
    </xf>
    <xf numFmtId="0" fontId="155" fillId="0" borderId="164" xfId="0" applyFont="1" applyBorder="1"/>
    <xf numFmtId="1" fontId="79" fillId="0" borderId="164" xfId="0" applyNumberFormat="1" applyFont="1" applyBorder="1"/>
    <xf numFmtId="173" fontId="79" fillId="0" borderId="164" xfId="1" applyNumberFormat="1" applyFont="1" applyFill="1" applyBorder="1" applyAlignment="1">
      <alignment horizontal="center"/>
    </xf>
    <xf numFmtId="0" fontId="9" fillId="0" borderId="164" xfId="68" applyBorder="1"/>
    <xf numFmtId="1" fontId="0" fillId="6" borderId="164" xfId="0" applyNumberFormat="1" applyFill="1" applyBorder="1" applyAlignment="1">
      <alignment horizontal="center"/>
    </xf>
    <xf numFmtId="0" fontId="0" fillId="0" borderId="164" xfId="68" applyFont="1" applyBorder="1"/>
    <xf numFmtId="1" fontId="122" fillId="0" borderId="164" xfId="0" applyNumberFormat="1" applyFont="1" applyBorder="1" applyAlignment="1">
      <alignment horizontal="center"/>
    </xf>
    <xf numFmtId="1" fontId="123" fillId="0" borderId="164" xfId="0" applyNumberFormat="1" applyFont="1" applyBorder="1" applyAlignment="1">
      <alignment horizontal="center"/>
    </xf>
    <xf numFmtId="0" fontId="124" fillId="0" borderId="164" xfId="0" applyFont="1" applyBorder="1" applyAlignment="1">
      <alignment horizontal="center"/>
    </xf>
    <xf numFmtId="1" fontId="123" fillId="3" borderId="164" xfId="0" applyNumberFormat="1" applyFont="1" applyFill="1" applyBorder="1" applyAlignment="1">
      <alignment horizontal="center"/>
    </xf>
    <xf numFmtId="173" fontId="95" fillId="0" borderId="164" xfId="1" applyNumberFormat="1" applyFont="1" applyFill="1" applyBorder="1" applyAlignment="1">
      <alignment horizontal="center"/>
    </xf>
    <xf numFmtId="1" fontId="0" fillId="61" borderId="164" xfId="0" applyNumberFormat="1" applyFill="1" applyBorder="1" applyAlignment="1">
      <alignment horizontal="center"/>
    </xf>
    <xf numFmtId="0" fontId="80" fillId="0" borderId="164" xfId="0" applyFont="1" applyBorder="1"/>
    <xf numFmtId="1" fontId="0" fillId="61" borderId="164" xfId="0" applyNumberFormat="1" applyFill="1" applyBorder="1"/>
    <xf numFmtId="173" fontId="95" fillId="61" borderId="164" xfId="1" applyNumberFormat="1" applyFont="1" applyFill="1" applyBorder="1" applyAlignment="1">
      <alignment horizontal="center"/>
    </xf>
    <xf numFmtId="1" fontId="126" fillId="0" borderId="164" xfId="0" applyNumberFormat="1" applyFont="1" applyBorder="1" applyAlignment="1">
      <alignment horizontal="center"/>
    </xf>
    <xf numFmtId="0" fontId="126" fillId="0" borderId="164" xfId="0" applyFont="1" applyBorder="1" applyAlignment="1">
      <alignment horizontal="center"/>
    </xf>
    <xf numFmtId="0" fontId="122" fillId="0" borderId="164" xfId="0" applyFont="1" applyBorder="1" applyAlignment="1">
      <alignment horizontal="center"/>
    </xf>
    <xf numFmtId="0" fontId="126" fillId="3" borderId="164" xfId="0" applyFont="1" applyFill="1" applyBorder="1" applyAlignment="1">
      <alignment horizontal="center"/>
    </xf>
    <xf numFmtId="1" fontId="125" fillId="0" borderId="164" xfId="0" applyNumberFormat="1" applyFont="1" applyBorder="1" applyAlignment="1">
      <alignment horizontal="center"/>
    </xf>
    <xf numFmtId="1" fontId="125" fillId="3" borderId="164" xfId="0" applyNumberFormat="1" applyFont="1" applyFill="1" applyBorder="1" applyAlignment="1">
      <alignment horizontal="center"/>
    </xf>
    <xf numFmtId="1" fontId="95" fillId="0" borderId="164" xfId="0" applyNumberFormat="1" applyFont="1" applyBorder="1" applyAlignment="1">
      <alignment horizontal="center"/>
    </xf>
    <xf numFmtId="1" fontId="95" fillId="61" borderId="164" xfId="0" applyNumberFormat="1" applyFont="1" applyFill="1" applyBorder="1" applyAlignment="1">
      <alignment horizontal="center"/>
    </xf>
    <xf numFmtId="0" fontId="28" fillId="0" borderId="164" xfId="0" applyFont="1" applyBorder="1" applyAlignment="1">
      <alignment horizontal="center"/>
    </xf>
    <xf numFmtId="0" fontId="12" fillId="61" borderId="164" xfId="0" applyFont="1" applyFill="1" applyBorder="1" applyAlignment="1">
      <alignment horizontal="center"/>
    </xf>
    <xf numFmtId="1" fontId="101" fillId="0" borderId="164" xfId="0" applyNumberFormat="1" applyFont="1" applyBorder="1" applyAlignment="1">
      <alignment horizontal="center"/>
    </xf>
    <xf numFmtId="0" fontId="101" fillId="0" borderId="164" xfId="0" applyFont="1" applyBorder="1" applyAlignment="1">
      <alignment horizontal="center"/>
    </xf>
    <xf numFmtId="0" fontId="125" fillId="0" borderId="164" xfId="0" applyFont="1" applyBorder="1" applyAlignment="1">
      <alignment horizontal="center"/>
    </xf>
    <xf numFmtId="0" fontId="127" fillId="0" borderId="164" xfId="0" applyFont="1" applyBorder="1" applyAlignment="1">
      <alignment horizontal="center"/>
    </xf>
    <xf numFmtId="0" fontId="127" fillId="3" borderId="164" xfId="0" applyFont="1" applyFill="1" applyBorder="1" applyAlignment="1">
      <alignment horizontal="center"/>
    </xf>
    <xf numFmtId="173" fontId="13" fillId="0" borderId="164" xfId="70" applyNumberFormat="1" applyFont="1" applyFill="1" applyBorder="1" applyAlignment="1">
      <alignment horizontal="center"/>
    </xf>
    <xf numFmtId="0" fontId="30" fillId="0" borderId="164" xfId="0" applyFont="1" applyBorder="1" applyAlignment="1">
      <alignment horizontal="center"/>
    </xf>
    <xf numFmtId="0" fontId="30" fillId="0" borderId="164" xfId="0" applyFont="1" applyBorder="1"/>
    <xf numFmtId="0" fontId="30" fillId="0" borderId="164" xfId="65" applyFont="1" applyBorder="1"/>
    <xf numFmtId="1" fontId="30" fillId="0" borderId="164" xfId="0" applyNumberFormat="1" applyFont="1" applyBorder="1" applyAlignment="1">
      <alignment horizontal="center"/>
    </xf>
    <xf numFmtId="1" fontId="30" fillId="0" borderId="164" xfId="0" applyNumberFormat="1" applyFont="1" applyBorder="1" applyAlignment="1">
      <alignment horizontal="right"/>
    </xf>
    <xf numFmtId="1" fontId="30" fillId="0" borderId="164" xfId="65" applyNumberFormat="1" applyFont="1" applyBorder="1" applyAlignment="1">
      <alignment horizontal="right"/>
    </xf>
    <xf numFmtId="0" fontId="78" fillId="0" borderId="164" xfId="0" applyFont="1" applyBorder="1"/>
    <xf numFmtId="0" fontId="77" fillId="0" borderId="164" xfId="65" applyFont="1" applyBorder="1"/>
    <xf numFmtId="0" fontId="83" fillId="0" borderId="164" xfId="65" applyFont="1" applyBorder="1"/>
    <xf numFmtId="1" fontId="79" fillId="0" borderId="164" xfId="0" applyNumberFormat="1" applyFont="1" applyBorder="1" applyAlignment="1">
      <alignment horizontal="center"/>
    </xf>
    <xf numFmtId="0" fontId="112" fillId="0" borderId="164" xfId="0" applyFont="1" applyBorder="1"/>
    <xf numFmtId="0" fontId="112" fillId="6" borderId="164" xfId="0" applyFont="1" applyFill="1" applyBorder="1"/>
    <xf numFmtId="0" fontId="112" fillId="0" borderId="164" xfId="65" applyFont="1" applyBorder="1"/>
    <xf numFmtId="1" fontId="112" fillId="0" borderId="164" xfId="65" applyNumberFormat="1" applyFont="1" applyBorder="1"/>
    <xf numFmtId="0" fontId="112" fillId="3" borderId="164" xfId="65" applyFont="1" applyFill="1" applyBorder="1"/>
    <xf numFmtId="0" fontId="81" fillId="0" borderId="164" xfId="0" applyFont="1" applyBorder="1" applyAlignment="1">
      <alignment horizontal="center"/>
    </xf>
    <xf numFmtId="0" fontId="80" fillId="0" borderId="164" xfId="0" applyFont="1" applyBorder="1" applyAlignment="1">
      <alignment vertical="center"/>
    </xf>
    <xf numFmtId="0" fontId="81" fillId="0" borderId="164" xfId="0" applyFont="1" applyBorder="1"/>
    <xf numFmtId="1" fontId="30" fillId="0" borderId="164" xfId="8" applyNumberFormat="1" applyFont="1" applyBorder="1" applyAlignment="1">
      <alignment horizontal="right"/>
    </xf>
    <xf numFmtId="1" fontId="31" fillId="0" borderId="164" xfId="8" applyNumberFormat="1" applyFont="1" applyBorder="1" applyAlignment="1">
      <alignment horizontal="left"/>
    </xf>
    <xf numFmtId="0" fontId="81" fillId="0" borderId="164" xfId="0" applyFont="1" applyBorder="1" applyAlignment="1">
      <alignment vertical="center"/>
    </xf>
    <xf numFmtId="0" fontId="31" fillId="0" borderId="164" xfId="0" applyFont="1" applyBorder="1"/>
    <xf numFmtId="1" fontId="79" fillId="0" borderId="164" xfId="0" applyNumberFormat="1" applyFont="1" applyBorder="1" applyAlignment="1">
      <alignment horizontal="right"/>
    </xf>
    <xf numFmtId="1" fontId="31" fillId="0" borderId="164" xfId="8" applyNumberFormat="1" applyFont="1" applyBorder="1" applyAlignment="1">
      <alignment horizontal="right"/>
    </xf>
    <xf numFmtId="0" fontId="31" fillId="0" borderId="164" xfId="0" applyFont="1" applyBorder="1" applyAlignment="1">
      <alignment wrapText="1"/>
    </xf>
    <xf numFmtId="1" fontId="15" fillId="0" borderId="164" xfId="8" applyNumberFormat="1" applyFont="1" applyBorder="1"/>
    <xf numFmtId="0" fontId="8" fillId="0" borderId="164" xfId="134" applyBorder="1"/>
    <xf numFmtId="0" fontId="82" fillId="0" borderId="164" xfId="0" applyFont="1" applyBorder="1"/>
    <xf numFmtId="0" fontId="48" fillId="6" borderId="164" xfId="0" applyFont="1" applyFill="1" applyBorder="1"/>
    <xf numFmtId="0" fontId="0" fillId="6" borderId="164" xfId="0" applyFill="1" applyBorder="1" applyAlignment="1">
      <alignment horizontal="center"/>
    </xf>
    <xf numFmtId="1" fontId="117" fillId="0" borderId="164" xfId="0" applyNumberFormat="1" applyFont="1" applyBorder="1" applyAlignment="1">
      <alignment horizontal="center" vertical="center" wrapText="1"/>
    </xf>
    <xf numFmtId="1" fontId="115" fillId="0" borderId="164" xfId="0" applyNumberFormat="1" applyFont="1" applyBorder="1"/>
    <xf numFmtId="0" fontId="76" fillId="61" borderId="164" xfId="68" applyFont="1" applyFill="1" applyBorder="1" applyAlignment="1">
      <alignment horizontal="center"/>
    </xf>
    <xf numFmtId="1" fontId="9" fillId="61" borderId="164" xfId="68" applyNumberFormat="1" applyFill="1" applyBorder="1" applyAlignment="1">
      <alignment horizontal="center"/>
    </xf>
    <xf numFmtId="0" fontId="48" fillId="0" borderId="164" xfId="0" applyFont="1" applyBorder="1"/>
    <xf numFmtId="1" fontId="115" fillId="0" borderId="164" xfId="0" applyNumberFormat="1" applyFont="1" applyBorder="1" applyAlignment="1">
      <alignment horizontal="right"/>
    </xf>
    <xf numFmtId="1" fontId="12" fillId="6" borderId="164" xfId="0" applyNumberFormat="1" applyFont="1" applyFill="1" applyBorder="1" applyAlignment="1">
      <alignment horizontal="center"/>
    </xf>
    <xf numFmtId="0" fontId="13" fillId="6" borderId="164" xfId="0" applyFont="1" applyFill="1" applyBorder="1" applyAlignment="1">
      <alignment horizontal="center"/>
    </xf>
    <xf numFmtId="0" fontId="82" fillId="0" borderId="164" xfId="0" applyFont="1" applyBorder="1" applyAlignment="1">
      <alignment horizontal="center"/>
    </xf>
    <xf numFmtId="0" fontId="86" fillId="0" borderId="164" xfId="0" applyFont="1" applyBorder="1" applyAlignment="1">
      <alignment horizontal="center"/>
    </xf>
    <xf numFmtId="0" fontId="72" fillId="0" borderId="164" xfId="0" applyFont="1" applyBorder="1"/>
    <xf numFmtId="0" fontId="83" fillId="0" borderId="164" xfId="0" applyFont="1" applyBorder="1"/>
    <xf numFmtId="0" fontId="56" fillId="0" borderId="164" xfId="0" applyFont="1" applyBorder="1"/>
    <xf numFmtId="0" fontId="77" fillId="0" borderId="164" xfId="0" applyFont="1" applyBorder="1"/>
    <xf numFmtId="1" fontId="56" fillId="0" borderId="164" xfId="0" applyNumberFormat="1" applyFont="1" applyBorder="1" applyAlignment="1">
      <alignment horizontal="center"/>
    </xf>
    <xf numFmtId="1" fontId="56" fillId="0" borderId="164" xfId="0" applyNumberFormat="1" applyFont="1" applyBorder="1"/>
    <xf numFmtId="1" fontId="77" fillId="0" borderId="164" xfId="0" applyNumberFormat="1" applyFont="1" applyBorder="1"/>
    <xf numFmtId="1" fontId="77" fillId="6" borderId="164" xfId="0" applyNumberFormat="1" applyFont="1" applyFill="1" applyBorder="1"/>
    <xf numFmtId="167" fontId="56" fillId="0" borderId="164" xfId="0" applyNumberFormat="1" applyFont="1" applyBorder="1" applyAlignment="1">
      <alignment horizontal="center"/>
    </xf>
    <xf numFmtId="173" fontId="56" fillId="0" borderId="164" xfId="1" applyNumberFormat="1" applyFont="1" applyBorder="1" applyAlignment="1">
      <alignment horizontal="center" vertical="center"/>
    </xf>
    <xf numFmtId="168" fontId="0" fillId="0" borderId="164" xfId="0" applyNumberFormat="1" applyBorder="1"/>
    <xf numFmtId="0" fontId="156" fillId="54" borderId="164" xfId="0" applyFont="1" applyFill="1" applyBorder="1" applyAlignment="1">
      <alignment horizontal="center"/>
    </xf>
    <xf numFmtId="2" fontId="113" fillId="0" borderId="164" xfId="0" applyNumberFormat="1" applyFont="1" applyBorder="1" applyAlignment="1">
      <alignment horizontal="center"/>
    </xf>
    <xf numFmtId="2" fontId="0" fillId="0" borderId="164" xfId="0" applyNumberFormat="1" applyBorder="1" applyAlignment="1">
      <alignment horizontal="center"/>
    </xf>
    <xf numFmtId="175" fontId="0" fillId="0" borderId="164" xfId="0" applyNumberFormat="1" applyBorder="1" applyAlignment="1">
      <alignment horizontal="center"/>
    </xf>
    <xf numFmtId="0" fontId="73" fillId="0" borderId="164" xfId="0" applyFont="1" applyBorder="1" applyAlignment="1">
      <alignment horizontal="center"/>
    </xf>
    <xf numFmtId="171" fontId="73" fillId="0" borderId="164" xfId="0" applyNumberFormat="1" applyFont="1" applyBorder="1"/>
    <xf numFmtId="3" fontId="40" fillId="6" borderId="164" xfId="0" applyNumberFormat="1" applyFont="1" applyFill="1" applyBorder="1" applyAlignment="1">
      <alignment horizontal="right"/>
    </xf>
    <xf numFmtId="3" fontId="13" fillId="6" borderId="164" xfId="0" applyNumberFormat="1" applyFont="1" applyFill="1" applyBorder="1" applyAlignment="1">
      <alignment horizontal="right"/>
    </xf>
    <xf numFmtId="0" fontId="40" fillId="6" borderId="164" xfId="0" applyFont="1" applyFill="1" applyBorder="1" applyAlignment="1">
      <alignment horizontal="right"/>
    </xf>
    <xf numFmtId="0" fontId="40" fillId="6" borderId="164" xfId="0" applyFont="1" applyFill="1" applyBorder="1"/>
    <xf numFmtId="3" fontId="13" fillId="0" borderId="164" xfId="0" applyNumberFormat="1" applyFont="1" applyBorder="1" applyAlignment="1">
      <alignment horizontal="right"/>
    </xf>
    <xf numFmtId="0" fontId="40" fillId="0" borderId="164" xfId="0" applyFont="1" applyBorder="1"/>
    <xf numFmtId="3" fontId="40" fillId="0" borderId="164" xfId="0" applyNumberFormat="1" applyFont="1" applyBorder="1" applyAlignment="1">
      <alignment horizontal="right"/>
    </xf>
    <xf numFmtId="0" fontId="12" fillId="10" borderId="164" xfId="0" applyFont="1" applyFill="1" applyBorder="1" applyAlignment="1">
      <alignment horizontal="center" vertical="center"/>
    </xf>
    <xf numFmtId="0" fontId="0" fillId="10" borderId="164" xfId="0" applyFill="1" applyBorder="1"/>
    <xf numFmtId="1" fontId="13" fillId="10" borderId="164" xfId="0" applyNumberFormat="1" applyFont="1" applyFill="1" applyBorder="1" applyAlignment="1">
      <alignment horizontal="center"/>
    </xf>
    <xf numFmtId="1" fontId="56" fillId="10" borderId="164" xfId="0" applyNumberFormat="1" applyFont="1" applyFill="1" applyBorder="1"/>
    <xf numFmtId="0" fontId="12" fillId="11" borderId="164" xfId="0" applyFont="1" applyFill="1" applyBorder="1" applyAlignment="1">
      <alignment horizontal="center" vertical="center"/>
    </xf>
    <xf numFmtId="0" fontId="0" fillId="11" borderId="164" xfId="0" applyFill="1" applyBorder="1"/>
    <xf numFmtId="1" fontId="56" fillId="11" borderId="164" xfId="0" applyNumberFormat="1" applyFont="1" applyFill="1" applyBorder="1"/>
    <xf numFmtId="0" fontId="25" fillId="0" borderId="164" xfId="0" applyFont="1" applyBorder="1" applyAlignment="1">
      <alignment horizontal="center"/>
    </xf>
    <xf numFmtId="2" fontId="77" fillId="0" borderId="164" xfId="0" applyNumberFormat="1" applyFont="1" applyBorder="1"/>
    <xf numFmtId="2" fontId="77" fillId="11" borderId="164" xfId="0" applyNumberFormat="1" applyFont="1" applyFill="1" applyBorder="1"/>
    <xf numFmtId="1" fontId="0" fillId="11" borderId="164" xfId="0" applyNumberFormat="1" applyFill="1" applyBorder="1"/>
    <xf numFmtId="2" fontId="83" fillId="0" borderId="164" xfId="0" applyNumberFormat="1" applyFont="1" applyBorder="1"/>
    <xf numFmtId="2" fontId="177" fillId="0" borderId="164" xfId="0" applyNumberFormat="1" applyFont="1" applyBorder="1"/>
    <xf numFmtId="1" fontId="13" fillId="10" borderId="164" xfId="0" applyNumberFormat="1" applyFont="1" applyFill="1" applyBorder="1"/>
    <xf numFmtId="1" fontId="46" fillId="0" borderId="164" xfId="0" applyNumberFormat="1" applyFont="1" applyBorder="1"/>
    <xf numFmtId="0" fontId="46" fillId="0" borderId="164" xfId="0" applyFont="1" applyBorder="1"/>
    <xf numFmtId="167" fontId="13" fillId="10" borderId="164" xfId="0" applyNumberFormat="1" applyFont="1" applyFill="1" applyBorder="1"/>
    <xf numFmtId="167" fontId="13" fillId="11" borderId="164" xfId="0" applyNumberFormat="1" applyFont="1" applyFill="1" applyBorder="1"/>
    <xf numFmtId="0" fontId="13" fillId="10" borderId="164" xfId="0" applyFont="1" applyFill="1" applyBorder="1" applyAlignment="1">
      <alignment horizontal="center"/>
    </xf>
    <xf numFmtId="0" fontId="13" fillId="11" borderId="164" xfId="0" applyFont="1" applyFill="1" applyBorder="1" applyAlignment="1">
      <alignment horizontal="center"/>
    </xf>
    <xf numFmtId="0" fontId="0" fillId="11" borderId="164" xfId="0" applyFill="1" applyBorder="1" applyAlignment="1">
      <alignment horizontal="center"/>
    </xf>
    <xf numFmtId="0" fontId="12" fillId="11" borderId="164" xfId="0" applyFont="1" applyFill="1" applyBorder="1" applyAlignment="1">
      <alignment horizontal="center"/>
    </xf>
    <xf numFmtId="0" fontId="48" fillId="11" borderId="164" xfId="0" applyFont="1" applyFill="1" applyBorder="1"/>
    <xf numFmtId="1" fontId="48" fillId="11" borderId="164" xfId="0" applyNumberFormat="1" applyFont="1" applyFill="1" applyBorder="1"/>
    <xf numFmtId="1" fontId="0" fillId="10" borderId="164" xfId="0" applyNumberFormat="1" applyFill="1" applyBorder="1" applyAlignment="1">
      <alignment horizontal="center"/>
    </xf>
    <xf numFmtId="1" fontId="12" fillId="11" borderId="164" xfId="0" applyNumberFormat="1" applyFont="1" applyFill="1" applyBorder="1" applyAlignment="1">
      <alignment horizontal="center"/>
    </xf>
    <xf numFmtId="1" fontId="0" fillId="11" borderId="164" xfId="0" applyNumberFormat="1" applyFill="1" applyBorder="1" applyAlignment="1">
      <alignment horizontal="center"/>
    </xf>
    <xf numFmtId="1" fontId="56" fillId="11" borderId="164" xfId="0" applyNumberFormat="1" applyFont="1" applyFill="1" applyBorder="1" applyAlignment="1">
      <alignment horizontal="center"/>
    </xf>
    <xf numFmtId="1" fontId="46" fillId="0" borderId="164" xfId="0" applyNumberFormat="1" applyFont="1" applyBorder="1" applyAlignment="1">
      <alignment horizontal="center"/>
    </xf>
    <xf numFmtId="1" fontId="46" fillId="11" borderId="164" xfId="0" applyNumberFormat="1" applyFont="1" applyFill="1" applyBorder="1" applyAlignment="1">
      <alignment horizontal="center"/>
    </xf>
    <xf numFmtId="0" fontId="46" fillId="0" borderId="164" xfId="0" applyFont="1" applyBorder="1" applyAlignment="1">
      <alignment horizontal="center"/>
    </xf>
    <xf numFmtId="0" fontId="46" fillId="11" borderId="164" xfId="0" applyFont="1" applyFill="1" applyBorder="1" applyAlignment="1">
      <alignment horizontal="center"/>
    </xf>
    <xf numFmtId="0" fontId="15" fillId="0" borderId="164" xfId="7" applyFont="1" applyBorder="1"/>
    <xf numFmtId="1" fontId="15" fillId="0" borderId="164" xfId="7" applyNumberFormat="1" applyFont="1" applyBorder="1"/>
    <xf numFmtId="1" fontId="13" fillId="0" borderId="164" xfId="7" applyNumberFormat="1" applyFont="1" applyBorder="1"/>
    <xf numFmtId="1" fontId="13" fillId="0" borderId="164" xfId="3" applyNumberFormat="1" applyFont="1" applyBorder="1"/>
    <xf numFmtId="1" fontId="15" fillId="0" borderId="164" xfId="3" applyNumberFormat="1" applyFont="1" applyBorder="1"/>
    <xf numFmtId="0" fontId="15" fillId="0" borderId="164" xfId="3" applyFont="1" applyBorder="1"/>
    <xf numFmtId="2" fontId="115" fillId="0" borderId="164" xfId="0" applyNumberFormat="1" applyFont="1" applyBorder="1"/>
    <xf numFmtId="0" fontId="38" fillId="0" borderId="164" xfId="5" applyBorder="1"/>
    <xf numFmtId="0" fontId="108" fillId="0" borderId="164" xfId="5" applyFont="1" applyBorder="1"/>
    <xf numFmtId="0" fontId="129" fillId="0" borderId="164" xfId="5" applyFont="1" applyBorder="1"/>
    <xf numFmtId="0" fontId="216" fillId="0" borderId="0" xfId="4" applyFont="1"/>
    <xf numFmtId="1" fontId="217" fillId="0" borderId="0" xfId="7" applyNumberFormat="1" applyFont="1"/>
    <xf numFmtId="1" fontId="217" fillId="6" borderId="0" xfId="7" applyNumberFormat="1" applyFont="1" applyFill="1"/>
    <xf numFmtId="0" fontId="218" fillId="0" borderId="0" xfId="4" applyFont="1"/>
    <xf numFmtId="0" fontId="24" fillId="0" borderId="9" xfId="0" applyFont="1" applyBorder="1" applyAlignment="1">
      <alignment horizontal="center"/>
    </xf>
    <xf numFmtId="167" fontId="202" fillId="0" borderId="164" xfId="0" applyNumberFormat="1" applyFont="1" applyBorder="1" applyAlignment="1">
      <alignment horizontal="center"/>
    </xf>
    <xf numFmtId="1" fontId="219" fillId="0" borderId="164" xfId="0" applyNumberFormat="1" applyFont="1" applyBorder="1" applyAlignment="1">
      <alignment horizontal="center"/>
    </xf>
    <xf numFmtId="9" fontId="91" fillId="0" borderId="164" xfId="6" applyFont="1" applyFill="1" applyBorder="1" applyAlignment="1">
      <alignment horizontal="center"/>
    </xf>
    <xf numFmtId="1" fontId="89" fillId="0" borderId="0" xfId="0" applyNumberFormat="1" applyFont="1" applyAlignment="1">
      <alignment wrapText="1"/>
    </xf>
    <xf numFmtId="0" fontId="62" fillId="0" borderId="9" xfId="0" applyFont="1" applyBorder="1" applyAlignment="1">
      <alignment horizontal="center" vertical="center"/>
    </xf>
    <xf numFmtId="167" fontId="93" fillId="0" borderId="164" xfId="0" applyNumberFormat="1" applyFont="1" applyBorder="1" applyAlignment="1">
      <alignment horizontal="center"/>
    </xf>
    <xf numFmtId="1" fontId="91" fillId="0" borderId="164" xfId="8" applyNumberFormat="1" applyFont="1" applyBorder="1" applyAlignment="1">
      <alignment horizontal="center"/>
    </xf>
    <xf numFmtId="0" fontId="62" fillId="0" borderId="156" xfId="0" applyFont="1" applyBorder="1"/>
    <xf numFmtId="167" fontId="63" fillId="0" borderId="164" xfId="0" applyNumberFormat="1" applyFont="1" applyBorder="1" applyAlignment="1">
      <alignment horizontal="center"/>
    </xf>
    <xf numFmtId="0" fontId="63" fillId="6" borderId="164" xfId="0" applyFont="1" applyFill="1" applyBorder="1"/>
    <xf numFmtId="0" fontId="63" fillId="0" borderId="11" xfId="0" applyFont="1" applyBorder="1"/>
    <xf numFmtId="0" fontId="62" fillId="0" borderId="0" xfId="7" applyFont="1"/>
    <xf numFmtId="0" fontId="63" fillId="0" borderId="0" xfId="3" applyFont="1"/>
    <xf numFmtId="1" fontId="63" fillId="0" borderId="0" xfId="3" applyNumberFormat="1" applyFont="1"/>
    <xf numFmtId="2" fontId="63" fillId="61" borderId="0" xfId="3" applyNumberFormat="1" applyFont="1" applyFill="1"/>
    <xf numFmtId="1" fontId="62" fillId="0" borderId="164" xfId="0" applyNumberFormat="1" applyFont="1" applyBorder="1"/>
    <xf numFmtId="1" fontId="62" fillId="0" borderId="0" xfId="0" applyNumberFormat="1" applyFont="1"/>
    <xf numFmtId="0" fontId="62" fillId="0" borderId="0" xfId="3" applyFont="1"/>
    <xf numFmtId="0" fontId="72" fillId="0" borderId="17" xfId="7" applyFont="1" applyBorder="1"/>
    <xf numFmtId="1" fontId="185" fillId="0" borderId="150" xfId="4" applyNumberFormat="1" applyFont="1" applyBorder="1"/>
    <xf numFmtId="1" fontId="185" fillId="6" borderId="150" xfId="4" applyNumberFormat="1" applyFont="1" applyFill="1" applyBorder="1"/>
    <xf numFmtId="1" fontId="185" fillId="6" borderId="0" xfId="4" applyNumberFormat="1" applyFont="1" applyFill="1"/>
    <xf numFmtId="1" fontId="185" fillId="0" borderId="0" xfId="4" applyNumberFormat="1" applyFont="1"/>
    <xf numFmtId="0" fontId="185" fillId="0" borderId="0" xfId="4" applyFont="1"/>
    <xf numFmtId="1" fontId="62" fillId="0" borderId="0" xfId="8" applyNumberFormat="1" applyFont="1" applyAlignment="1">
      <alignment horizontal="right"/>
    </xf>
    <xf numFmtId="0" fontId="105" fillId="0" borderId="0" xfId="7" applyFont="1"/>
    <xf numFmtId="0" fontId="211" fillId="0" borderId="0" xfId="0" applyFont="1" applyAlignment="1">
      <alignment horizontal="center" vertical="center" wrapText="1"/>
    </xf>
    <xf numFmtId="0" fontId="132" fillId="0" borderId="0" xfId="0" applyFont="1" applyAlignment="1">
      <alignment horizontal="center"/>
    </xf>
    <xf numFmtId="1" fontId="13" fillId="68" borderId="0" xfId="0" applyNumberFormat="1" applyFont="1" applyFill="1" applyAlignment="1">
      <alignment horizontal="center"/>
    </xf>
    <xf numFmtId="0" fontId="12" fillId="68" borderId="0" xfId="0" applyFont="1" applyFill="1" applyAlignment="1">
      <alignment horizontal="center"/>
    </xf>
    <xf numFmtId="1" fontId="13" fillId="0" borderId="31" xfId="0" applyNumberFormat="1" applyFont="1" applyBorder="1" applyAlignment="1">
      <alignment horizontal="center"/>
    </xf>
    <xf numFmtId="1" fontId="166" fillId="0" borderId="179" xfId="0" applyNumberFormat="1" applyFont="1" applyBorder="1" applyAlignment="1">
      <alignment horizontal="center" wrapText="1"/>
    </xf>
    <xf numFmtId="0" fontId="132" fillId="0" borderId="164" xfId="0" applyFont="1" applyBorder="1" applyAlignment="1">
      <alignment horizontal="center"/>
    </xf>
    <xf numFmtId="1" fontId="113" fillId="68" borderId="28" xfId="0" applyNumberFormat="1" applyFont="1" applyFill="1" applyBorder="1" applyAlignment="1">
      <alignment horizontal="center"/>
    </xf>
    <xf numFmtId="1" fontId="113" fillId="68" borderId="43" xfId="0" applyNumberFormat="1" applyFont="1" applyFill="1" applyBorder="1" applyAlignment="1">
      <alignment horizontal="center"/>
    </xf>
    <xf numFmtId="1" fontId="128" fillId="69" borderId="0" xfId="0" applyNumberFormat="1" applyFont="1" applyFill="1" applyAlignment="1">
      <alignment horizontal="center"/>
    </xf>
    <xf numFmtId="1" fontId="0" fillId="69" borderId="0" xfId="0" applyNumberFormat="1" applyFill="1" applyAlignment="1">
      <alignment horizontal="center"/>
    </xf>
    <xf numFmtId="1" fontId="113" fillId="68" borderId="126" xfId="0" applyNumberFormat="1" applyFont="1" applyFill="1" applyBorder="1" applyAlignment="1">
      <alignment horizontal="center"/>
    </xf>
    <xf numFmtId="1" fontId="113" fillId="68" borderId="148" xfId="0" applyNumberFormat="1" applyFont="1" applyFill="1" applyBorder="1" applyAlignment="1">
      <alignment horizontal="center"/>
    </xf>
    <xf numFmtId="1" fontId="113" fillId="68" borderId="135" xfId="0" applyNumberFormat="1" applyFont="1" applyFill="1" applyBorder="1" applyAlignment="1">
      <alignment horizontal="center"/>
    </xf>
    <xf numFmtId="1" fontId="113" fillId="68" borderId="137" xfId="0" applyNumberFormat="1" applyFont="1" applyFill="1" applyBorder="1" applyAlignment="1">
      <alignment horizontal="center"/>
    </xf>
    <xf numFmtId="2" fontId="15" fillId="68" borderId="0" xfId="0" applyNumberFormat="1" applyFont="1" applyFill="1"/>
    <xf numFmtId="1" fontId="113" fillId="0" borderId="0" xfId="0" applyNumberFormat="1" applyFont="1" applyAlignment="1">
      <alignment horizontal="center"/>
    </xf>
    <xf numFmtId="1" fontId="15" fillId="68" borderId="0" xfId="0" applyNumberFormat="1" applyFont="1" applyFill="1"/>
    <xf numFmtId="1" fontId="155" fillId="0" borderId="164" xfId="0" applyNumberFormat="1" applyFont="1" applyBorder="1" applyAlignment="1">
      <alignment horizontal="center"/>
    </xf>
    <xf numFmtId="1" fontId="0" fillId="0" borderId="54" xfId="153" applyNumberFormat="1" applyFont="1" applyBorder="1" applyAlignment="1">
      <alignment horizontal="center"/>
    </xf>
    <xf numFmtId="1" fontId="78" fillId="0" borderId="7" xfId="0" applyNumberFormat="1" applyFont="1" applyBorder="1" applyAlignment="1">
      <alignment horizontal="right"/>
    </xf>
    <xf numFmtId="0" fontId="0" fillId="68" borderId="164" xfId="0" applyFill="1" applyBorder="1"/>
    <xf numFmtId="1" fontId="0" fillId="70" borderId="164" xfId="0" applyNumberFormat="1" applyFill="1" applyBorder="1"/>
    <xf numFmtId="1" fontId="0" fillId="70" borderId="0" xfId="0" applyNumberFormat="1" applyFill="1"/>
    <xf numFmtId="1" fontId="13" fillId="70" borderId="0" xfId="0" applyNumberFormat="1" applyFont="1" applyFill="1"/>
    <xf numFmtId="1" fontId="128" fillId="71" borderId="0" xfId="0" applyNumberFormat="1" applyFont="1" applyFill="1" applyAlignment="1">
      <alignment horizontal="center"/>
    </xf>
    <xf numFmtId="1" fontId="220" fillId="0" borderId="164" xfId="8" applyNumberFormat="1" applyFont="1" applyBorder="1" applyAlignment="1">
      <alignment horizontal="right"/>
    </xf>
    <xf numFmtId="167" fontId="221" fillId="66" borderId="150" xfId="8" applyNumberFormat="1" applyFont="1" applyFill="1" applyBorder="1"/>
    <xf numFmtId="1" fontId="220" fillId="7" borderId="150" xfId="8" applyNumberFormat="1" applyFont="1" applyFill="1" applyBorder="1"/>
    <xf numFmtId="1" fontId="220" fillId="6" borderId="164" xfId="8" applyNumberFormat="1" applyFont="1" applyFill="1" applyBorder="1" applyAlignment="1">
      <alignment horizontal="right"/>
    </xf>
    <xf numFmtId="1" fontId="137" fillId="0" borderId="69" xfId="0" applyNumberFormat="1" applyFont="1" applyBorder="1"/>
    <xf numFmtId="1" fontId="137" fillId="0" borderId="61" xfId="0" applyNumberFormat="1" applyFont="1" applyBorder="1"/>
    <xf numFmtId="1" fontId="137" fillId="0" borderId="61" xfId="0" applyNumberFormat="1" applyFont="1" applyBorder="1" applyAlignment="1">
      <alignment horizontal="center"/>
    </xf>
    <xf numFmtId="1" fontId="137" fillId="0" borderId="62" xfId="0" applyNumberFormat="1" applyFont="1" applyBorder="1"/>
    <xf numFmtId="1" fontId="101" fillId="0" borderId="60" xfId="65" applyNumberFormat="1" applyFont="1" applyBorder="1" applyAlignment="1">
      <alignment horizontal="right"/>
    </xf>
    <xf numFmtId="1" fontId="101" fillId="0" borderId="62" xfId="65" applyNumberFormat="1" applyFont="1" applyBorder="1" applyAlignment="1">
      <alignment horizontal="right"/>
    </xf>
    <xf numFmtId="1" fontId="101" fillId="0" borderId="64" xfId="65" applyNumberFormat="1" applyFont="1" applyBorder="1" applyAlignment="1">
      <alignment horizontal="right"/>
    </xf>
    <xf numFmtId="1" fontId="101" fillId="0" borderId="63" xfId="65" applyNumberFormat="1" applyFont="1" applyBorder="1" applyAlignment="1">
      <alignment horizontal="right"/>
    </xf>
    <xf numFmtId="1" fontId="101" fillId="0" borderId="66" xfId="65" applyNumberFormat="1" applyFont="1" applyBorder="1" applyAlignment="1">
      <alignment horizontal="right"/>
    </xf>
    <xf numFmtId="1" fontId="101" fillId="0" borderId="67" xfId="65" applyNumberFormat="1" applyFont="1" applyBorder="1" applyAlignment="1">
      <alignment horizontal="right"/>
    </xf>
    <xf numFmtId="1" fontId="101" fillId="0" borderId="65" xfId="65" applyNumberFormat="1" applyFont="1" applyBorder="1" applyAlignment="1">
      <alignment horizontal="right"/>
    </xf>
    <xf numFmtId="0" fontId="101" fillId="0" borderId="67" xfId="65" applyFont="1" applyBorder="1" applyAlignment="1">
      <alignment horizontal="right"/>
    </xf>
    <xf numFmtId="0" fontId="101" fillId="0" borderId="71" xfId="65" applyFont="1" applyBorder="1" applyAlignment="1">
      <alignment horizontal="right"/>
    </xf>
    <xf numFmtId="0" fontId="101" fillId="0" borderId="68" xfId="65" applyFont="1" applyBorder="1" applyAlignment="1">
      <alignment horizontal="right"/>
    </xf>
    <xf numFmtId="0" fontId="101" fillId="0" borderId="70" xfId="65" applyFont="1" applyBorder="1"/>
    <xf numFmtId="0" fontId="101" fillId="0" borderId="64" xfId="65" applyFont="1" applyBorder="1"/>
    <xf numFmtId="1" fontId="101" fillId="0" borderId="65" xfId="65" applyNumberFormat="1" applyFont="1" applyBorder="1"/>
    <xf numFmtId="2" fontId="12" fillId="0" borderId="0" xfId="0" applyNumberFormat="1" applyFont="1"/>
    <xf numFmtId="0" fontId="19" fillId="0" borderId="164" xfId="0" applyFont="1" applyBorder="1"/>
    <xf numFmtId="1" fontId="19" fillId="0" borderId="164" xfId="0" applyNumberFormat="1" applyFont="1" applyBorder="1"/>
    <xf numFmtId="0" fontId="239" fillId="0" borderId="180" xfId="0" applyFont="1" applyBorder="1"/>
    <xf numFmtId="0" fontId="240" fillId="0" borderId="0" xfId="0" applyFont="1"/>
    <xf numFmtId="1" fontId="101" fillId="0" borderId="60" xfId="65" applyNumberFormat="1" applyFont="1" applyBorder="1"/>
    <xf numFmtId="0" fontId="127" fillId="0" borderId="118" xfId="65" applyFont="1" applyBorder="1"/>
    <xf numFmtId="0" fontId="127" fillId="0" borderId="25" xfId="65" applyFont="1" applyBorder="1"/>
    <xf numFmtId="0" fontId="127" fillId="0" borderId="21" xfId="65" applyFont="1" applyBorder="1"/>
    <xf numFmtId="1" fontId="208" fillId="61" borderId="0" xfId="0" applyNumberFormat="1" applyFont="1" applyFill="1" applyAlignment="1">
      <alignment horizontal="center"/>
    </xf>
    <xf numFmtId="1" fontId="93" fillId="0" borderId="164" xfId="0" applyNumberFormat="1" applyFont="1" applyBorder="1" applyAlignment="1" applyProtection="1">
      <alignment horizontal="center" vertical="top" wrapText="1"/>
      <protection locked="0"/>
    </xf>
    <xf numFmtId="1" fontId="93" fillId="0" borderId="11" xfId="0" applyNumberFormat="1" applyFont="1" applyBorder="1" applyAlignment="1">
      <alignment horizontal="center"/>
    </xf>
    <xf numFmtId="172" fontId="93" fillId="0" borderId="0" xfId="0" applyNumberFormat="1" applyFont="1" applyAlignment="1">
      <alignment horizontal="center"/>
    </xf>
    <xf numFmtId="0" fontId="13" fillId="6" borderId="0" xfId="3" applyFont="1" applyFill="1"/>
    <xf numFmtId="0" fontId="15" fillId="6" borderId="15" xfId="7" applyFont="1" applyFill="1" applyBorder="1"/>
    <xf numFmtId="1" fontId="13" fillId="6" borderId="150" xfId="3" applyNumberFormat="1" applyFont="1" applyFill="1" applyBorder="1"/>
    <xf numFmtId="1" fontId="15" fillId="6" borderId="164" xfId="0" applyNumberFormat="1" applyFont="1" applyFill="1" applyBorder="1"/>
    <xf numFmtId="1" fontId="15" fillId="6" borderId="164" xfId="3" applyNumberFormat="1" applyFont="1" applyFill="1" applyBorder="1"/>
    <xf numFmtId="1" fontId="47" fillId="6" borderId="0" xfId="3" applyNumberFormat="1" applyFont="1" applyFill="1"/>
    <xf numFmtId="1" fontId="13" fillId="6" borderId="0" xfId="3" applyNumberFormat="1" applyFont="1" applyFill="1"/>
    <xf numFmtId="2" fontId="88" fillId="51" borderId="0" xfId="0" applyNumberFormat="1" applyFont="1" applyFill="1" applyAlignment="1">
      <alignment wrapText="1"/>
    </xf>
    <xf numFmtId="1" fontId="63" fillId="0" borderId="0" xfId="5" applyNumberFormat="1" applyFont="1"/>
    <xf numFmtId="1" fontId="1" fillId="0" borderId="0" xfId="154" applyNumberFormat="1" applyFont="1"/>
    <xf numFmtId="0" fontId="1" fillId="0" borderId="0" xfId="154" applyFont="1"/>
    <xf numFmtId="0" fontId="23" fillId="0" borderId="5" xfId="4" applyFont="1" applyBorder="1"/>
    <xf numFmtId="0" fontId="82" fillId="0" borderId="9" xfId="7" applyFont="1" applyBorder="1"/>
    <xf numFmtId="0" fontId="82" fillId="0" borderId="17" xfId="7" applyFont="1" applyBorder="1"/>
    <xf numFmtId="0" fontId="82" fillId="0" borderId="15" xfId="7" applyFont="1" applyBorder="1"/>
    <xf numFmtId="0" fontId="82" fillId="0" borderId="0" xfId="7" applyFont="1"/>
    <xf numFmtId="0" fontId="23" fillId="0" borderId="0" xfId="4" applyFont="1"/>
    <xf numFmtId="0" fontId="23" fillId="0" borderId="131" xfId="4" applyFont="1" applyBorder="1"/>
    <xf numFmtId="0" fontId="82" fillId="0" borderId="164" xfId="7" applyFont="1" applyBorder="1"/>
    <xf numFmtId="1" fontId="82" fillId="0" borderId="164" xfId="7" applyNumberFormat="1" applyFont="1" applyBorder="1"/>
    <xf numFmtId="1" fontId="23" fillId="0" borderId="164" xfId="0" applyNumberFormat="1" applyFont="1" applyBorder="1"/>
    <xf numFmtId="1" fontId="23" fillId="0" borderId="150" xfId="4" applyNumberFormat="1" applyFont="1" applyBorder="1"/>
    <xf numFmtId="1" fontId="23" fillId="0" borderId="0" xfId="4" applyNumberFormat="1" applyFont="1"/>
    <xf numFmtId="167" fontId="23" fillId="0" borderId="0" xfId="4" applyNumberFormat="1" applyFont="1"/>
    <xf numFmtId="167" fontId="185" fillId="0" borderId="0" xfId="4" applyNumberFormat="1" applyFont="1"/>
    <xf numFmtId="0" fontId="23" fillId="0" borderId="164" xfId="7" applyFont="1" applyBorder="1"/>
    <xf numFmtId="1" fontId="23" fillId="0" borderId="164" xfId="7" applyNumberFormat="1" applyFont="1" applyBorder="1"/>
    <xf numFmtId="1" fontId="23" fillId="0" borderId="164" xfId="4" applyNumberFormat="1" applyFont="1" applyBorder="1"/>
    <xf numFmtId="9" fontId="23" fillId="0" borderId="0" xfId="6" applyFont="1" applyFill="1" applyBorder="1"/>
    <xf numFmtId="0" fontId="23" fillId="0" borderId="133" xfId="4" applyFont="1" applyBorder="1"/>
    <xf numFmtId="1" fontId="23" fillId="6" borderId="164" xfId="7" applyNumberFormat="1" applyFont="1" applyFill="1" applyBorder="1"/>
    <xf numFmtId="1" fontId="23" fillId="6" borderId="164" xfId="0" applyNumberFormat="1" applyFont="1" applyFill="1" applyBorder="1"/>
    <xf numFmtId="1" fontId="23" fillId="6" borderId="150" xfId="4" applyNumberFormat="1" applyFont="1" applyFill="1" applyBorder="1"/>
    <xf numFmtId="1" fontId="23" fillId="6" borderId="164" xfId="4" applyNumberFormat="1" applyFont="1" applyFill="1" applyBorder="1"/>
    <xf numFmtId="1" fontId="185" fillId="0" borderId="0" xfId="7" applyNumberFormat="1" applyFont="1"/>
    <xf numFmtId="1" fontId="185" fillId="6" borderId="0" xfId="7" applyNumberFormat="1" applyFont="1" applyFill="1"/>
    <xf numFmtId="0" fontId="135" fillId="0" borderId="118" xfId="11" applyFont="1" applyBorder="1" applyAlignment="1">
      <alignment horizontal="center" wrapText="1"/>
    </xf>
    <xf numFmtId="0" fontId="135" fillId="0" borderId="25" xfId="11" applyFont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5" fillId="0" borderId="164" xfId="11" applyFont="1" applyBorder="1" applyAlignment="1">
      <alignment horizontal="center" wrapText="1"/>
    </xf>
    <xf numFmtId="0" fontId="135" fillId="0" borderId="164" xfId="11" applyFont="1" applyBorder="1" applyAlignment="1">
      <alignment horizontal="center"/>
    </xf>
    <xf numFmtId="0" fontId="18" fillId="0" borderId="9" xfId="0" applyFont="1" applyBorder="1" applyAlignment="1">
      <alignment horizontal="center" vertical="top" wrapText="1"/>
    </xf>
    <xf numFmtId="0" fontId="18" fillId="0" borderId="15" xfId="0" applyFont="1" applyBorder="1" applyAlignment="1">
      <alignment horizontal="center" vertical="top" wrapText="1"/>
    </xf>
    <xf numFmtId="0" fontId="13" fillId="0" borderId="0" xfId="0" applyFont="1" applyAlignment="1">
      <alignment horizontal="center" vertical="center" textRotation="90" wrapText="1"/>
    </xf>
    <xf numFmtId="0" fontId="17" fillId="0" borderId="17" xfId="0" applyFont="1" applyBorder="1" applyAlignment="1">
      <alignment horizontal="center"/>
    </xf>
    <xf numFmtId="0" fontId="17" fillId="0" borderId="130" xfId="0" applyFont="1" applyBorder="1" applyAlignment="1">
      <alignment horizontal="center"/>
    </xf>
    <xf numFmtId="0" fontId="17" fillId="0" borderId="129" xfId="0" applyFont="1" applyBorder="1" applyAlignment="1">
      <alignment horizontal="center"/>
    </xf>
    <xf numFmtId="0" fontId="0" fillId="0" borderId="150" xfId="0" applyBorder="1" applyAlignment="1">
      <alignment horizontal="center"/>
    </xf>
    <xf numFmtId="0" fontId="0" fillId="0" borderId="152" xfId="0" applyBorder="1" applyAlignment="1">
      <alignment horizontal="center"/>
    </xf>
    <xf numFmtId="0" fontId="14" fillId="0" borderId="0" xfId="0" applyFont="1" applyAlignment="1">
      <alignment horizontal="center"/>
    </xf>
    <xf numFmtId="0" fontId="72" fillId="0" borderId="118" xfId="0" applyFont="1" applyBorder="1" applyAlignment="1">
      <alignment horizontal="center" vertical="center" wrapText="1"/>
    </xf>
    <xf numFmtId="0" fontId="72" fillId="0" borderId="25" xfId="0" applyFont="1" applyBorder="1" applyAlignment="1">
      <alignment horizontal="center" vertical="center" wrapText="1"/>
    </xf>
    <xf numFmtId="0" fontId="72" fillId="0" borderId="21" xfId="0" applyFont="1" applyBorder="1" applyAlignment="1">
      <alignment horizontal="center" vertical="center" wrapText="1"/>
    </xf>
    <xf numFmtId="0" fontId="89" fillId="0" borderId="118" xfId="0" applyFont="1" applyBorder="1" applyAlignment="1">
      <alignment horizontal="center" vertical="center" wrapText="1"/>
    </xf>
    <xf numFmtId="0" fontId="89" fillId="0" borderId="25" xfId="0" applyFont="1" applyBorder="1" applyAlignment="1">
      <alignment horizontal="center" vertical="center" wrapText="1"/>
    </xf>
    <xf numFmtId="0" fontId="89" fillId="0" borderId="21" xfId="0" applyFont="1" applyBorder="1" applyAlignment="1">
      <alignment horizontal="center" vertical="center" wrapText="1"/>
    </xf>
    <xf numFmtId="1" fontId="62" fillId="0" borderId="118" xfId="8" applyNumberFormat="1" applyFont="1" applyBorder="1" applyAlignment="1">
      <alignment horizontal="right" wrapText="1"/>
    </xf>
    <xf numFmtId="1" fontId="62" fillId="0" borderId="25" xfId="8" applyNumberFormat="1" applyFont="1" applyBorder="1" applyAlignment="1">
      <alignment horizontal="right" wrapText="1"/>
    </xf>
    <xf numFmtId="1" fontId="62" fillId="0" borderId="21" xfId="8" applyNumberFormat="1" applyFont="1" applyBorder="1" applyAlignment="1">
      <alignment horizontal="right" wrapText="1"/>
    </xf>
    <xf numFmtId="0" fontId="89" fillId="0" borderId="32" xfId="180" applyFont="1" applyBorder="1" applyAlignment="1">
      <alignment horizontal="center" vertical="center"/>
    </xf>
    <xf numFmtId="0" fontId="89" fillId="0" borderId="33" xfId="180" applyFont="1" applyBorder="1" applyAlignment="1">
      <alignment horizontal="center" vertical="center"/>
    </xf>
    <xf numFmtId="0" fontId="89" fillId="0" borderId="34" xfId="180" applyFont="1" applyBorder="1" applyAlignment="1">
      <alignment horizontal="center" vertical="center"/>
    </xf>
    <xf numFmtId="0" fontId="89" fillId="0" borderId="32" xfId="180" applyFont="1" applyBorder="1" applyAlignment="1">
      <alignment horizontal="center" vertical="center" wrapText="1"/>
    </xf>
    <xf numFmtId="0" fontId="89" fillId="0" borderId="33" xfId="180" applyFont="1" applyBorder="1" applyAlignment="1">
      <alignment horizontal="center" vertical="center" wrapText="1"/>
    </xf>
    <xf numFmtId="0" fontId="89" fillId="0" borderId="34" xfId="180" applyFont="1" applyBorder="1" applyAlignment="1">
      <alignment horizontal="center" vertical="center" wrapText="1"/>
    </xf>
    <xf numFmtId="0" fontId="72" fillId="0" borderId="32" xfId="180" applyFont="1" applyBorder="1" applyAlignment="1">
      <alignment horizontal="center" vertical="center" wrapText="1"/>
    </xf>
    <xf numFmtId="0" fontId="72" fillId="0" borderId="33" xfId="180" applyFont="1" applyBorder="1" applyAlignment="1">
      <alignment horizontal="center" vertical="center" wrapText="1"/>
    </xf>
    <xf numFmtId="0" fontId="72" fillId="0" borderId="34" xfId="180" applyFont="1" applyBorder="1" applyAlignment="1">
      <alignment horizontal="center" vertical="center" wrapText="1"/>
    </xf>
    <xf numFmtId="0" fontId="89" fillId="0" borderId="32" xfId="0" applyFont="1" applyBorder="1" applyAlignment="1">
      <alignment horizontal="center" vertical="center"/>
    </xf>
    <xf numFmtId="0" fontId="89" fillId="0" borderId="33" xfId="0" applyFont="1" applyBorder="1" applyAlignment="1">
      <alignment horizontal="center" vertical="center"/>
    </xf>
    <xf numFmtId="0" fontId="89" fillId="0" borderId="34" xfId="0" applyFont="1" applyBorder="1" applyAlignment="1">
      <alignment horizontal="center" vertical="center"/>
    </xf>
    <xf numFmtId="0" fontId="47" fillId="0" borderId="32" xfId="0" applyFont="1" applyBorder="1" applyAlignment="1">
      <alignment horizontal="center" vertical="center"/>
    </xf>
    <xf numFmtId="0" fontId="47" fillId="0" borderId="33" xfId="0" applyFont="1" applyBorder="1" applyAlignment="1">
      <alignment horizontal="center" vertical="center"/>
    </xf>
    <xf numFmtId="0" fontId="47" fillId="0" borderId="34" xfId="0" applyFont="1" applyBorder="1" applyAlignment="1">
      <alignment horizontal="center" vertical="center"/>
    </xf>
    <xf numFmtId="0" fontId="47" fillId="0" borderId="32" xfId="0" applyFont="1" applyBorder="1" applyAlignment="1">
      <alignment horizontal="center" vertical="center" wrapText="1"/>
    </xf>
    <xf numFmtId="0" fontId="47" fillId="0" borderId="33" xfId="0" applyFont="1" applyBorder="1" applyAlignment="1">
      <alignment horizontal="center" vertical="center" wrapText="1"/>
    </xf>
    <xf numFmtId="0" fontId="47" fillId="0" borderId="34" xfId="0" applyFont="1" applyBorder="1" applyAlignment="1">
      <alignment horizontal="center" vertical="center" wrapText="1"/>
    </xf>
    <xf numFmtId="0" fontId="82" fillId="0" borderId="32" xfId="0" applyFont="1" applyBorder="1" applyAlignment="1">
      <alignment horizontal="center" vertical="center" wrapText="1"/>
    </xf>
    <xf numFmtId="0" fontId="82" fillId="0" borderId="33" xfId="0" applyFont="1" applyBorder="1" applyAlignment="1">
      <alignment horizontal="center" vertical="center" wrapText="1"/>
    </xf>
    <xf numFmtId="0" fontId="82" fillId="0" borderId="34" xfId="0" applyFont="1" applyBorder="1" applyAlignment="1">
      <alignment horizontal="center" vertical="center" wrapText="1"/>
    </xf>
    <xf numFmtId="0" fontId="82" fillId="0" borderId="118" xfId="0" applyFont="1" applyBorder="1" applyAlignment="1">
      <alignment horizontal="center" vertical="center" wrapText="1"/>
    </xf>
    <xf numFmtId="0" fontId="82" fillId="0" borderId="25" xfId="0" applyFont="1" applyBorder="1" applyAlignment="1">
      <alignment horizontal="center" vertical="center" wrapText="1"/>
    </xf>
    <xf numFmtId="0" fontId="82" fillId="0" borderId="21" xfId="0" applyFont="1" applyBorder="1" applyAlignment="1">
      <alignment horizontal="center" vertical="center" wrapText="1"/>
    </xf>
    <xf numFmtId="0" fontId="15" fillId="0" borderId="0" xfId="0" applyFont="1" applyAlignment="1">
      <alignment horizontal="right"/>
    </xf>
    <xf numFmtId="0" fontId="105" fillId="0" borderId="0" xfId="0" applyFont="1" applyAlignment="1">
      <alignment horizontal="right"/>
    </xf>
    <xf numFmtId="0" fontId="47" fillId="0" borderId="118" xfId="0" applyFont="1" applyBorder="1" applyAlignment="1">
      <alignment horizontal="center" vertical="center" wrapText="1"/>
    </xf>
    <xf numFmtId="0" fontId="47" fillId="0" borderId="25" xfId="0" applyFont="1" applyBorder="1" applyAlignment="1">
      <alignment horizontal="center" vertical="center" wrapText="1"/>
    </xf>
    <xf numFmtId="0" fontId="47" fillId="0" borderId="21" xfId="0" applyFont="1" applyBorder="1" applyAlignment="1">
      <alignment horizontal="center" vertical="center" wrapText="1"/>
    </xf>
    <xf numFmtId="0" fontId="23" fillId="0" borderId="126" xfId="0" applyFont="1" applyBorder="1" applyAlignment="1">
      <alignment vertical="center" wrapText="1"/>
    </xf>
    <xf numFmtId="0" fontId="0" fillId="0" borderId="126" xfId="0" applyBorder="1" applyAlignment="1"/>
    <xf numFmtId="0" fontId="0" fillId="0" borderId="135" xfId="0" applyBorder="1" applyAlignment="1"/>
    <xf numFmtId="0" fontId="81" fillId="0" borderId="164" xfId="0" applyFont="1" applyBorder="1" applyAlignment="1">
      <alignment horizontal="center"/>
    </xf>
    <xf numFmtId="1" fontId="79" fillId="0" borderId="150" xfId="0" applyNumberFormat="1" applyFont="1" applyBorder="1" applyAlignment="1">
      <alignment horizontal="center"/>
    </xf>
    <xf numFmtId="1" fontId="79" fillId="0" borderId="152" xfId="0" applyNumberFormat="1" applyFont="1" applyBorder="1" applyAlignment="1">
      <alignment horizontal="center"/>
    </xf>
    <xf numFmtId="0" fontId="82" fillId="0" borderId="32" xfId="69" applyFont="1" applyBorder="1" applyAlignment="1">
      <alignment horizontal="center" vertical="center" wrapText="1"/>
    </xf>
    <xf numFmtId="0" fontId="82" fillId="0" borderId="33" xfId="69" applyFont="1" applyBorder="1" applyAlignment="1">
      <alignment horizontal="center" vertical="center" wrapText="1"/>
    </xf>
    <xf numFmtId="0" fontId="82" fillId="0" borderId="34" xfId="69" applyFont="1" applyBorder="1" applyAlignment="1">
      <alignment horizontal="center" vertical="center" wrapText="1"/>
    </xf>
    <xf numFmtId="0" fontId="13" fillId="0" borderId="150" xfId="0" applyFont="1" applyBorder="1" applyAlignment="1">
      <alignment horizontal="center"/>
    </xf>
    <xf numFmtId="0" fontId="13" fillId="0" borderId="152" xfId="0" applyFont="1" applyBorder="1" applyAlignment="1">
      <alignment horizontal="center"/>
    </xf>
    <xf numFmtId="0" fontId="0" fillId="58" borderId="116" xfId="0" applyFill="1" applyBorder="1" applyAlignment="1">
      <alignment horizontal="center"/>
    </xf>
    <xf numFmtId="0" fontId="0" fillId="58" borderId="128" xfId="0" applyFill="1" applyBorder="1" applyAlignment="1">
      <alignment horizontal="center"/>
    </xf>
    <xf numFmtId="0" fontId="0" fillId="58" borderId="150" xfId="0" applyFill="1" applyBorder="1" applyAlignment="1">
      <alignment horizontal="center"/>
    </xf>
    <xf numFmtId="0" fontId="0" fillId="58" borderId="152" xfId="0" applyFill="1" applyBorder="1" applyAlignment="1">
      <alignment horizontal="center"/>
    </xf>
    <xf numFmtId="0" fontId="0" fillId="58" borderId="115" xfId="0" applyFill="1" applyBorder="1" applyAlignment="1">
      <alignment horizontal="center"/>
    </xf>
    <xf numFmtId="1" fontId="30" fillId="0" borderId="133" xfId="8" applyNumberFormat="1" applyFont="1" applyBorder="1" applyAlignment="1">
      <alignment horizontal="right" wrapText="1"/>
    </xf>
    <xf numFmtId="1" fontId="30" fillId="0" borderId="153" xfId="8" applyNumberFormat="1" applyFont="1" applyBorder="1" applyAlignment="1">
      <alignment horizontal="right" wrapText="1"/>
    </xf>
    <xf numFmtId="1" fontId="30" fillId="0" borderId="154" xfId="8" applyNumberFormat="1" applyFont="1" applyBorder="1" applyAlignment="1">
      <alignment horizontal="right" wrapText="1"/>
    </xf>
    <xf numFmtId="0" fontId="47" fillId="0" borderId="32" xfId="69" applyFont="1" applyBorder="1" applyAlignment="1">
      <alignment horizontal="center" vertical="center"/>
    </xf>
    <xf numFmtId="0" fontId="47" fillId="0" borderId="33" xfId="69" applyFont="1" applyBorder="1" applyAlignment="1">
      <alignment horizontal="center" vertical="center"/>
    </xf>
    <xf numFmtId="0" fontId="47" fillId="0" borderId="34" xfId="69" applyFont="1" applyBorder="1" applyAlignment="1">
      <alignment horizontal="center" vertical="center"/>
    </xf>
    <xf numFmtId="0" fontId="47" fillId="0" borderId="32" xfId="69" applyFont="1" applyBorder="1" applyAlignment="1">
      <alignment horizontal="center" vertical="center" wrapText="1"/>
    </xf>
    <xf numFmtId="0" fontId="47" fillId="0" borderId="33" xfId="69" applyFont="1" applyBorder="1" applyAlignment="1">
      <alignment horizontal="center" vertical="center" wrapText="1"/>
    </xf>
    <xf numFmtId="0" fontId="47" fillId="0" borderId="34" xfId="69" applyFont="1" applyBorder="1" applyAlignment="1">
      <alignment horizontal="center" vertical="center" wrapText="1"/>
    </xf>
    <xf numFmtId="1" fontId="127" fillId="0" borderId="105" xfId="0" applyNumberFormat="1" applyFont="1" applyBorder="1" applyAlignment="1">
      <alignment horizontal="center"/>
    </xf>
    <xf numFmtId="1" fontId="127" fillId="0" borderId="21" xfId="0" applyNumberFormat="1" applyFont="1" applyBorder="1" applyAlignment="1">
      <alignment horizontal="center"/>
    </xf>
    <xf numFmtId="1" fontId="127" fillId="0" borderId="93" xfId="0" applyNumberFormat="1" applyFont="1" applyBorder="1" applyAlignment="1">
      <alignment horizontal="center"/>
    </xf>
    <xf numFmtId="1" fontId="15" fillId="0" borderId="133" xfId="8" applyNumberFormat="1" applyFont="1" applyBorder="1" applyAlignment="1">
      <alignment horizontal="right" wrapText="1"/>
    </xf>
    <xf numFmtId="1" fontId="15" fillId="0" borderId="153" xfId="8" applyNumberFormat="1" applyFont="1" applyBorder="1" applyAlignment="1">
      <alignment horizontal="right" wrapText="1"/>
    </xf>
    <xf numFmtId="1" fontId="15" fillId="0" borderId="154" xfId="8" applyNumberFormat="1" applyFont="1" applyBorder="1" applyAlignment="1">
      <alignment horizontal="right" wrapText="1"/>
    </xf>
    <xf numFmtId="0" fontId="88" fillId="0" borderId="6" xfId="0" applyFont="1" applyBorder="1" applyAlignment="1">
      <alignment horizontal="center"/>
    </xf>
    <xf numFmtId="0" fontId="88" fillId="0" borderId="39" xfId="0" applyFont="1" applyBorder="1" applyAlignment="1">
      <alignment horizontal="center"/>
    </xf>
    <xf numFmtId="0" fontId="88" fillId="0" borderId="7" xfId="0" applyFont="1" applyBorder="1" applyAlignment="1">
      <alignment horizontal="center"/>
    </xf>
    <xf numFmtId="0" fontId="63" fillId="0" borderId="0" xfId="0" applyFont="1" applyAlignment="1">
      <alignment horizontal="center"/>
    </xf>
    <xf numFmtId="0" fontId="73" fillId="0" borderId="6" xfId="0" applyFont="1" applyBorder="1" applyAlignment="1">
      <alignment horizontal="center"/>
    </xf>
    <xf numFmtId="0" fontId="73" fillId="0" borderId="7" xfId="2" applyFont="1" applyBorder="1" applyAlignment="1">
      <alignment horizontal="center"/>
    </xf>
    <xf numFmtId="0" fontId="84" fillId="0" borderId="101" xfId="0" applyFont="1" applyBorder="1" applyAlignment="1">
      <alignment horizontal="center"/>
    </xf>
    <xf numFmtId="0" fontId="73" fillId="0" borderId="116" xfId="0" applyFont="1" applyBorder="1" applyAlignment="1">
      <alignment horizontal="center"/>
    </xf>
    <xf numFmtId="0" fontId="73" fillId="0" borderId="128" xfId="2" applyFont="1" applyBorder="1" applyAlignment="1">
      <alignment horizontal="center"/>
    </xf>
    <xf numFmtId="0" fontId="17" fillId="6" borderId="9" xfId="0" applyFont="1" applyFill="1" applyBorder="1" applyAlignment="1"/>
    <xf numFmtId="0" fontId="15" fillId="6" borderId="164" xfId="0" applyFont="1" applyFill="1" applyBorder="1" applyAlignment="1">
      <alignment horizontal="center"/>
    </xf>
    <xf numFmtId="0" fontId="15" fillId="6" borderId="132" xfId="0" applyFont="1" applyFill="1" applyBorder="1" applyAlignment="1">
      <alignment horizontal="center"/>
    </xf>
    <xf numFmtId="0" fontId="35" fillId="11" borderId="0" xfId="0" applyFont="1" applyFill="1" applyAlignment="1">
      <alignment horizontal="center"/>
    </xf>
    <xf numFmtId="0" fontId="25" fillId="67" borderId="0" xfId="0" applyFont="1" applyFill="1" applyAlignment="1">
      <alignment horizontal="center"/>
    </xf>
  </cellXfs>
  <cellStyles count="297">
    <cellStyle name="_5.3.1" xfId="66" xr:uid="{00000000-0005-0000-0000-000000000000}"/>
    <cellStyle name="_5.3.1 2" xfId="130" xr:uid="{00000000-0005-0000-0000-000001000000}"/>
    <cellStyle name="_5.3.1 2 2" xfId="209" xr:uid="{00000000-0005-0000-0000-000002000000}"/>
    <cellStyle name="20 % - Accent1 2" xfId="41" xr:uid="{00000000-0005-0000-0000-000004000000}"/>
    <cellStyle name="20 % - Accent1 2 2" xfId="78" xr:uid="{00000000-0005-0000-0000-000005000000}"/>
    <cellStyle name="20 % - Accent1 2 2 2" xfId="186" xr:uid="{00000000-0005-0000-0000-000006000000}"/>
    <cellStyle name="20 % - Accent1 2 3" xfId="166" xr:uid="{00000000-0005-0000-0000-000007000000}"/>
    <cellStyle name="20 % - Accent1 3" xfId="141" xr:uid="{00000000-0005-0000-0000-000008000000}"/>
    <cellStyle name="20 % - Accent1 3 2" xfId="220" xr:uid="{00000000-0005-0000-0000-000009000000}"/>
    <cellStyle name="20 % - Accent1 4" xfId="198" xr:uid="{00000000-0005-0000-0000-00000A000000}"/>
    <cellStyle name="20 % - Accent1 5" xfId="244" xr:uid="{00000000-0005-0000-0000-00000B000000}"/>
    <cellStyle name="20 % - Accent2 2" xfId="45" xr:uid="{00000000-0005-0000-0000-00000D000000}"/>
    <cellStyle name="20 % - Accent2 2 2" xfId="80" xr:uid="{00000000-0005-0000-0000-00000E000000}"/>
    <cellStyle name="20 % - Accent2 2 2 2" xfId="188" xr:uid="{00000000-0005-0000-0000-00000F000000}"/>
    <cellStyle name="20 % - Accent2 2 3" xfId="168" xr:uid="{00000000-0005-0000-0000-000010000000}"/>
    <cellStyle name="20 % - Accent2 3" xfId="136" xr:uid="{00000000-0005-0000-0000-000011000000}"/>
    <cellStyle name="20 % - Accent2 3 2" xfId="215" xr:uid="{00000000-0005-0000-0000-000012000000}"/>
    <cellStyle name="20 % - Accent2 4" xfId="143" xr:uid="{00000000-0005-0000-0000-000013000000}"/>
    <cellStyle name="20 % - Accent2 4 2" xfId="222" xr:uid="{00000000-0005-0000-0000-000014000000}"/>
    <cellStyle name="20 % - Accent2 5" xfId="178" xr:uid="{00000000-0005-0000-0000-000015000000}"/>
    <cellStyle name="20 % - Accent2 6" xfId="238" xr:uid="{00000000-0005-0000-0000-000016000000}"/>
    <cellStyle name="20 % - Accent2 7" xfId="246" xr:uid="{00000000-0005-0000-0000-000017000000}"/>
    <cellStyle name="20 % - Accent3 2" xfId="49" xr:uid="{00000000-0005-0000-0000-000019000000}"/>
    <cellStyle name="20 % - Accent3 2 2" xfId="82" xr:uid="{00000000-0005-0000-0000-00001A000000}"/>
    <cellStyle name="20 % - Accent3 2 2 2" xfId="190" xr:uid="{00000000-0005-0000-0000-00001B000000}"/>
    <cellStyle name="20 % - Accent3 2 3" xfId="170" xr:uid="{00000000-0005-0000-0000-00001C000000}"/>
    <cellStyle name="20 % - Accent3 3" xfId="145" xr:uid="{00000000-0005-0000-0000-00001D000000}"/>
    <cellStyle name="20 % - Accent3 3 2" xfId="224" xr:uid="{00000000-0005-0000-0000-00001E000000}"/>
    <cellStyle name="20 % - Accent3 4" xfId="201" xr:uid="{00000000-0005-0000-0000-00001F000000}"/>
    <cellStyle name="20 % - Accent3 5" xfId="248" xr:uid="{00000000-0005-0000-0000-000020000000}"/>
    <cellStyle name="20 % - Accent4 2" xfId="53" xr:uid="{00000000-0005-0000-0000-000022000000}"/>
    <cellStyle name="20 % - Accent4 2 2" xfId="84" xr:uid="{00000000-0005-0000-0000-000023000000}"/>
    <cellStyle name="20 % - Accent4 2 2 2" xfId="192" xr:uid="{00000000-0005-0000-0000-000024000000}"/>
    <cellStyle name="20 % - Accent4 2 3" xfId="172" xr:uid="{00000000-0005-0000-0000-000025000000}"/>
    <cellStyle name="20 % - Accent4 3" xfId="147" xr:uid="{00000000-0005-0000-0000-000026000000}"/>
    <cellStyle name="20 % - Accent4 3 2" xfId="226" xr:uid="{00000000-0005-0000-0000-000027000000}"/>
    <cellStyle name="20 % - Accent4 4" xfId="203" xr:uid="{00000000-0005-0000-0000-000028000000}"/>
    <cellStyle name="20 % - Accent4 5" xfId="250" xr:uid="{00000000-0005-0000-0000-000029000000}"/>
    <cellStyle name="20 % - Accent5 2" xfId="57" xr:uid="{00000000-0005-0000-0000-00002B000000}"/>
    <cellStyle name="20 % - Accent5 2 2" xfId="86" xr:uid="{00000000-0005-0000-0000-00002C000000}"/>
    <cellStyle name="20 % - Accent5 2 2 2" xfId="194" xr:uid="{00000000-0005-0000-0000-00002D000000}"/>
    <cellStyle name="20 % - Accent5 2 3" xfId="174" xr:uid="{00000000-0005-0000-0000-00002E000000}"/>
    <cellStyle name="20 % - Accent5 3" xfId="149" xr:uid="{00000000-0005-0000-0000-00002F000000}"/>
    <cellStyle name="20 % - Accent5 3 2" xfId="228" xr:uid="{00000000-0005-0000-0000-000030000000}"/>
    <cellStyle name="20 % - Accent5 4" xfId="205" xr:uid="{00000000-0005-0000-0000-000031000000}"/>
    <cellStyle name="20 % - Accent5 5" xfId="252" xr:uid="{00000000-0005-0000-0000-000032000000}"/>
    <cellStyle name="20 % - Accent6 2" xfId="61" xr:uid="{00000000-0005-0000-0000-000034000000}"/>
    <cellStyle name="20 % - Accent6 2 2" xfId="88" xr:uid="{00000000-0005-0000-0000-000035000000}"/>
    <cellStyle name="20 % - Accent6 2 2 2" xfId="196" xr:uid="{00000000-0005-0000-0000-000036000000}"/>
    <cellStyle name="20 % - Accent6 2 3" xfId="176" xr:uid="{00000000-0005-0000-0000-000037000000}"/>
    <cellStyle name="20 % - Accent6 3" xfId="151" xr:uid="{00000000-0005-0000-0000-000038000000}"/>
    <cellStyle name="20 % - Accent6 3 2" xfId="230" xr:uid="{00000000-0005-0000-0000-000039000000}"/>
    <cellStyle name="20 % - Accent6 4" xfId="207" xr:uid="{00000000-0005-0000-0000-00003A000000}"/>
    <cellStyle name="20 % - Accent6 5" xfId="254" xr:uid="{00000000-0005-0000-0000-00003B000000}"/>
    <cellStyle name="20% - Accent1" xfId="108" builtinId="30" customBuiltin="1"/>
    <cellStyle name="20% - Accent2" xfId="64" builtinId="34"/>
    <cellStyle name="20% - Accent3" xfId="115" builtinId="38" customBuiltin="1"/>
    <cellStyle name="20% - Accent4" xfId="119" builtinId="42" customBuiltin="1"/>
    <cellStyle name="20% - Accent5" xfId="123" builtinId="46" customBuiltin="1"/>
    <cellStyle name="20% - Accent6" xfId="127" builtinId="50" customBuiltin="1"/>
    <cellStyle name="20% - Акцент1 2" xfId="256" xr:uid="{00000000-0005-0000-0000-00003C000000}"/>
    <cellStyle name="20% - Акцент2 2" xfId="257" xr:uid="{00000000-0005-0000-0000-00003D000000}"/>
    <cellStyle name="20% - Акцент3 2" xfId="258" xr:uid="{00000000-0005-0000-0000-00003E000000}"/>
    <cellStyle name="20% - Акцент4 2" xfId="259" xr:uid="{00000000-0005-0000-0000-00003F000000}"/>
    <cellStyle name="20% - Акцент5 2" xfId="260" xr:uid="{00000000-0005-0000-0000-000040000000}"/>
    <cellStyle name="20% - Акцент6 2" xfId="261" xr:uid="{00000000-0005-0000-0000-000041000000}"/>
    <cellStyle name="40 % - Accent1 2" xfId="42" xr:uid="{00000000-0005-0000-0000-000043000000}"/>
    <cellStyle name="40 % - Accent1 2 2" xfId="79" xr:uid="{00000000-0005-0000-0000-000044000000}"/>
    <cellStyle name="40 % - Accent1 2 2 2" xfId="187" xr:uid="{00000000-0005-0000-0000-000045000000}"/>
    <cellStyle name="40 % - Accent1 2 3" xfId="167" xr:uid="{00000000-0005-0000-0000-000046000000}"/>
    <cellStyle name="40 % - Accent1 3" xfId="142" xr:uid="{00000000-0005-0000-0000-000047000000}"/>
    <cellStyle name="40 % - Accent1 3 2" xfId="221" xr:uid="{00000000-0005-0000-0000-000048000000}"/>
    <cellStyle name="40 % - Accent1 4" xfId="199" xr:uid="{00000000-0005-0000-0000-000049000000}"/>
    <cellStyle name="40 % - Accent1 5" xfId="245" xr:uid="{00000000-0005-0000-0000-00004A000000}"/>
    <cellStyle name="40 % - Accent2 2" xfId="46" xr:uid="{00000000-0005-0000-0000-00004C000000}"/>
    <cellStyle name="40 % - Accent2 2 2" xfId="81" xr:uid="{00000000-0005-0000-0000-00004D000000}"/>
    <cellStyle name="40 % - Accent2 2 2 2" xfId="189" xr:uid="{00000000-0005-0000-0000-00004E000000}"/>
    <cellStyle name="40 % - Accent2 2 3" xfId="169" xr:uid="{00000000-0005-0000-0000-00004F000000}"/>
    <cellStyle name="40 % - Accent2 3" xfId="144" xr:uid="{00000000-0005-0000-0000-000050000000}"/>
    <cellStyle name="40 % - Accent2 3 2" xfId="223" xr:uid="{00000000-0005-0000-0000-000051000000}"/>
    <cellStyle name="40 % - Accent2 4" xfId="200" xr:uid="{00000000-0005-0000-0000-000052000000}"/>
    <cellStyle name="40 % - Accent2 5" xfId="247" xr:uid="{00000000-0005-0000-0000-000053000000}"/>
    <cellStyle name="40 % - Accent3 2" xfId="50" xr:uid="{00000000-0005-0000-0000-000055000000}"/>
    <cellStyle name="40 % - Accent3 2 2" xfId="83" xr:uid="{00000000-0005-0000-0000-000056000000}"/>
    <cellStyle name="40 % - Accent3 2 2 2" xfId="191" xr:uid="{00000000-0005-0000-0000-000057000000}"/>
    <cellStyle name="40 % - Accent3 2 3" xfId="171" xr:uid="{00000000-0005-0000-0000-000058000000}"/>
    <cellStyle name="40 % - Accent3 3" xfId="146" xr:uid="{00000000-0005-0000-0000-000059000000}"/>
    <cellStyle name="40 % - Accent3 3 2" xfId="225" xr:uid="{00000000-0005-0000-0000-00005A000000}"/>
    <cellStyle name="40 % - Accent3 4" xfId="202" xr:uid="{00000000-0005-0000-0000-00005B000000}"/>
    <cellStyle name="40 % - Accent3 5" xfId="249" xr:uid="{00000000-0005-0000-0000-00005C000000}"/>
    <cellStyle name="40 % - Accent4 2" xfId="54" xr:uid="{00000000-0005-0000-0000-00005E000000}"/>
    <cellStyle name="40 % - Accent4 2 2" xfId="85" xr:uid="{00000000-0005-0000-0000-00005F000000}"/>
    <cellStyle name="40 % - Accent4 2 2 2" xfId="193" xr:uid="{00000000-0005-0000-0000-000060000000}"/>
    <cellStyle name="40 % - Accent4 2 3" xfId="173" xr:uid="{00000000-0005-0000-0000-000061000000}"/>
    <cellStyle name="40 % - Accent4 3" xfId="148" xr:uid="{00000000-0005-0000-0000-000062000000}"/>
    <cellStyle name="40 % - Accent4 3 2" xfId="227" xr:uid="{00000000-0005-0000-0000-000063000000}"/>
    <cellStyle name="40 % - Accent4 4" xfId="204" xr:uid="{00000000-0005-0000-0000-000064000000}"/>
    <cellStyle name="40 % - Accent4 5" xfId="251" xr:uid="{00000000-0005-0000-0000-000065000000}"/>
    <cellStyle name="40 % - Accent5 2" xfId="58" xr:uid="{00000000-0005-0000-0000-000067000000}"/>
    <cellStyle name="40 % - Accent5 2 2" xfId="87" xr:uid="{00000000-0005-0000-0000-000068000000}"/>
    <cellStyle name="40 % - Accent5 2 2 2" xfId="195" xr:uid="{00000000-0005-0000-0000-000069000000}"/>
    <cellStyle name="40 % - Accent5 2 3" xfId="175" xr:uid="{00000000-0005-0000-0000-00006A000000}"/>
    <cellStyle name="40 % - Accent5 3" xfId="150" xr:uid="{00000000-0005-0000-0000-00006B000000}"/>
    <cellStyle name="40 % - Accent5 3 2" xfId="229" xr:uid="{00000000-0005-0000-0000-00006C000000}"/>
    <cellStyle name="40 % - Accent5 4" xfId="206" xr:uid="{00000000-0005-0000-0000-00006D000000}"/>
    <cellStyle name="40 % - Accent5 5" xfId="253" xr:uid="{00000000-0005-0000-0000-00006E000000}"/>
    <cellStyle name="40 % - Accent6 2" xfId="62" xr:uid="{00000000-0005-0000-0000-000070000000}"/>
    <cellStyle name="40 % - Accent6 2 2" xfId="89" xr:uid="{00000000-0005-0000-0000-000071000000}"/>
    <cellStyle name="40 % - Accent6 2 2 2" xfId="197" xr:uid="{00000000-0005-0000-0000-000072000000}"/>
    <cellStyle name="40 % - Accent6 2 3" xfId="177" xr:uid="{00000000-0005-0000-0000-000073000000}"/>
    <cellStyle name="40 % - Accent6 3" xfId="152" xr:uid="{00000000-0005-0000-0000-000074000000}"/>
    <cellStyle name="40 % - Accent6 3 2" xfId="231" xr:uid="{00000000-0005-0000-0000-000075000000}"/>
    <cellStyle name="40 % - Accent6 4" xfId="208" xr:uid="{00000000-0005-0000-0000-000076000000}"/>
    <cellStyle name="40 % - Accent6 5" xfId="255" xr:uid="{00000000-0005-0000-0000-000077000000}"/>
    <cellStyle name="40% - Accent1" xfId="109" builtinId="31" customBuiltin="1"/>
    <cellStyle name="40% - Accent2" xfId="112" builtinId="35" customBuiltin="1"/>
    <cellStyle name="40% - Accent3" xfId="116" builtinId="39" customBuiltin="1"/>
    <cellStyle name="40% - Accent4" xfId="120" builtinId="43" customBuiltin="1"/>
    <cellStyle name="40% - Accent5" xfId="124" builtinId="47" customBuiltin="1"/>
    <cellStyle name="40% - Accent6" xfId="128" builtinId="51" customBuiltin="1"/>
    <cellStyle name="40% - Акцент1 2" xfId="262" xr:uid="{00000000-0005-0000-0000-000078000000}"/>
    <cellStyle name="40% - Акцент2 2" xfId="263" xr:uid="{00000000-0005-0000-0000-000079000000}"/>
    <cellStyle name="40% - Акцент3 2" xfId="264" xr:uid="{00000000-0005-0000-0000-00007A000000}"/>
    <cellStyle name="40% - Акцент4 2" xfId="265" xr:uid="{00000000-0005-0000-0000-00007B000000}"/>
    <cellStyle name="40% - Акцент5 2" xfId="266" xr:uid="{00000000-0005-0000-0000-00007C000000}"/>
    <cellStyle name="40% - Акцент6 2" xfId="267" xr:uid="{00000000-0005-0000-0000-00007D000000}"/>
    <cellStyle name="60 % - Accent1 2" xfId="43" xr:uid="{00000000-0005-0000-0000-00007F000000}"/>
    <cellStyle name="60 % - Accent2 2" xfId="47" xr:uid="{00000000-0005-0000-0000-000081000000}"/>
    <cellStyle name="60 % - Accent3 2" xfId="51" xr:uid="{00000000-0005-0000-0000-000083000000}"/>
    <cellStyle name="60 % - Accent4 2" xfId="55" xr:uid="{00000000-0005-0000-0000-000085000000}"/>
    <cellStyle name="60 % - Accent5 2" xfId="59" xr:uid="{00000000-0005-0000-0000-000087000000}"/>
    <cellStyle name="60 % - Accent6 2" xfId="63" xr:uid="{00000000-0005-0000-0000-000089000000}"/>
    <cellStyle name="60% - Accent1" xfId="110" builtinId="32" customBuiltin="1"/>
    <cellStyle name="60% - Accent2" xfId="113" builtinId="36" customBuiltin="1"/>
    <cellStyle name="60% - Accent3" xfId="117" builtinId="40" customBuiltin="1"/>
    <cellStyle name="60% - Accent4" xfId="121" builtinId="44" customBuiltin="1"/>
    <cellStyle name="60% - Accent5" xfId="125" builtinId="48" customBuiltin="1"/>
    <cellStyle name="60% - Accent6" xfId="129" builtinId="52" customBuiltin="1"/>
    <cellStyle name="60% - Акцент1 2" xfId="268" xr:uid="{00000000-0005-0000-0000-00008A000000}"/>
    <cellStyle name="60% - Акцент2 2" xfId="269" xr:uid="{00000000-0005-0000-0000-00008B000000}"/>
    <cellStyle name="60% - Акцент3 2" xfId="270" xr:uid="{00000000-0005-0000-0000-00008C000000}"/>
    <cellStyle name="60% - Акцент4 2" xfId="271" xr:uid="{00000000-0005-0000-0000-00008D000000}"/>
    <cellStyle name="60% - Акцент5 2" xfId="272" xr:uid="{00000000-0005-0000-0000-00008E000000}"/>
    <cellStyle name="60% - Акцент6 2" xfId="273" xr:uid="{00000000-0005-0000-0000-00008F000000}"/>
    <cellStyle name="Accent1" xfId="107" builtinId="29" customBuiltin="1"/>
    <cellStyle name="Accent1 2" xfId="40" xr:uid="{00000000-0005-0000-0000-000091000000}"/>
    <cellStyle name="Accent2" xfId="111" builtinId="33" customBuiltin="1"/>
    <cellStyle name="Accent2 2" xfId="44" xr:uid="{00000000-0005-0000-0000-000093000000}"/>
    <cellStyle name="Accent3" xfId="114" builtinId="37" customBuiltin="1"/>
    <cellStyle name="Accent3 2" xfId="48" xr:uid="{00000000-0005-0000-0000-000095000000}"/>
    <cellStyle name="Accent4" xfId="118" builtinId="41" customBuiltin="1"/>
    <cellStyle name="Accent4 2" xfId="52" xr:uid="{00000000-0005-0000-0000-000097000000}"/>
    <cellStyle name="Accent5" xfId="122" builtinId="45" customBuiltin="1"/>
    <cellStyle name="Accent5 2" xfId="56" xr:uid="{00000000-0005-0000-0000-000099000000}"/>
    <cellStyle name="Accent6" xfId="126" builtinId="49" customBuiltin="1"/>
    <cellStyle name="Accent6 2" xfId="60" xr:uid="{00000000-0005-0000-0000-00009B000000}"/>
    <cellStyle name="Avertissement 2" xfId="36" xr:uid="{00000000-0005-0000-0000-00009D000000}"/>
    <cellStyle name="Bad" xfId="97" builtinId="27" customBuiltin="1"/>
    <cellStyle name="Calcul 2" xfId="33" xr:uid="{00000000-0005-0000-0000-00009F000000}"/>
    <cellStyle name="Calculation" xfId="101" builtinId="22" customBuiltin="1"/>
    <cellStyle name="Cellule liée 2" xfId="34" xr:uid="{00000000-0005-0000-0000-0000A1000000}"/>
    <cellStyle name="Check Cell" xfId="103" builtinId="23" customBuiltin="1"/>
    <cellStyle name="Comma" xfId="1" builtinId="3"/>
    <cellStyle name="Commentaire 2" xfId="37" xr:uid="{00000000-0005-0000-0000-0000A2000000}"/>
    <cellStyle name="Commentaire 2 2" xfId="77" xr:uid="{00000000-0005-0000-0000-0000A3000000}"/>
    <cellStyle name="Commentaire 2 2 2" xfId="185" xr:uid="{00000000-0005-0000-0000-0000A4000000}"/>
    <cellStyle name="Commentaire 2 3" xfId="165" xr:uid="{00000000-0005-0000-0000-0000A5000000}"/>
    <cellStyle name="Commentaire 3" xfId="73" xr:uid="{00000000-0005-0000-0000-0000A6000000}"/>
    <cellStyle name="Commentaire 4" xfId="135" xr:uid="{00000000-0005-0000-0000-0000A7000000}"/>
    <cellStyle name="Commentaire 4 2" xfId="214" xr:uid="{00000000-0005-0000-0000-0000A8000000}"/>
    <cellStyle name="Énfasis1 2" xfId="12" xr:uid="{00000000-0005-0000-0000-0000A9000000}"/>
    <cellStyle name="Énfasis2 2" xfId="13" xr:uid="{00000000-0005-0000-0000-0000AA000000}"/>
    <cellStyle name="Énfasis3 2" xfId="14" xr:uid="{00000000-0005-0000-0000-0000AB000000}"/>
    <cellStyle name="Énfasis4 2" xfId="15" xr:uid="{00000000-0005-0000-0000-0000AC000000}"/>
    <cellStyle name="Énfasis5 2" xfId="16" xr:uid="{00000000-0005-0000-0000-0000AD000000}"/>
    <cellStyle name="Énfasis6 2" xfId="17" xr:uid="{00000000-0005-0000-0000-0000AE000000}"/>
    <cellStyle name="Entrée 2" xfId="31" xr:uid="{00000000-0005-0000-0000-0000B0000000}"/>
    <cellStyle name="Explanatory Text" xfId="105" builtinId="53" customBuiltin="1"/>
    <cellStyle name="Good" xfId="96" builtinId="26" customBuiltin="1"/>
    <cellStyle name="Heading 1" xfId="92" builtinId="16" customBuiltin="1"/>
    <cellStyle name="Heading 2" xfId="93" builtinId="17" customBuiltin="1"/>
    <cellStyle name="Heading 3" xfId="94" builtinId="18" customBuiltin="1"/>
    <cellStyle name="Heading 4" xfId="95" builtinId="19" customBuiltin="1"/>
    <cellStyle name="Input" xfId="99" builtinId="20" customBuiltin="1"/>
    <cellStyle name="Insatisfaisant 2" xfId="29" xr:uid="{00000000-0005-0000-0000-0000B2000000}"/>
    <cellStyle name="Linked Cell" xfId="102" builtinId="24" customBuiltin="1"/>
    <cellStyle name="Millares 2" xfId="18" xr:uid="{00000000-0005-0000-0000-0000B3000000}"/>
    <cellStyle name="Millares 2 2" xfId="74" xr:uid="{00000000-0005-0000-0000-0000B4000000}"/>
    <cellStyle name="Millares 2 2 2" xfId="183" xr:uid="{00000000-0005-0000-0000-0000B5000000}"/>
    <cellStyle name="Millares 2 3" xfId="133" xr:uid="{00000000-0005-0000-0000-0000B6000000}"/>
    <cellStyle name="Millares 2 3 2" xfId="212" xr:uid="{00000000-0005-0000-0000-0000B7000000}"/>
    <cellStyle name="Millares 2 4" xfId="138" xr:uid="{00000000-0005-0000-0000-0000B8000000}"/>
    <cellStyle name="Millares 2 4 2" xfId="217" xr:uid="{00000000-0005-0000-0000-0000B9000000}"/>
    <cellStyle name="Millares 2 5" xfId="162" xr:uid="{00000000-0005-0000-0000-0000BA000000}"/>
    <cellStyle name="Millares 2 6" xfId="241" xr:uid="{00000000-0005-0000-0000-0000BB000000}"/>
    <cellStyle name="Milliers 2" xfId="70" xr:uid="{00000000-0005-0000-0000-0000BD000000}"/>
    <cellStyle name="Milliers 2 2" xfId="181" xr:uid="{00000000-0005-0000-0000-0000BE000000}"/>
    <cellStyle name="Milliers 3" xfId="90" xr:uid="{00000000-0005-0000-0000-0000BF000000}"/>
    <cellStyle name="Milliers 4" xfId="159" xr:uid="{00000000-0005-0000-0000-0000C0000000}"/>
    <cellStyle name="Milliers 5" xfId="234" xr:uid="{00000000-0005-0000-0000-0000C1000000}"/>
    <cellStyle name="Milliers 6" xfId="236" xr:uid="{00000000-0005-0000-0000-0000C2000000}"/>
    <cellStyle name="Neutral" xfId="98" builtinId="28" customBuiltin="1"/>
    <cellStyle name="Neutre 2" xfId="30" xr:uid="{00000000-0005-0000-0000-0000C4000000}"/>
    <cellStyle name="Normal" xfId="0" builtinId="0"/>
    <cellStyle name="Normal 10" xfId="137" xr:uid="{00000000-0005-0000-0000-0000C6000000}"/>
    <cellStyle name="Normal 10 2" xfId="216" xr:uid="{00000000-0005-0000-0000-0000C7000000}"/>
    <cellStyle name="Normal 11" xfId="154" xr:uid="{00000000-0005-0000-0000-0000C8000000}"/>
    <cellStyle name="Normal 11 2" xfId="232" xr:uid="{00000000-0005-0000-0000-0000C9000000}"/>
    <cellStyle name="Normal 12" xfId="158" xr:uid="{00000000-0005-0000-0000-0000CA000000}"/>
    <cellStyle name="Normal 13" xfId="233" xr:uid="{00000000-0005-0000-0000-0000CB000000}"/>
    <cellStyle name="Normal 14" xfId="235" xr:uid="{00000000-0005-0000-0000-0000CC000000}"/>
    <cellStyle name="Normal 15" xfId="239" xr:uid="{00000000-0005-0000-0000-0000CD000000}"/>
    <cellStyle name="Normal 16" xfId="240" xr:uid="{00000000-0005-0000-0000-0000CE000000}"/>
    <cellStyle name="Normal 2" xfId="11" xr:uid="{00000000-0005-0000-0000-0000CF000000}"/>
    <cellStyle name="Normal 2 2" xfId="19" xr:uid="{00000000-0005-0000-0000-0000D0000000}"/>
    <cellStyle name="Normal 2 2 2" xfId="75" xr:uid="{00000000-0005-0000-0000-0000D1000000}"/>
    <cellStyle name="Normal 2 2 2 2" xfId="184" xr:uid="{00000000-0005-0000-0000-0000D2000000}"/>
    <cellStyle name="Normal 2 2 3" xfId="163" xr:uid="{00000000-0005-0000-0000-0000D3000000}"/>
    <cellStyle name="Normal 2 3" xfId="134" xr:uid="{00000000-0005-0000-0000-0000D4000000}"/>
    <cellStyle name="Normal 2 3 2" xfId="213" xr:uid="{00000000-0005-0000-0000-0000D5000000}"/>
    <cellStyle name="Normal 2 4" xfId="139" xr:uid="{00000000-0005-0000-0000-0000D6000000}"/>
    <cellStyle name="Normal 2 4 2" xfId="218" xr:uid="{00000000-0005-0000-0000-0000D7000000}"/>
    <cellStyle name="Normal 2 5" xfId="242" xr:uid="{00000000-0005-0000-0000-0000D8000000}"/>
    <cellStyle name="Normal 3" xfId="22" xr:uid="{00000000-0005-0000-0000-0000D9000000}"/>
    <cellStyle name="Normal 4" xfId="8" xr:uid="{00000000-0005-0000-0000-0000DA000000}"/>
    <cellStyle name="Normal 5" xfId="9" xr:uid="{00000000-0005-0000-0000-0000DB000000}"/>
    <cellStyle name="Normal 5 2" xfId="72" xr:uid="{00000000-0005-0000-0000-0000DC000000}"/>
    <cellStyle name="Normal 5 2 2" xfId="182" xr:uid="{00000000-0005-0000-0000-0000DD000000}"/>
    <cellStyle name="Normal 5 3" xfId="160" xr:uid="{00000000-0005-0000-0000-0000DE000000}"/>
    <cellStyle name="Normal 6" xfId="65" xr:uid="{00000000-0005-0000-0000-0000DF000000}"/>
    <cellStyle name="Normal 7" xfId="68" xr:uid="{00000000-0005-0000-0000-0000E0000000}"/>
    <cellStyle name="Normal 7 2" xfId="179" xr:uid="{00000000-0005-0000-0000-0000E1000000}"/>
    <cellStyle name="Normal 8" xfId="69" xr:uid="{00000000-0005-0000-0000-0000E2000000}"/>
    <cellStyle name="Normal 8 2" xfId="180" xr:uid="{00000000-0005-0000-0000-0000E3000000}"/>
    <cellStyle name="Normal 9" xfId="131" xr:uid="{00000000-0005-0000-0000-0000E4000000}"/>
    <cellStyle name="Normal 9 2" xfId="210" xr:uid="{00000000-0005-0000-0000-0000E5000000}"/>
    <cellStyle name="Normal_AcouBio3MackerelMOA" xfId="2" xr:uid="{00000000-0005-0000-0000-0000E6000000}"/>
    <cellStyle name="Normal_Fig.4.6.1 Tr tr regressions" xfId="3" xr:uid="{00000000-0005-0000-0000-0000E7000000}"/>
    <cellStyle name="Normal_Fig.4.6.2 Tr tc regressions" xfId="4" xr:uid="{00000000-0005-0000-0000-0000E8000000}"/>
    <cellStyle name="Normal_TableConvertUtilsFuncionar2" xfId="5" xr:uid="{00000000-0005-0000-0000-0000E9000000}"/>
    <cellStyle name="Note" xfId="10" builtinId="10"/>
    <cellStyle name="Note 2" xfId="140" xr:uid="{00000000-0005-0000-0000-0000EB000000}"/>
    <cellStyle name="Note 2 2" xfId="219" xr:uid="{00000000-0005-0000-0000-0000EC000000}"/>
    <cellStyle name="Note 3" xfId="161" xr:uid="{00000000-0005-0000-0000-0000ED000000}"/>
    <cellStyle name="Note 4" xfId="237" xr:uid="{00000000-0005-0000-0000-0000EE000000}"/>
    <cellStyle name="Note 5" xfId="243" xr:uid="{00000000-0005-0000-0000-0000EF000000}"/>
    <cellStyle name="Output" xfId="100" builtinId="21" customBuiltin="1"/>
    <cellStyle name="Percent" xfId="6" builtinId="5"/>
    <cellStyle name="Pourcentage 2" xfId="71" xr:uid="{00000000-0005-0000-0000-0000F1000000}"/>
    <cellStyle name="Satisfaisant 2" xfId="28" xr:uid="{00000000-0005-0000-0000-0000F3000000}"/>
    <cellStyle name="Sortie 2" xfId="32" xr:uid="{00000000-0005-0000-0000-0000F5000000}"/>
    <cellStyle name="Style 1" xfId="21" xr:uid="{00000000-0005-0000-0000-0000F6000000}"/>
    <cellStyle name="Texte explicatif 2" xfId="38" xr:uid="{00000000-0005-0000-0000-0000F8000000}"/>
    <cellStyle name="Titre 2" xfId="23" xr:uid="{00000000-0005-0000-0000-0000F9000000}"/>
    <cellStyle name="Titre 3" xfId="289" xr:uid="{00000000-0005-0000-0000-0000FA000000}"/>
    <cellStyle name="Titre 1 2" xfId="24" xr:uid="{00000000-0005-0000-0000-0000FC000000}"/>
    <cellStyle name="Titre 2 2" xfId="25" xr:uid="{00000000-0005-0000-0000-0000FE000000}"/>
    <cellStyle name="Titre 3 2" xfId="26" xr:uid="{00000000-0005-0000-0000-000000010000}"/>
    <cellStyle name="Titre 4 2" xfId="27" xr:uid="{00000000-0005-0000-0000-000002010000}"/>
    <cellStyle name="Total" xfId="106" builtinId="25" customBuiltin="1"/>
    <cellStyle name="Total 2" xfId="20" xr:uid="{00000000-0005-0000-0000-000004010000}"/>
    <cellStyle name="Total 2 2" xfId="91" xr:uid="{00000000-0005-0000-0000-000005010000}"/>
    <cellStyle name="Total 2 3" xfId="76" xr:uid="{00000000-0005-0000-0000-000006010000}"/>
    <cellStyle name="Total 2 4" xfId="164" xr:uid="{00000000-0005-0000-0000-000007010000}"/>
    <cellStyle name="Total 3" xfId="39" xr:uid="{00000000-0005-0000-0000-000008010000}"/>
    <cellStyle name="Vérification 2" xfId="35" xr:uid="{00000000-0005-0000-0000-00000A010000}"/>
    <cellStyle name="Warning Text" xfId="104" builtinId="11" customBuiltin="1"/>
    <cellStyle name="Акцент1 2" xfId="274" xr:uid="{00000000-0005-0000-0000-00000B010000}"/>
    <cellStyle name="Акцент2 2" xfId="275" xr:uid="{00000000-0005-0000-0000-00000C010000}"/>
    <cellStyle name="Акцент3 2" xfId="276" xr:uid="{00000000-0005-0000-0000-00000D010000}"/>
    <cellStyle name="Акцент4 2" xfId="277" xr:uid="{00000000-0005-0000-0000-00000E010000}"/>
    <cellStyle name="Акцент5 2" xfId="278" xr:uid="{00000000-0005-0000-0000-00000F010000}"/>
    <cellStyle name="Акцент6 2" xfId="279" xr:uid="{00000000-0005-0000-0000-000010010000}"/>
    <cellStyle name="Ввод  2" xfId="280" xr:uid="{00000000-0005-0000-0000-000011010000}"/>
    <cellStyle name="Вывод 2" xfId="281" xr:uid="{00000000-0005-0000-0000-000012010000}"/>
    <cellStyle name="Вычисление 2" xfId="282" xr:uid="{00000000-0005-0000-0000-000013010000}"/>
    <cellStyle name="Заголовок 1 2" xfId="283" xr:uid="{00000000-0005-0000-0000-000014010000}"/>
    <cellStyle name="Заголовок 2 2" xfId="284" xr:uid="{00000000-0005-0000-0000-000015010000}"/>
    <cellStyle name="Заголовок 3 2" xfId="285" xr:uid="{00000000-0005-0000-0000-000016010000}"/>
    <cellStyle name="Заголовок 4 2" xfId="286" xr:uid="{00000000-0005-0000-0000-000017010000}"/>
    <cellStyle name="Итог 2" xfId="287" xr:uid="{00000000-0005-0000-0000-000018010000}"/>
    <cellStyle name="Контрольная ячейка 2" xfId="288" xr:uid="{00000000-0005-0000-0000-000019010000}"/>
    <cellStyle name="Нейтральный 2" xfId="290" xr:uid="{00000000-0005-0000-0000-00001A010000}"/>
    <cellStyle name="Обычный 2" xfId="153" xr:uid="{00000000-0005-0000-0000-00001B010000}"/>
    <cellStyle name="Обычный 3" xfId="155" xr:uid="{00000000-0005-0000-0000-00001C010000}"/>
    <cellStyle name="Обычный_2004_chap4_tab" xfId="7" xr:uid="{00000000-0005-0000-0000-00001D010000}"/>
    <cellStyle name="Плохой 2" xfId="291" xr:uid="{00000000-0005-0000-0000-00001E010000}"/>
    <cellStyle name="Пояснение 2" xfId="292" xr:uid="{00000000-0005-0000-0000-00001F010000}"/>
    <cellStyle name="Примечание 2" xfId="293" xr:uid="{00000000-0005-0000-0000-000020010000}"/>
    <cellStyle name="Связанная ячейка 2" xfId="294" xr:uid="{00000000-0005-0000-0000-000021010000}"/>
    <cellStyle name="Стиль 1" xfId="67" xr:uid="{00000000-0005-0000-0000-000022010000}"/>
    <cellStyle name="Стиль 1 2" xfId="132" xr:uid="{00000000-0005-0000-0000-000023010000}"/>
    <cellStyle name="Стиль 1 2 2" xfId="156" xr:uid="{00000000-0005-0000-0000-000024010000}"/>
    <cellStyle name="Стиль 1 2 3" xfId="211" xr:uid="{00000000-0005-0000-0000-000025010000}"/>
    <cellStyle name="Текст предупреждения 2" xfId="295" xr:uid="{00000000-0005-0000-0000-000026010000}"/>
    <cellStyle name="Финансовый 2" xfId="157" xr:uid="{00000000-0005-0000-0000-000027010000}"/>
    <cellStyle name="Хороший 2" xfId="296" xr:uid="{00000000-0005-0000-0000-000028010000}"/>
  </cellStyles>
  <dxfs count="0"/>
  <tableStyles count="0" defaultTableStyle="TableStyleMedium9" defaultPivotStyle="PivotStyleLight16"/>
  <colors>
    <mruColors>
      <color rgb="FF15D51A"/>
      <color rgb="FF2BF56E"/>
      <color rgb="FF0AE051"/>
      <color rgb="FFC6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8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8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8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8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8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8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8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8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8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9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9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9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_rels/chart9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9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_rels/chart9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9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.xml"/></Relationships>
</file>

<file path=xl/charts/_rels/chart10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.xml"/></Relationships>
</file>

<file path=xl/charts/_rels/chart10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9.xml"/></Relationships>
</file>

<file path=xl/charts/_rels/chart10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.xml"/></Relationships>
</file>

<file path=xl/charts/_rels/chart10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1.xml"/></Relationships>
</file>

<file path=xl/charts/_rels/chart1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.xml"/></Relationships>
</file>

<file path=xl/charts/_rels/chart1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3.xml"/></Relationships>
</file>

<file path=xl/charts/_rels/chart1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.xml"/></Relationships>
</file>

<file path=xl/charts/_rels/chart1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5.xml"/></Relationships>
</file>

<file path=xl/charts/_rels/chart1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.xml"/></Relationships>
</file>

<file path=xl/charts/_rels/chart1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7.xml"/></Relationships>
</file>

<file path=xl/charts/_rels/chart1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8.xml"/></Relationships>
</file>

<file path=xl/charts/_rels/chart1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9.xml"/></Relationships>
</file>

<file path=xl/charts/_rels/chart1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0.xml"/></Relationships>
</file>

<file path=xl/charts/_rels/chart12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1.xml"/><Relationship Id="rId1" Type="http://schemas.openxmlformats.org/officeDocument/2006/relationships/themeOverride" Target="../theme/themeOverride1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7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2.xml"/></Relationships>
</file>

<file path=xl/charts/_rels/chart17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0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Horse Mackerel
Total sub-region
</a:t>
            </a:r>
          </a:p>
        </c:rich>
      </c:tx>
      <c:layout>
        <c:manualLayout>
          <c:xMode val="edge"/>
          <c:yMode val="edge"/>
          <c:x val="0.47272765084692275"/>
          <c:y val="5.8823999112787004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PT" sz="1000" b="1" i="0" u="none" strike="noStrike" kern="120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9138578523560728E-2"/>
          <c:y val="3.2649212588904949E-2"/>
          <c:w val="0.87676010620025502"/>
          <c:h val="0.70789491837853236"/>
        </c:manualLayout>
      </c:layout>
      <c:lineChart>
        <c:grouping val="standard"/>
        <c:varyColors val="0"/>
        <c:ser>
          <c:idx val="0"/>
          <c:order val="0"/>
          <c:tx>
            <c:strRef>
              <c:f>'Tab&amp;Fig4.2.1'!$A$92</c:f>
              <c:strCache>
                <c:ptCount val="1"/>
                <c:pt idx="0">
                  <c:v>T. trachurus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chemeClr val="accent2"/>
              </a:solidFill>
              <a:ln w="9525" cap="flat" cmpd="sng" algn="ctr">
                <a:solidFill>
                  <a:schemeClr val="accent2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cat>
            <c:numRef>
              <c:f>'Tab&amp;Fig4.2.1'!$C$91:$AL$91</c:f>
              <c:numCache>
                <c:formatCode>0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 formatCode="General">
                  <c:v>2014</c:v>
                </c:pt>
                <c:pt idx="25">
                  <c:v>2015</c:v>
                </c:pt>
                <c:pt idx="26" formatCode="General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'Tab&amp;Fig4.2.1'!$C$92:$AL$92</c:f>
              <c:numCache>
                <c:formatCode>0</c:formatCode>
                <c:ptCount val="36"/>
                <c:pt idx="0">
                  <c:v>45069</c:v>
                </c:pt>
                <c:pt idx="1">
                  <c:v>22041</c:v>
                </c:pt>
                <c:pt idx="2">
                  <c:v>36501</c:v>
                </c:pt>
                <c:pt idx="3">
                  <c:v>48237</c:v>
                </c:pt>
                <c:pt idx="4">
                  <c:v>56172</c:v>
                </c:pt>
                <c:pt idx="5">
                  <c:v>71596</c:v>
                </c:pt>
                <c:pt idx="6">
                  <c:v>47766</c:v>
                </c:pt>
                <c:pt idx="7">
                  <c:v>50498</c:v>
                </c:pt>
                <c:pt idx="8">
                  <c:v>85010</c:v>
                </c:pt>
                <c:pt idx="9">
                  <c:v>83157</c:v>
                </c:pt>
                <c:pt idx="10">
                  <c:v>68180</c:v>
                </c:pt>
                <c:pt idx="11">
                  <c:v>69949</c:v>
                </c:pt>
                <c:pt idx="12">
                  <c:v>41362</c:v>
                </c:pt>
                <c:pt idx="13">
                  <c:v>64056.992969353691</c:v>
                </c:pt>
                <c:pt idx="14">
                  <c:v>169350.40674216379</c:v>
                </c:pt>
                <c:pt idx="15">
                  <c:v>120810.37973799999</c:v>
                </c:pt>
                <c:pt idx="16">
                  <c:v>92390.844504144276</c:v>
                </c:pt>
                <c:pt idx="17">
                  <c:v>63382.891000000003</c:v>
                </c:pt>
                <c:pt idx="18">
                  <c:v>119679.23699999999</c:v>
                </c:pt>
                <c:pt idx="19">
                  <c:v>119564.69500000001</c:v>
                </c:pt>
                <c:pt idx="20">
                  <c:v>110483</c:v>
                </c:pt>
                <c:pt idx="21">
                  <c:v>67619.957629999975</c:v>
                </c:pt>
                <c:pt idx="22">
                  <c:v>58559.971318141135</c:v>
                </c:pt>
                <c:pt idx="23">
                  <c:v>86376.52900000001</c:v>
                </c:pt>
                <c:pt idx="24">
                  <c:v>105251.61996634172</c:v>
                </c:pt>
                <c:pt idx="25">
                  <c:v>114969.69578958541</c:v>
                </c:pt>
                <c:pt idx="26">
                  <c:v>160228.81875599996</c:v>
                </c:pt>
                <c:pt idx="27">
                  <c:v>111654.76164839999</c:v>
                </c:pt>
                <c:pt idx="28">
                  <c:v>99272.529340000008</c:v>
                </c:pt>
                <c:pt idx="29">
                  <c:v>75508.67007280972</c:v>
                </c:pt>
                <c:pt idx="30">
                  <c:v>237626.12519709766</c:v>
                </c:pt>
                <c:pt idx="31">
                  <c:v>266867.87756267068</c:v>
                </c:pt>
                <c:pt idx="32">
                  <c:v>55800.288054632299</c:v>
                </c:pt>
                <c:pt idx="33">
                  <c:v>145179.35487298231</c:v>
                </c:pt>
                <c:pt idx="34">
                  <c:v>89444.353637926106</c:v>
                </c:pt>
                <c:pt idx="35">
                  <c:v>117632.87926311046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B0-6C4A-94F1-B0B739118C3C}"/>
            </c:ext>
          </c:extLst>
        </c:ser>
        <c:ser>
          <c:idx val="1"/>
          <c:order val="1"/>
          <c:tx>
            <c:strRef>
              <c:f>'Tab&amp;Fig4.2.1'!$A$93</c:f>
              <c:strCache>
                <c:ptCount val="1"/>
                <c:pt idx="0">
                  <c:v>T. trecae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square"/>
            <c:size val="3"/>
            <c:spPr>
              <a:solidFill>
                <a:schemeClr val="accent4"/>
              </a:solidFill>
              <a:ln w="9525" cap="flat" cmpd="sng" algn="ctr">
                <a:solidFill>
                  <a:schemeClr val="accent4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cat>
            <c:numRef>
              <c:f>'Tab&amp;Fig4.2.1'!$C$91:$AL$91</c:f>
              <c:numCache>
                <c:formatCode>0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 formatCode="General">
                  <c:v>2014</c:v>
                </c:pt>
                <c:pt idx="25">
                  <c:v>2015</c:v>
                </c:pt>
                <c:pt idx="26" formatCode="General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'Tab&amp;Fig4.2.1'!$C$93:$AL$93</c:f>
              <c:numCache>
                <c:formatCode>0</c:formatCode>
                <c:ptCount val="36"/>
                <c:pt idx="0">
                  <c:v>59040</c:v>
                </c:pt>
                <c:pt idx="1">
                  <c:v>99396</c:v>
                </c:pt>
                <c:pt idx="2">
                  <c:v>120131</c:v>
                </c:pt>
                <c:pt idx="3">
                  <c:v>105902</c:v>
                </c:pt>
                <c:pt idx="4">
                  <c:v>73291</c:v>
                </c:pt>
                <c:pt idx="5">
                  <c:v>121697</c:v>
                </c:pt>
                <c:pt idx="6">
                  <c:v>90619</c:v>
                </c:pt>
                <c:pt idx="7">
                  <c:v>72813</c:v>
                </c:pt>
                <c:pt idx="8">
                  <c:v>122632</c:v>
                </c:pt>
                <c:pt idx="9">
                  <c:v>83845</c:v>
                </c:pt>
                <c:pt idx="10">
                  <c:v>172113</c:v>
                </c:pt>
                <c:pt idx="11">
                  <c:v>211983</c:v>
                </c:pt>
                <c:pt idx="12">
                  <c:v>153849</c:v>
                </c:pt>
                <c:pt idx="13">
                  <c:v>101375.25757759484</c:v>
                </c:pt>
                <c:pt idx="14">
                  <c:v>181620.68434518093</c:v>
                </c:pt>
                <c:pt idx="15">
                  <c:v>272334.31854736165</c:v>
                </c:pt>
                <c:pt idx="16">
                  <c:v>256698.18287326588</c:v>
                </c:pt>
                <c:pt idx="17">
                  <c:v>307041.5</c:v>
                </c:pt>
                <c:pt idx="18">
                  <c:v>401397.02</c:v>
                </c:pt>
                <c:pt idx="19">
                  <c:v>346996</c:v>
                </c:pt>
                <c:pt idx="20">
                  <c:v>352344</c:v>
                </c:pt>
                <c:pt idx="21">
                  <c:v>257200</c:v>
                </c:pt>
                <c:pt idx="22">
                  <c:v>173484.08404699809</c:v>
                </c:pt>
                <c:pt idx="23">
                  <c:v>139663.5</c:v>
                </c:pt>
                <c:pt idx="24">
                  <c:v>223014.43212262643</c:v>
                </c:pt>
                <c:pt idx="25">
                  <c:v>207364.69373852108</c:v>
                </c:pt>
                <c:pt idx="26">
                  <c:v>235845.42578400002</c:v>
                </c:pt>
                <c:pt idx="27">
                  <c:v>234736.76780159998</c:v>
                </c:pt>
                <c:pt idx="28">
                  <c:v>204882.50534000003</c:v>
                </c:pt>
                <c:pt idx="29">
                  <c:v>245224.37228000001</c:v>
                </c:pt>
                <c:pt idx="30">
                  <c:v>226458.89181257371</c:v>
                </c:pt>
                <c:pt idx="31">
                  <c:v>155859.96599070966</c:v>
                </c:pt>
                <c:pt idx="32">
                  <c:v>197669.52289788151</c:v>
                </c:pt>
                <c:pt idx="33">
                  <c:v>152978.74915935253</c:v>
                </c:pt>
                <c:pt idx="34">
                  <c:v>348116.21024871984</c:v>
                </c:pt>
                <c:pt idx="35">
                  <c:v>384572.69416174496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B0-6C4A-94F1-B0B739118C3C}"/>
            </c:ext>
          </c:extLst>
        </c:ser>
        <c:ser>
          <c:idx val="2"/>
          <c:order val="2"/>
          <c:tx>
            <c:strRef>
              <c:f>'Tab&amp;Fig4.2.1'!$A$94</c:f>
              <c:strCache>
                <c:ptCount val="1"/>
                <c:pt idx="0">
                  <c:v>C. rhonchus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triangle"/>
            <c:size val="3"/>
            <c:spPr>
              <a:solidFill>
                <a:schemeClr val="accent6"/>
              </a:solidFill>
              <a:ln w="9525" cap="flat" cmpd="sng" algn="ctr">
                <a:solidFill>
                  <a:schemeClr val="accent6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cat>
            <c:numRef>
              <c:f>'Tab&amp;Fig4.2.1'!$C$91:$AL$91</c:f>
              <c:numCache>
                <c:formatCode>0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 formatCode="General">
                  <c:v>2014</c:v>
                </c:pt>
                <c:pt idx="25">
                  <c:v>2015</c:v>
                </c:pt>
                <c:pt idx="26" formatCode="General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'Tab&amp;Fig4.2.1'!$C$94:$AL$94</c:f>
              <c:numCache>
                <c:formatCode>0</c:formatCode>
                <c:ptCount val="36"/>
                <c:pt idx="0">
                  <c:v>26908</c:v>
                </c:pt>
                <c:pt idx="1">
                  <c:v>9438</c:v>
                </c:pt>
                <c:pt idx="2">
                  <c:v>15848</c:v>
                </c:pt>
                <c:pt idx="3">
                  <c:v>14416</c:v>
                </c:pt>
                <c:pt idx="4">
                  <c:v>9454</c:v>
                </c:pt>
                <c:pt idx="5">
                  <c:v>4693</c:v>
                </c:pt>
                <c:pt idx="6">
                  <c:v>4074</c:v>
                </c:pt>
                <c:pt idx="7">
                  <c:v>6793</c:v>
                </c:pt>
                <c:pt idx="8">
                  <c:v>5553</c:v>
                </c:pt>
                <c:pt idx="9">
                  <c:v>20141</c:v>
                </c:pt>
                <c:pt idx="10">
                  <c:v>47455</c:v>
                </c:pt>
                <c:pt idx="11">
                  <c:v>24223</c:v>
                </c:pt>
                <c:pt idx="12">
                  <c:v>72158</c:v>
                </c:pt>
                <c:pt idx="13">
                  <c:v>35427.749453051496</c:v>
                </c:pt>
                <c:pt idx="14">
                  <c:v>43048.581912655289</c:v>
                </c:pt>
                <c:pt idx="15">
                  <c:v>21515.029740000002</c:v>
                </c:pt>
                <c:pt idx="16">
                  <c:v>46948.972622589878</c:v>
                </c:pt>
                <c:pt idx="17">
                  <c:v>25648.75</c:v>
                </c:pt>
                <c:pt idx="18">
                  <c:v>35622.5</c:v>
                </c:pt>
                <c:pt idx="19">
                  <c:v>42761</c:v>
                </c:pt>
                <c:pt idx="20">
                  <c:v>62041.779549999992</c:v>
                </c:pt>
                <c:pt idx="21">
                  <c:v>27782</c:v>
                </c:pt>
                <c:pt idx="22">
                  <c:v>23443.184534860346</c:v>
                </c:pt>
                <c:pt idx="23">
                  <c:v>11233.21</c:v>
                </c:pt>
                <c:pt idx="24">
                  <c:v>18136.645291031818</c:v>
                </c:pt>
                <c:pt idx="25">
                  <c:v>17521.538229999998</c:v>
                </c:pt>
                <c:pt idx="26">
                  <c:v>14648.212100000001</c:v>
                </c:pt>
                <c:pt idx="27">
                  <c:v>13888.59078</c:v>
                </c:pt>
                <c:pt idx="28">
                  <c:v>11653</c:v>
                </c:pt>
                <c:pt idx="29">
                  <c:v>12526</c:v>
                </c:pt>
                <c:pt idx="30">
                  <c:v>24506.5102185549</c:v>
                </c:pt>
                <c:pt idx="31">
                  <c:v>12823.287111959493</c:v>
                </c:pt>
                <c:pt idx="32">
                  <c:v>20638.185650391126</c:v>
                </c:pt>
                <c:pt idx="33">
                  <c:v>15898.111575763462</c:v>
                </c:pt>
                <c:pt idx="34">
                  <c:v>21346.043959871069</c:v>
                </c:pt>
                <c:pt idx="35">
                  <c:v>30932.077084616118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B0-6C4A-94F1-B0B739118C3C}"/>
            </c:ext>
          </c:extLst>
        </c:ser>
        <c:ser>
          <c:idx val="3"/>
          <c:order val="3"/>
          <c:tx>
            <c:strRef>
              <c:f>'Tab&amp;Fig4.2.1'!$A$96</c:f>
              <c:strCache>
                <c:ptCount val="1"/>
                <c:pt idx="0">
                  <c:v>Total 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'Tab&amp;Fig4.2.1'!$C$91:$AL$91</c:f>
              <c:numCache>
                <c:formatCode>0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 formatCode="General">
                  <c:v>2014</c:v>
                </c:pt>
                <c:pt idx="25">
                  <c:v>2015</c:v>
                </c:pt>
                <c:pt idx="26" formatCode="General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'Tab&amp;Fig4.2.1'!$C$96:$AL$96</c:f>
              <c:numCache>
                <c:formatCode>0</c:formatCode>
                <c:ptCount val="36"/>
                <c:pt idx="0">
                  <c:v>131017</c:v>
                </c:pt>
                <c:pt idx="1">
                  <c:v>130875</c:v>
                </c:pt>
                <c:pt idx="2">
                  <c:v>172480</c:v>
                </c:pt>
                <c:pt idx="3">
                  <c:v>168555</c:v>
                </c:pt>
                <c:pt idx="4">
                  <c:v>138917</c:v>
                </c:pt>
                <c:pt idx="5">
                  <c:v>197986</c:v>
                </c:pt>
                <c:pt idx="6">
                  <c:v>142459</c:v>
                </c:pt>
                <c:pt idx="7">
                  <c:v>130104</c:v>
                </c:pt>
                <c:pt idx="8">
                  <c:v>213195</c:v>
                </c:pt>
                <c:pt idx="9">
                  <c:v>187143</c:v>
                </c:pt>
                <c:pt idx="10">
                  <c:v>287748</c:v>
                </c:pt>
                <c:pt idx="11">
                  <c:v>306155</c:v>
                </c:pt>
                <c:pt idx="12">
                  <c:v>267369</c:v>
                </c:pt>
                <c:pt idx="13">
                  <c:v>200860</c:v>
                </c:pt>
                <c:pt idx="14">
                  <c:v>394019.67299999995</c:v>
                </c:pt>
                <c:pt idx="15">
                  <c:v>414659.72802536166</c:v>
                </c:pt>
                <c:pt idx="16">
                  <c:v>396038</c:v>
                </c:pt>
                <c:pt idx="17">
                  <c:v>396211.05713000003</c:v>
                </c:pt>
                <c:pt idx="18">
                  <c:v>557049.56492999999</c:v>
                </c:pt>
                <c:pt idx="19">
                  <c:v>509598.12075</c:v>
                </c:pt>
                <c:pt idx="20">
                  <c:v>525039.74867</c:v>
                </c:pt>
                <c:pt idx="21">
                  <c:v>352784.77971999993</c:v>
                </c:pt>
                <c:pt idx="22">
                  <c:v>255783.60897999955</c:v>
                </c:pt>
                <c:pt idx="23">
                  <c:v>237855.56208</c:v>
                </c:pt>
                <c:pt idx="24">
                  <c:v>346893.53659999999</c:v>
                </c:pt>
                <c:pt idx="25">
                  <c:v>340513.97723810648</c:v>
                </c:pt>
                <c:pt idx="26">
                  <c:v>411448.85399999999</c:v>
                </c:pt>
                <c:pt idx="27">
                  <c:v>360985.80858999997</c:v>
                </c:pt>
                <c:pt idx="28">
                  <c:v>316249.35014000005</c:v>
                </c:pt>
                <c:pt idx="29">
                  <c:v>333751.00006280973</c:v>
                </c:pt>
                <c:pt idx="30">
                  <c:v>489227.11876822624</c:v>
                </c:pt>
                <c:pt idx="31">
                  <c:v>435830.64518533985</c:v>
                </c:pt>
                <c:pt idx="32">
                  <c:v>274347.00174290501</c:v>
                </c:pt>
                <c:pt idx="33">
                  <c:v>314176.30011809833</c:v>
                </c:pt>
                <c:pt idx="34">
                  <c:v>458947.19414651702</c:v>
                </c:pt>
                <c:pt idx="35">
                  <c:v>533159.33228947152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B0-6C4A-94F1-B0B739118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35616"/>
        <c:axId val="79381632"/>
      </c:lineChart>
      <c:dateAx>
        <c:axId val="80735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pt-PT"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lang="pt-PT"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79381632"/>
        <c:crosses val="autoZero"/>
        <c:auto val="0"/>
        <c:lblOffset val="100"/>
        <c:baseTimeUnit val="days"/>
      </c:dateAx>
      <c:valAx>
        <c:axId val="793816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Catch (tonnes)</a:t>
                </a:r>
              </a:p>
            </c:rich>
          </c:tx>
          <c:layout>
            <c:manualLayout>
              <c:xMode val="edge"/>
              <c:yMode val="edge"/>
              <c:x val="1.823788419890153E-3"/>
              <c:y val="0.21556023806883504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pt-PT" sz="10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fr-FR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lang="pt-PT"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0735616"/>
        <c:crosses val="autoZero"/>
        <c:crossBetween val="between"/>
        <c:majorUnit val="200000"/>
        <c:minorUnit val="200000"/>
      </c:valAx>
      <c:spPr>
        <a:noFill/>
        <a:ln w="25400"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</c:legendEntry>
      <c:layout>
        <c:manualLayout>
          <c:xMode val="edge"/>
          <c:yMode val="edge"/>
          <c:x val="0.10815627554752506"/>
          <c:y val="0.90459443273816165"/>
          <c:w val="0.8847532378124866"/>
          <c:h val="5.9049646963143833E-2"/>
        </c:manualLayout>
      </c:layout>
      <c:overlay val="0"/>
      <c:spPr>
        <a:solidFill>
          <a:srgbClr val="FFFFFF"/>
        </a:solidFill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PT" sz="1400" b="0" i="0" u="none" strike="noStrike" kern="120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Trachurus trachurus </a:t>
            </a:r>
            <a:endParaRPr lang="pt-PT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Maroc et Mauritania</a:t>
            </a:r>
          </a:p>
        </c:rich>
      </c:tx>
      <c:layout>
        <c:manualLayout>
          <c:xMode val="edge"/>
          <c:yMode val="edge"/>
          <c:x val="0.38251472376929246"/>
          <c:y val="3.59475698067862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117162160814728E-2"/>
          <c:y val="0.15822818033822231"/>
          <c:w val="0.81936344163876051"/>
          <c:h val="0.58393163203997855"/>
        </c:manualLayout>
      </c:layout>
      <c:lineChart>
        <c:grouping val="standard"/>
        <c:varyColors val="0"/>
        <c:ser>
          <c:idx val="1"/>
          <c:order val="0"/>
          <c:tx>
            <c:strRef>
              <c:f>'Tab&amp;Fig4.2.2-4.3.1a'!$B$14:$C$14</c:f>
              <c:strCache>
                <c:ptCount val="2"/>
                <c:pt idx="0">
                  <c:v>Mauritania-</c:v>
                </c:pt>
                <c:pt idx="1">
                  <c:v>Russia, Ukraine &amp; others 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'Tab&amp;Fig4.2.2-4.3.1a'!$E$4:$AM$4</c:f>
              <c:numCache>
                <c:formatCode>General</c:formatCod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</c:numCache>
            </c:numRef>
          </c:cat>
          <c:val>
            <c:numRef>
              <c:f>'Tab&amp;Fig4.2.2-4.3.1a'!$E$14:$AM$14</c:f>
              <c:numCache>
                <c:formatCode>0.0</c:formatCode>
                <c:ptCount val="35"/>
                <c:pt idx="0">
                  <c:v>1.5192625556261921</c:v>
                </c:pt>
                <c:pt idx="1">
                  <c:v>2.414260249554367</c:v>
                </c:pt>
                <c:pt idx="2">
                  <c:v>3.1775317753177532</c:v>
                </c:pt>
                <c:pt idx="3">
                  <c:v>3.897251477010018</c:v>
                </c:pt>
                <c:pt idx="4">
                  <c:v>3.5860969387755102</c:v>
                </c:pt>
                <c:pt idx="5">
                  <c:v>1.6782766592457219</c:v>
                </c:pt>
                <c:pt idx="6">
                  <c:v>1.5824965548310148</c:v>
                </c:pt>
                <c:pt idx="7">
                  <c:v>2.4222903131767448</c:v>
                </c:pt>
                <c:pt idx="8">
                  <c:v>1.9669462312131543</c:v>
                </c:pt>
                <c:pt idx="9">
                  <c:v>0.59257877179526852</c:v>
                </c:pt>
                <c:pt idx="10">
                  <c:v>1.6167027636981297</c:v>
                </c:pt>
                <c:pt idx="11">
                  <c:v>2.7265164505715274</c:v>
                </c:pt>
                <c:pt idx="12">
                  <c:v>5.9603647037489536</c:v>
                </c:pt>
                <c:pt idx="13">
                  <c:v>5.3644271854117367</c:v>
                </c:pt>
                <c:pt idx="14">
                  <c:v>2.6152832992684778</c:v>
                </c:pt>
                <c:pt idx="15">
                  <c:v>2.6526698384828169</c:v>
                </c:pt>
                <c:pt idx="16">
                  <c:v>4.2788461538461542</c:v>
                </c:pt>
                <c:pt idx="17">
                  <c:v>6.5333600213504139</c:v>
                </c:pt>
                <c:pt idx="18">
                  <c:v>3.0532599426312119</c:v>
                </c:pt>
                <c:pt idx="19">
                  <c:v>7.9934626958597077</c:v>
                </c:pt>
                <c:pt idx="20">
                  <c:v>2.3816550176891882</c:v>
                </c:pt>
                <c:pt idx="21">
                  <c:v>2.2729914284711055</c:v>
                </c:pt>
                <c:pt idx="22">
                  <c:v>3.152222222222222</c:v>
                </c:pt>
                <c:pt idx="23">
                  <c:v>16.615225486139842</c:v>
                </c:pt>
                <c:pt idx="24">
                  <c:v>25.933216834817014</c:v>
                </c:pt>
                <c:pt idx="25">
                  <c:v>21.389908772845953</c:v>
                </c:pt>
                <c:pt idx="26">
                  <c:v>14.831832147806004</c:v>
                </c:pt>
                <c:pt idx="27">
                  <c:v>18.132982464646467</c:v>
                </c:pt>
                <c:pt idx="28">
                  <c:v>24.114058869093729</c:v>
                </c:pt>
                <c:pt idx="29">
                  <c:v>35.505314380055232</c:v>
                </c:pt>
                <c:pt idx="30">
                  <c:v>0</c:v>
                </c:pt>
                <c:pt idx="31">
                  <c:v>18.722069993849431</c:v>
                </c:pt>
                <c:pt idx="32">
                  <c:v>15.412346051583366</c:v>
                </c:pt>
                <c:pt idx="33">
                  <c:v>3.3575637280234591</c:v>
                </c:pt>
                <c:pt idx="3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EB-DA4E-9160-9FA382788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060608"/>
        <c:axId val="83063168"/>
      </c:lineChart>
      <c:lineChart>
        <c:grouping val="standard"/>
        <c:varyColors val="0"/>
        <c:ser>
          <c:idx val="0"/>
          <c:order val="1"/>
          <c:tx>
            <c:strRef>
              <c:f>'Tab&amp;Fig4.2.2-4.3.1a'!$B$15:$C$15</c:f>
              <c:strCache>
                <c:ptCount val="2"/>
                <c:pt idx="0">
                  <c:v>Marroco</c:v>
                </c:pt>
                <c:pt idx="1">
                  <c:v>Russia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'Tab&amp;Fig4.2.2-4.3.1a'!$E$4:$AM$4</c:f>
              <c:numCache>
                <c:formatCode>General</c:formatCod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</c:numCache>
            </c:numRef>
          </c:cat>
          <c:val>
            <c:numRef>
              <c:f>'Tab&amp;Fig4.2.2-4.3.1a'!$E$15:$AM$15</c:f>
              <c:numCache>
                <c:formatCode>0.0</c:formatCode>
                <c:ptCount val="35"/>
                <c:pt idx="0">
                  <c:v>11.7</c:v>
                </c:pt>
                <c:pt idx="1">
                  <c:v>18.100000000000001</c:v>
                </c:pt>
                <c:pt idx="2">
                  <c:v>22.6</c:v>
                </c:pt>
                <c:pt idx="3">
                  <c:v>15.3</c:v>
                </c:pt>
                <c:pt idx="4">
                  <c:v>13.1</c:v>
                </c:pt>
                <c:pt idx="5">
                  <c:v>13.5</c:v>
                </c:pt>
                <c:pt idx="6">
                  <c:v>11</c:v>
                </c:pt>
                <c:pt idx="7">
                  <c:v>6.4</c:v>
                </c:pt>
                <c:pt idx="8">
                  <c:v>9.6</c:v>
                </c:pt>
                <c:pt idx="9">
                  <c:v>11.4</c:v>
                </c:pt>
                <c:pt idx="10">
                  <c:v>6.4</c:v>
                </c:pt>
                <c:pt idx="11">
                  <c:v>7.6</c:v>
                </c:pt>
                <c:pt idx="12">
                  <c:v>8.3000000000000007</c:v>
                </c:pt>
                <c:pt idx="13" formatCode="General">
                  <c:v>13.2</c:v>
                </c:pt>
                <c:pt idx="14" formatCode="General">
                  <c:v>11.7</c:v>
                </c:pt>
                <c:pt idx="15" formatCode="General">
                  <c:v>19.899999999999999</c:v>
                </c:pt>
                <c:pt idx="16" formatCode="General">
                  <c:v>12</c:v>
                </c:pt>
                <c:pt idx="17" formatCode="General">
                  <c:v>16.100000000000001</c:v>
                </c:pt>
                <c:pt idx="18" formatCode="General">
                  <c:v>19.5</c:v>
                </c:pt>
                <c:pt idx="19" formatCode="General">
                  <c:v>20.399999999999999</c:v>
                </c:pt>
                <c:pt idx="20" formatCode="General">
                  <c:v>17.399999999999999</c:v>
                </c:pt>
                <c:pt idx="21">
                  <c:v>20.6</c:v>
                </c:pt>
                <c:pt idx="22">
                  <c:v>17.100000000000001</c:v>
                </c:pt>
                <c:pt idx="23">
                  <c:v>16.100000000000001</c:v>
                </c:pt>
                <c:pt idx="24">
                  <c:v>20.7</c:v>
                </c:pt>
                <c:pt idx="25">
                  <c:v>21.7</c:v>
                </c:pt>
                <c:pt idx="26">
                  <c:v>24.5</c:v>
                </c:pt>
                <c:pt idx="27" formatCode="General">
                  <c:v>18.38</c:v>
                </c:pt>
                <c:pt idx="28">
                  <c:v>23.2</c:v>
                </c:pt>
                <c:pt idx="29">
                  <c:v>21.8</c:v>
                </c:pt>
                <c:pt idx="30">
                  <c:v>23.5</c:v>
                </c:pt>
                <c:pt idx="31">
                  <c:v>21.1</c:v>
                </c:pt>
                <c:pt idx="32">
                  <c:v>31.1</c:v>
                </c:pt>
                <c:pt idx="33" formatCode="General">
                  <c:v>26.7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EB-DA4E-9160-9FA382788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065088"/>
        <c:axId val="83075072"/>
      </c:lineChart>
      <c:catAx>
        <c:axId val="83060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Years</a:t>
                </a:r>
              </a:p>
            </c:rich>
          </c:tx>
          <c:layout>
            <c:manualLayout>
              <c:xMode val="edge"/>
              <c:yMode val="edge"/>
              <c:x val="0.45869614621343063"/>
              <c:y val="0.824964108402112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3063168"/>
        <c:crosses val="autoZero"/>
        <c:auto val="0"/>
        <c:lblAlgn val="ctr"/>
        <c:lblOffset val="0"/>
        <c:tickLblSkip val="2"/>
        <c:tickMarkSkip val="1"/>
        <c:noMultiLvlLbl val="0"/>
      </c:catAx>
      <c:valAx>
        <c:axId val="830631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CPUE (t/fishing days)</a:t>
                </a:r>
              </a:p>
            </c:rich>
          </c:tx>
          <c:layout>
            <c:manualLayout>
              <c:xMode val="edge"/>
              <c:yMode val="edge"/>
              <c:x val="9.4877088534665067E-3"/>
              <c:y val="0.231012870379154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3060608"/>
        <c:crosses val="autoZero"/>
        <c:crossBetween val="between"/>
        <c:majorUnit val="2"/>
        <c:minorUnit val="2"/>
      </c:valAx>
      <c:catAx>
        <c:axId val="83065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83075072"/>
        <c:crosses val="autoZero"/>
        <c:auto val="0"/>
        <c:lblAlgn val="ctr"/>
        <c:lblOffset val="100"/>
        <c:noMultiLvlLbl val="0"/>
      </c:catAx>
      <c:valAx>
        <c:axId val="83075072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t/fishing day seasonal</a:t>
                </a:r>
              </a:p>
            </c:rich>
          </c:tx>
          <c:layout>
            <c:manualLayout>
              <c:xMode val="edge"/>
              <c:yMode val="edge"/>
              <c:x val="0.95077555854299445"/>
              <c:y val="0.235294564083104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3065088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1.6007297868254274E-2"/>
          <c:y val="0.90862568383771314"/>
          <c:w val="0.96119806670508412"/>
          <c:h val="5.751984315213612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lang="pt-PT"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5" footer="0.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'Tab&amp;Fig4.2.2-4.3.1a'!$C$5:$D$5</c:f>
              <c:strCache>
                <c:ptCount val="2"/>
                <c:pt idx="0">
                  <c:v>Russia, Ukraine &amp; others</c:v>
                </c:pt>
                <c:pt idx="1">
                  <c:v>Mauritanie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'Tab&amp;Fig4.2.2-4.3.1a'!$E$4:$AM$4</c:f>
              <c:numCache>
                <c:formatCode>General</c:formatCod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</c:numCache>
            </c:numRef>
          </c:cat>
          <c:val>
            <c:numRef>
              <c:f>'Tab&amp;Fig4.2.2-4.3.1a'!$E$5:$AM$5</c:f>
              <c:numCache>
                <c:formatCode>General</c:formatCode>
                <c:ptCount val="35"/>
                <c:pt idx="0">
                  <c:v>7865</c:v>
                </c:pt>
                <c:pt idx="1">
                  <c:v>8415</c:v>
                </c:pt>
                <c:pt idx="2">
                  <c:v>7317</c:v>
                </c:pt>
                <c:pt idx="3">
                  <c:v>3893</c:v>
                </c:pt>
                <c:pt idx="4">
                  <c:v>6272</c:v>
                </c:pt>
                <c:pt idx="5">
                  <c:v>9318</c:v>
                </c:pt>
                <c:pt idx="6">
                  <c:v>6879</c:v>
                </c:pt>
                <c:pt idx="7">
                  <c:v>8100</c:v>
                </c:pt>
                <c:pt idx="8">
                  <c:v>7340</c:v>
                </c:pt>
                <c:pt idx="9">
                  <c:v>8147</c:v>
                </c:pt>
                <c:pt idx="10">
                  <c:v>8337</c:v>
                </c:pt>
                <c:pt idx="11">
                  <c:v>7833</c:v>
                </c:pt>
                <c:pt idx="12">
                  <c:v>8158</c:v>
                </c:pt>
                <c:pt idx="13">
                  <c:v>14036</c:v>
                </c:pt>
                <c:pt idx="14">
                  <c:v>9159</c:v>
                </c:pt>
                <c:pt idx="15">
                  <c:v>8706</c:v>
                </c:pt>
                <c:pt idx="16">
                  <c:v>7488</c:v>
                </c:pt>
                <c:pt idx="17">
                  <c:v>7494</c:v>
                </c:pt>
                <c:pt idx="18">
                  <c:v>12899</c:v>
                </c:pt>
                <c:pt idx="19">
                  <c:v>9637</c:v>
                </c:pt>
                <c:pt idx="20">
                  <c:v>11589</c:v>
                </c:pt>
                <c:pt idx="21" formatCode="0">
                  <c:v>8691</c:v>
                </c:pt>
                <c:pt idx="22">
                  <c:v>2700</c:v>
                </c:pt>
                <c:pt idx="23">
                  <c:v>2417</c:v>
                </c:pt>
                <c:pt idx="24">
                  <c:v>2022</c:v>
                </c:pt>
                <c:pt idx="25">
                  <c:v>3064</c:v>
                </c:pt>
                <c:pt idx="26">
                  <c:v>3897</c:v>
                </c:pt>
                <c:pt idx="27">
                  <c:v>3465</c:v>
                </c:pt>
                <c:pt idx="28" formatCode="0">
                  <c:v>1239.3599999999999</c:v>
                </c:pt>
                <c:pt idx="29" formatCode="0">
                  <c:v>799.00013097576948</c:v>
                </c:pt>
                <c:pt idx="30" formatCode="0">
                  <c:v>0</c:v>
                </c:pt>
                <c:pt idx="31" formatCode="0">
                  <c:v>1006.8800000000001</c:v>
                </c:pt>
                <c:pt idx="32">
                  <c:v>4909</c:v>
                </c:pt>
                <c:pt idx="33">
                  <c:v>7150</c:v>
                </c:pt>
                <c:pt idx="34">
                  <c:v>6876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7E-4FF6-AA09-2038FF3D0BC1}"/>
            </c:ext>
          </c:extLst>
        </c:ser>
        <c:ser>
          <c:idx val="1"/>
          <c:order val="1"/>
          <c:tx>
            <c:strRef>
              <c:f>'Tab&amp;Fig4.2.2-4.3.1a'!$C$8:$D$8</c:f>
              <c:strCache>
                <c:ptCount val="2"/>
                <c:pt idx="0">
                  <c:v>Russia, Ukraine &amp; others</c:v>
                </c:pt>
                <c:pt idx="1">
                  <c:v>Maroc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'Tab&amp;Fig4.2.2-4.3.1a'!$E$4:$AM$4</c:f>
              <c:numCache>
                <c:formatCode>General</c:formatCod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</c:numCache>
            </c:numRef>
          </c:cat>
          <c:val>
            <c:numRef>
              <c:f>'Tab&amp;Fig4.2.2-4.3.1a'!$E$8:$AM$8</c:f>
              <c:numCache>
                <c:formatCode>General</c:formatCode>
                <c:ptCount val="35"/>
                <c:pt idx="13">
                  <c:v>1945</c:v>
                </c:pt>
                <c:pt idx="14">
                  <c:v>3200</c:v>
                </c:pt>
                <c:pt idx="15">
                  <c:v>3197</c:v>
                </c:pt>
                <c:pt idx="16">
                  <c:v>2257</c:v>
                </c:pt>
                <c:pt idx="17">
                  <c:v>1881</c:v>
                </c:pt>
                <c:pt idx="18">
                  <c:v>2120</c:v>
                </c:pt>
                <c:pt idx="21">
                  <c:v>92</c:v>
                </c:pt>
                <c:pt idx="22">
                  <c:v>1764</c:v>
                </c:pt>
                <c:pt idx="23">
                  <c:v>932</c:v>
                </c:pt>
                <c:pt idx="24">
                  <c:v>1236</c:v>
                </c:pt>
                <c:pt idx="25">
                  <c:v>1190</c:v>
                </c:pt>
                <c:pt idx="28">
                  <c:v>1360</c:v>
                </c:pt>
                <c:pt idx="31">
                  <c:v>3087</c:v>
                </c:pt>
                <c:pt idx="32">
                  <c:v>2526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7E-4FF6-AA09-2038FF3D0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0128544"/>
        <c:axId val="1530141856"/>
      </c:lineChart>
      <c:catAx>
        <c:axId val="153012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0141856"/>
        <c:crosses val="autoZero"/>
        <c:auto val="1"/>
        <c:lblAlgn val="ctr"/>
        <c:lblOffset val="100"/>
        <c:noMultiLvlLbl val="0"/>
      </c:catAx>
      <c:valAx>
        <c:axId val="15301418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Fishing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012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Trachurus sp  </a:t>
            </a:r>
            <a:endParaRPr lang="pt-PT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38656992395182005"/>
          <c:y val="2.94117647058823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709217144929483E-2"/>
          <c:y val="9.3103362079740279E-2"/>
          <c:w val="0.81541957615882477"/>
          <c:h val="0.7532730505461066"/>
        </c:manualLayout>
      </c:layout>
      <c:lineChart>
        <c:grouping val="standard"/>
        <c:varyColors val="0"/>
        <c:ser>
          <c:idx val="0"/>
          <c:order val="0"/>
          <c:tx>
            <c:strRef>
              <c:f>'Tab&amp;Fig4.3.1b'!$C$15</c:f>
              <c:strCache>
                <c:ptCount val="1"/>
                <c:pt idx="0">
                  <c:v>Russia, Ukraine &amp; others 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'Tab&amp;Fig4.3.1b'!$D$4:$AL$4</c:f>
              <c:numCache>
                <c:formatCode>General</c:formatCod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</c:numCache>
            </c:numRef>
          </c:cat>
          <c:val>
            <c:numRef>
              <c:f>'Tab&amp;Fig4.3.1b'!$D$15:$AL$15</c:f>
              <c:numCache>
                <c:formatCode>0.0</c:formatCode>
                <c:ptCount val="35"/>
                <c:pt idx="0">
                  <c:v>12.00228862047044</c:v>
                </c:pt>
                <c:pt idx="1">
                  <c:v>13.903149138443256</c:v>
                </c:pt>
                <c:pt idx="2">
                  <c:v>11.858548585485854</c:v>
                </c:pt>
                <c:pt idx="3">
                  <c:v>14.603133829951194</c:v>
                </c:pt>
                <c:pt idx="4">
                  <c:v>15.508928571428571</c:v>
                </c:pt>
                <c:pt idx="5">
                  <c:v>7.3464067492110283</c:v>
                </c:pt>
                <c:pt idx="6">
                  <c:v>7.1635421135800907</c:v>
                </c:pt>
                <c:pt idx="7">
                  <c:v>10.753388699168934</c:v>
                </c:pt>
                <c:pt idx="8">
                  <c:v>8.5214733873154564</c:v>
                </c:pt>
                <c:pt idx="9">
                  <c:v>14.869431784237628</c:v>
                </c:pt>
                <c:pt idx="10">
                  <c:v>19.373461563997687</c:v>
                </c:pt>
                <c:pt idx="11">
                  <c:v>20.026962420869811</c:v>
                </c:pt>
                <c:pt idx="12">
                  <c:v>16.183851914350196</c:v>
                </c:pt>
                <c:pt idx="13">
                  <c:v>11.345022217653055</c:v>
                </c:pt>
                <c:pt idx="14">
                  <c:v>19.168677026926392</c:v>
                </c:pt>
                <c:pt idx="15">
                  <c:v>18.989549824071556</c:v>
                </c:pt>
                <c:pt idx="16">
                  <c:v>26.791399572649574</c:v>
                </c:pt>
                <c:pt idx="17">
                  <c:v>35.933680277555375</c:v>
                </c:pt>
                <c:pt idx="18">
                  <c:v>16.793084735250794</c:v>
                </c:pt>
                <c:pt idx="19">
                  <c:v>28.049808031545087</c:v>
                </c:pt>
                <c:pt idx="20">
                  <c:v>13.70489257054103</c:v>
                </c:pt>
                <c:pt idx="21">
                  <c:v>14.369211749352548</c:v>
                </c:pt>
                <c:pt idx="22">
                  <c:v>12.48900462962963</c:v>
                </c:pt>
                <c:pt idx="23">
                  <c:v>42.13115432354158</c:v>
                </c:pt>
                <c:pt idx="24">
                  <c:v>65.759228402571708</c:v>
                </c:pt>
                <c:pt idx="25">
                  <c:v>41.762728459530024</c:v>
                </c:pt>
                <c:pt idx="26">
                  <c:v>31.351552476263791</c:v>
                </c:pt>
                <c:pt idx="27">
                  <c:v>30.977296181630546</c:v>
                </c:pt>
                <c:pt idx="28">
                  <c:v>28.281253724228339</c:v>
                </c:pt>
                <c:pt idx="29">
                  <c:v>30.200343184238552</c:v>
                </c:pt>
                <c:pt idx="30">
                  <c:v>21.684470297902344</c:v>
                </c:pt>
                <c:pt idx="31">
                  <c:v>24.9</c:v>
                </c:pt>
                <c:pt idx="32">
                  <c:v>31.1</c:v>
                </c:pt>
                <c:pt idx="33" formatCode="General">
                  <c:v>26.7</c:v>
                </c:pt>
                <c:pt idx="34" formatCode="General">
                  <c:v>25.2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73-C84E-A1F3-5959495D3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276608"/>
        <c:axId val="68278528"/>
      </c:lineChart>
      <c:catAx>
        <c:axId val="68276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Years</a:t>
                </a:r>
              </a:p>
            </c:rich>
          </c:tx>
          <c:layout>
            <c:manualLayout>
              <c:xMode val="edge"/>
              <c:yMode val="edge"/>
              <c:x val="0.46837169392288297"/>
              <c:y val="0.869945962637033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68278528"/>
        <c:crosses val="autoZero"/>
        <c:auto val="0"/>
        <c:lblAlgn val="ctr"/>
        <c:lblOffset val="0"/>
        <c:tickLblSkip val="2"/>
        <c:tickMarkSkip val="1"/>
        <c:noMultiLvlLbl val="0"/>
      </c:catAx>
      <c:valAx>
        <c:axId val="68278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CPUE (t/fishing days)</a:t>
                </a:r>
              </a:p>
            </c:rich>
          </c:tx>
          <c:layout>
            <c:manualLayout>
              <c:xMode val="edge"/>
              <c:yMode val="edge"/>
              <c:x val="1.8695676870502251E-2"/>
              <c:y val="0.2941185685122693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68276608"/>
        <c:crosses val="autoZero"/>
        <c:crossBetween val="between"/>
        <c:majorUnit val="10"/>
        <c:minorUnit val="1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1.2486371680779585E-2"/>
          <c:y val="0.91830374144408422"/>
          <c:w val="0.96191920290473865"/>
          <c:h val="7.1895767930969412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lang="pt-PT"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5" footer="0.5"/>
    <c:pageSetup paperSize="9" orientation="landscape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Cpues</a:t>
            </a:r>
            <a:r>
              <a:rPr lang="fr-FR" baseline="0"/>
              <a:t> Russia used in assessment model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'Tab&amp;Fig4.3.1b'!$C$25</c:f>
              <c:strCache>
                <c:ptCount val="1"/>
                <c:pt idx="0">
                  <c:v>Trachurus trachurus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'Tab&amp;Fig4.3.1b'!$D$24:$AL$24</c:f>
              <c:numCache>
                <c:formatCode>General</c:formatCod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</c:numCache>
            </c:numRef>
          </c:cat>
          <c:val>
            <c:numRef>
              <c:f>'Tab&amp;Fig4.3.1b'!$D$25:$AL$25</c:f>
              <c:numCache>
                <c:formatCode>General</c:formatCode>
                <c:ptCount val="35"/>
                <c:pt idx="4" formatCode="0.0">
                  <c:v>18.600000000000001</c:v>
                </c:pt>
                <c:pt idx="5">
                  <c:v>16.7</c:v>
                </c:pt>
                <c:pt idx="6">
                  <c:v>12.9</c:v>
                </c:pt>
                <c:pt idx="7">
                  <c:v>6.9</c:v>
                </c:pt>
                <c:pt idx="8">
                  <c:v>11.1</c:v>
                </c:pt>
                <c:pt idx="9">
                  <c:v>14.1</c:v>
                </c:pt>
                <c:pt idx="10">
                  <c:v>6.4</c:v>
                </c:pt>
                <c:pt idx="11">
                  <c:v>9.9</c:v>
                </c:pt>
                <c:pt idx="12">
                  <c:v>9.6999999999999993</c:v>
                </c:pt>
                <c:pt idx="13">
                  <c:v>13.2</c:v>
                </c:pt>
                <c:pt idx="14">
                  <c:v>11.7</c:v>
                </c:pt>
                <c:pt idx="15">
                  <c:v>19.899999999999999</c:v>
                </c:pt>
                <c:pt idx="16">
                  <c:v>12.6</c:v>
                </c:pt>
                <c:pt idx="17">
                  <c:v>16.100000000000001</c:v>
                </c:pt>
                <c:pt idx="18">
                  <c:v>19.5</c:v>
                </c:pt>
                <c:pt idx="19">
                  <c:v>20.399999999999999</c:v>
                </c:pt>
                <c:pt idx="20">
                  <c:v>17.399999999999999</c:v>
                </c:pt>
                <c:pt idx="21">
                  <c:v>15.9</c:v>
                </c:pt>
                <c:pt idx="22">
                  <c:v>17.100000000000001</c:v>
                </c:pt>
                <c:pt idx="23">
                  <c:v>16.100000000000001</c:v>
                </c:pt>
                <c:pt idx="24">
                  <c:v>20.7</c:v>
                </c:pt>
                <c:pt idx="25">
                  <c:v>21.7</c:v>
                </c:pt>
                <c:pt idx="26">
                  <c:v>24.5</c:v>
                </c:pt>
                <c:pt idx="27">
                  <c:v>18.38</c:v>
                </c:pt>
                <c:pt idx="28">
                  <c:v>23.2</c:v>
                </c:pt>
                <c:pt idx="29">
                  <c:v>21.8</c:v>
                </c:pt>
                <c:pt idx="30">
                  <c:v>18.7</c:v>
                </c:pt>
                <c:pt idx="31">
                  <c:v>21.1</c:v>
                </c:pt>
                <c:pt idx="32">
                  <c:v>31.1</c:v>
                </c:pt>
                <c:pt idx="33">
                  <c:v>26.7</c:v>
                </c:pt>
                <c:pt idx="34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AC-4D63-A059-C9D13A6D3A7D}"/>
            </c:ext>
          </c:extLst>
        </c:ser>
        <c:ser>
          <c:idx val="1"/>
          <c:order val="1"/>
          <c:tx>
            <c:strRef>
              <c:f>'Tab&amp;Fig4.3.1b'!$C$26</c:f>
              <c:strCache>
                <c:ptCount val="1"/>
                <c:pt idx="0">
                  <c:v>Trachurus trecae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'Tab&amp;Fig4.3.1b'!$D$24:$AL$24</c:f>
              <c:numCache>
                <c:formatCode>General</c:formatCod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</c:numCache>
            </c:numRef>
          </c:cat>
          <c:val>
            <c:numRef>
              <c:f>'Tab&amp;Fig4.3.1b'!$D$26:$AL$26</c:f>
              <c:numCache>
                <c:formatCode>0.0</c:formatCode>
                <c:ptCount val="35"/>
                <c:pt idx="0">
                  <c:v>12.00228862047044</c:v>
                </c:pt>
                <c:pt idx="1">
                  <c:v>13.903149138443256</c:v>
                </c:pt>
                <c:pt idx="2">
                  <c:v>11.858548585485854</c:v>
                </c:pt>
                <c:pt idx="3">
                  <c:v>14.603133829951194</c:v>
                </c:pt>
                <c:pt idx="4">
                  <c:v>15.508928571428571</c:v>
                </c:pt>
                <c:pt idx="5">
                  <c:v>7.3464067492110274</c:v>
                </c:pt>
                <c:pt idx="6">
                  <c:v>7.1635421135800907</c:v>
                </c:pt>
                <c:pt idx="7">
                  <c:v>10.753388699168934</c:v>
                </c:pt>
                <c:pt idx="8">
                  <c:v>8.5214733873154564</c:v>
                </c:pt>
                <c:pt idx="9">
                  <c:v>14.869431784237626</c:v>
                </c:pt>
                <c:pt idx="10">
                  <c:v>19.373461563997687</c:v>
                </c:pt>
                <c:pt idx="11">
                  <c:v>20.026962420869811</c:v>
                </c:pt>
                <c:pt idx="12">
                  <c:v>16.183851914350196</c:v>
                </c:pt>
                <c:pt idx="13">
                  <c:v>11.345022217653055</c:v>
                </c:pt>
                <c:pt idx="14">
                  <c:v>19.168677026926392</c:v>
                </c:pt>
                <c:pt idx="15">
                  <c:v>18.989549824071556</c:v>
                </c:pt>
                <c:pt idx="16">
                  <c:v>26.791399572649574</c:v>
                </c:pt>
                <c:pt idx="17">
                  <c:v>35.933680277555375</c:v>
                </c:pt>
                <c:pt idx="18">
                  <c:v>16.793084735250794</c:v>
                </c:pt>
                <c:pt idx="19">
                  <c:v>28.049808031545084</c:v>
                </c:pt>
                <c:pt idx="20">
                  <c:v>13.70489257054103</c:v>
                </c:pt>
                <c:pt idx="21">
                  <c:v>14.369211749352546</c:v>
                </c:pt>
                <c:pt idx="22">
                  <c:v>12.48900462962963</c:v>
                </c:pt>
                <c:pt idx="23">
                  <c:v>12.279151091281804</c:v>
                </c:pt>
                <c:pt idx="24">
                  <c:v>24.118476297841465</c:v>
                </c:pt>
                <c:pt idx="25">
                  <c:v>30.8</c:v>
                </c:pt>
                <c:pt idx="26">
                  <c:v>22.3</c:v>
                </c:pt>
                <c:pt idx="27">
                  <c:v>24.9</c:v>
                </c:pt>
                <c:pt idx="28">
                  <c:v>28</c:v>
                </c:pt>
                <c:pt idx="29">
                  <c:v>18.600000000000001</c:v>
                </c:pt>
                <c:pt idx="30">
                  <c:v>24</c:v>
                </c:pt>
                <c:pt idx="31">
                  <c:v>24.9</c:v>
                </c:pt>
                <c:pt idx="32">
                  <c:v>31.8</c:v>
                </c:pt>
                <c:pt idx="33" formatCode="General">
                  <c:v>26.7</c:v>
                </c:pt>
                <c:pt idx="34" formatCode="General">
                  <c:v>25.2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AC-4D63-A059-C9D13A6D3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895176"/>
        <c:axId val="560895832"/>
      </c:lineChart>
      <c:catAx>
        <c:axId val="560895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0895832"/>
        <c:crosses val="autoZero"/>
        <c:auto val="1"/>
        <c:lblAlgn val="ctr"/>
        <c:lblOffset val="100"/>
        <c:noMultiLvlLbl val="0"/>
      </c:catAx>
      <c:valAx>
        <c:axId val="560895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0895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Regional Surveys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SERIE NANSEN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South of Cap Blanc</a:t>
            </a:r>
          </a:p>
        </c:rich>
      </c:tx>
      <c:layout>
        <c:manualLayout>
          <c:xMode val="edge"/>
          <c:yMode val="edge"/>
          <c:x val="0.42609692896668488"/>
          <c:y val="5.31678165636461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76165859380179"/>
          <c:y val="0.18750063578503784"/>
          <c:w val="0.87010751753950888"/>
          <c:h val="0.55639453863055865"/>
        </c:manualLayout>
      </c:layout>
      <c:lineChart>
        <c:grouping val="standard"/>
        <c:varyColors val="0"/>
        <c:ser>
          <c:idx val="0"/>
          <c:order val="0"/>
          <c:tx>
            <c:strRef>
              <c:f>'Tab&amp;Fig4.3.2b-OUT'!$C$3</c:f>
              <c:strCache>
                <c:ptCount val="1"/>
                <c:pt idx="0">
                  <c:v>T. trecae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0C0C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'Tab&amp;Fig4.3.2b-OUT'!$B$4:$B$34</c:f>
              <c:numCache>
                <c:formatCode>0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 formatCode="General">
                  <c:v>2005</c:v>
                </c:pt>
                <c:pt idx="11">
                  <c:v>2006</c:v>
                </c:pt>
                <c:pt idx="12" formatCode="General">
                  <c:v>2007</c:v>
                </c:pt>
                <c:pt idx="13">
                  <c:v>2008</c:v>
                </c:pt>
                <c:pt idx="14" formatCode="General">
                  <c:v>2009</c:v>
                </c:pt>
                <c:pt idx="15">
                  <c:v>2010</c:v>
                </c:pt>
                <c:pt idx="16" formatCode="General">
                  <c:v>2011</c:v>
                </c:pt>
                <c:pt idx="17">
                  <c:v>2012</c:v>
                </c:pt>
                <c:pt idx="18" formatCode="General">
                  <c:v>2013</c:v>
                </c:pt>
                <c:pt idx="19">
                  <c:v>2014</c:v>
                </c:pt>
                <c:pt idx="20" formatCode="General">
                  <c:v>2015</c:v>
                </c:pt>
                <c:pt idx="21" formatCode="General">
                  <c:v>2016</c:v>
                </c:pt>
                <c:pt idx="22" formatCode="General">
                  <c:v>2017</c:v>
                </c:pt>
                <c:pt idx="23" formatCode="General">
                  <c:v>2018</c:v>
                </c:pt>
                <c:pt idx="24" formatCode="General">
                  <c:v>2019</c:v>
                </c:pt>
                <c:pt idx="25" formatCode="General">
                  <c:v>2020</c:v>
                </c:pt>
                <c:pt idx="26" formatCode="General">
                  <c:v>2021</c:v>
                </c:pt>
                <c:pt idx="27" formatCode="General">
                  <c:v>2022</c:v>
                </c:pt>
                <c:pt idx="28" formatCode="General">
                  <c:v>2023</c:v>
                </c:pt>
                <c:pt idx="29" formatCode="General">
                  <c:v>2024</c:v>
                </c:pt>
                <c:pt idx="30" formatCode="General">
                  <c:v>2025</c:v>
                </c:pt>
              </c:numCache>
            </c:numRef>
          </c:cat>
          <c:val>
            <c:numRef>
              <c:f>'Tab&amp;Fig4.3.2b-OUT'!$C$4:$C$34</c:f>
              <c:numCache>
                <c:formatCode>General</c:formatCode>
                <c:ptCount val="31"/>
                <c:pt idx="0">
                  <c:v>80</c:v>
                </c:pt>
                <c:pt idx="1">
                  <c:v>62</c:v>
                </c:pt>
                <c:pt idx="2">
                  <c:v>150</c:v>
                </c:pt>
                <c:pt idx="3">
                  <c:v>259</c:v>
                </c:pt>
                <c:pt idx="4">
                  <c:v>296</c:v>
                </c:pt>
                <c:pt idx="5">
                  <c:v>724</c:v>
                </c:pt>
                <c:pt idx="6">
                  <c:v>0</c:v>
                </c:pt>
                <c:pt idx="7" formatCode="0">
                  <c:v>179</c:v>
                </c:pt>
                <c:pt idx="8" formatCode="0">
                  <c:v>253</c:v>
                </c:pt>
                <c:pt idx="9">
                  <c:v>74</c:v>
                </c:pt>
                <c:pt idx="10">
                  <c:v>149</c:v>
                </c:pt>
                <c:pt idx="11">
                  <c:v>84</c:v>
                </c:pt>
                <c:pt idx="12" formatCode="0">
                  <c:v>674.44444444444446</c:v>
                </c:pt>
                <c:pt idx="13">
                  <c:v>237</c:v>
                </c:pt>
                <c:pt idx="14">
                  <c:v>111</c:v>
                </c:pt>
                <c:pt idx="15" formatCode="0">
                  <c:v>179.37</c:v>
                </c:pt>
                <c:pt idx="19">
                  <c:v>380</c:v>
                </c:pt>
                <c:pt idx="20">
                  <c:v>195</c:v>
                </c:pt>
                <c:pt idx="24" formatCode="0.0">
                  <c:v>286.68299999999999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DB-044F-8D98-B579BE05D6B3}"/>
            </c:ext>
          </c:extLst>
        </c:ser>
        <c:ser>
          <c:idx val="1"/>
          <c:order val="1"/>
          <c:tx>
            <c:strRef>
              <c:f>'Tab&amp;Fig4.3.2b-OUT'!$D$3</c:f>
              <c:strCache>
                <c:ptCount val="1"/>
                <c:pt idx="0">
                  <c:v>T. trachurus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'Tab&amp;Fig4.3.2b-OUT'!$B$4:$B$34</c:f>
              <c:numCache>
                <c:formatCode>0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 formatCode="General">
                  <c:v>2005</c:v>
                </c:pt>
                <c:pt idx="11">
                  <c:v>2006</c:v>
                </c:pt>
                <c:pt idx="12" formatCode="General">
                  <c:v>2007</c:v>
                </c:pt>
                <c:pt idx="13">
                  <c:v>2008</c:v>
                </c:pt>
                <c:pt idx="14" formatCode="General">
                  <c:v>2009</c:v>
                </c:pt>
                <c:pt idx="15">
                  <c:v>2010</c:v>
                </c:pt>
                <c:pt idx="16" formatCode="General">
                  <c:v>2011</c:v>
                </c:pt>
                <c:pt idx="17">
                  <c:v>2012</c:v>
                </c:pt>
                <c:pt idx="18" formatCode="General">
                  <c:v>2013</c:v>
                </c:pt>
                <c:pt idx="19">
                  <c:v>2014</c:v>
                </c:pt>
                <c:pt idx="20" formatCode="General">
                  <c:v>2015</c:v>
                </c:pt>
                <c:pt idx="21" formatCode="General">
                  <c:v>2016</c:v>
                </c:pt>
                <c:pt idx="22" formatCode="General">
                  <c:v>2017</c:v>
                </c:pt>
                <c:pt idx="23" formatCode="General">
                  <c:v>2018</c:v>
                </c:pt>
                <c:pt idx="24" formatCode="General">
                  <c:v>2019</c:v>
                </c:pt>
                <c:pt idx="25" formatCode="General">
                  <c:v>2020</c:v>
                </c:pt>
                <c:pt idx="26" formatCode="General">
                  <c:v>2021</c:v>
                </c:pt>
                <c:pt idx="27" formatCode="General">
                  <c:v>2022</c:v>
                </c:pt>
                <c:pt idx="28" formatCode="General">
                  <c:v>2023</c:v>
                </c:pt>
                <c:pt idx="29" formatCode="General">
                  <c:v>2024</c:v>
                </c:pt>
                <c:pt idx="30" formatCode="General">
                  <c:v>2025</c:v>
                </c:pt>
              </c:numCache>
            </c:numRef>
          </c:cat>
          <c:val>
            <c:numRef>
              <c:f>'Tab&amp;Fig4.3.2b-OUT'!$D$4:$D$34</c:f>
              <c:numCache>
                <c:formatCode>General</c:formatCode>
                <c:ptCount val="31"/>
                <c:pt idx="2">
                  <c:v>12</c:v>
                </c:pt>
                <c:pt idx="6">
                  <c:v>4</c:v>
                </c:pt>
                <c:pt idx="7" formatCode="0">
                  <c:v>67</c:v>
                </c:pt>
                <c:pt idx="8" formatCode="0">
                  <c:v>3</c:v>
                </c:pt>
                <c:pt idx="12" formatCode="0">
                  <c:v>1</c:v>
                </c:pt>
                <c:pt idx="13">
                  <c:v>0</c:v>
                </c:pt>
                <c:pt idx="14">
                  <c:v>2.7</c:v>
                </c:pt>
                <c:pt idx="24" formatCode="0.0">
                  <c:v>0.92500000000000004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DB-044F-8D98-B579BE05D6B3}"/>
            </c:ext>
          </c:extLst>
        </c:ser>
        <c:ser>
          <c:idx val="3"/>
          <c:order val="2"/>
          <c:tx>
            <c:strRef>
              <c:f>'Tab&amp;Fig4.3.2b-OUT'!$E$3</c:f>
              <c:strCache>
                <c:ptCount val="1"/>
                <c:pt idx="0">
                  <c:v>Caranx rhonchus 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'Tab&amp;Fig4.3.2b-OUT'!$B$4:$B$34</c:f>
              <c:numCache>
                <c:formatCode>0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 formatCode="General">
                  <c:v>2005</c:v>
                </c:pt>
                <c:pt idx="11">
                  <c:v>2006</c:v>
                </c:pt>
                <c:pt idx="12" formatCode="General">
                  <c:v>2007</c:v>
                </c:pt>
                <c:pt idx="13">
                  <c:v>2008</c:v>
                </c:pt>
                <c:pt idx="14" formatCode="General">
                  <c:v>2009</c:v>
                </c:pt>
                <c:pt idx="15">
                  <c:v>2010</c:v>
                </c:pt>
                <c:pt idx="16" formatCode="General">
                  <c:v>2011</c:v>
                </c:pt>
                <c:pt idx="17">
                  <c:v>2012</c:v>
                </c:pt>
                <c:pt idx="18" formatCode="General">
                  <c:v>2013</c:v>
                </c:pt>
                <c:pt idx="19">
                  <c:v>2014</c:v>
                </c:pt>
                <c:pt idx="20" formatCode="General">
                  <c:v>2015</c:v>
                </c:pt>
                <c:pt idx="21" formatCode="General">
                  <c:v>2016</c:v>
                </c:pt>
                <c:pt idx="22" formatCode="General">
                  <c:v>2017</c:v>
                </c:pt>
                <c:pt idx="23" formatCode="General">
                  <c:v>2018</c:v>
                </c:pt>
                <c:pt idx="24" formatCode="General">
                  <c:v>2019</c:v>
                </c:pt>
                <c:pt idx="25" formatCode="General">
                  <c:v>2020</c:v>
                </c:pt>
                <c:pt idx="26" formatCode="General">
                  <c:v>2021</c:v>
                </c:pt>
                <c:pt idx="27" formatCode="General">
                  <c:v>2022</c:v>
                </c:pt>
                <c:pt idx="28" formatCode="General">
                  <c:v>2023</c:v>
                </c:pt>
                <c:pt idx="29" formatCode="General">
                  <c:v>2024</c:v>
                </c:pt>
                <c:pt idx="30" formatCode="General">
                  <c:v>2025</c:v>
                </c:pt>
              </c:numCache>
            </c:numRef>
          </c:cat>
          <c:val>
            <c:numRef>
              <c:f>'Tab&amp;Fig4.3.2b-OUT'!$E$4:$E$34</c:f>
              <c:numCache>
                <c:formatCode>General</c:formatCode>
                <c:ptCount val="31"/>
                <c:pt idx="12" formatCode="0">
                  <c:v>247.22222222222223</c:v>
                </c:pt>
                <c:pt idx="13">
                  <c:v>67</c:v>
                </c:pt>
                <c:pt idx="14">
                  <c:v>107</c:v>
                </c:pt>
                <c:pt idx="15" formatCode="0">
                  <c:v>100.71000000000001</c:v>
                </c:pt>
                <c:pt idx="19">
                  <c:v>91</c:v>
                </c:pt>
                <c:pt idx="20">
                  <c:v>407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DB-044F-8D98-B579BE05D6B3}"/>
            </c:ext>
          </c:extLst>
        </c:ser>
        <c:ser>
          <c:idx val="2"/>
          <c:order val="3"/>
          <c:tx>
            <c:strRef>
              <c:f>'Tab&amp;Fig4.3.2b-OUT'!$F$3</c:f>
              <c:strCache>
                <c:ptCount val="1"/>
                <c:pt idx="0">
                  <c:v>Total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'Tab&amp;Fig4.3.2b-OUT'!$B$4:$B$34</c:f>
              <c:numCache>
                <c:formatCode>0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 formatCode="General">
                  <c:v>2005</c:v>
                </c:pt>
                <c:pt idx="11">
                  <c:v>2006</c:v>
                </c:pt>
                <c:pt idx="12" formatCode="General">
                  <c:v>2007</c:v>
                </c:pt>
                <c:pt idx="13">
                  <c:v>2008</c:v>
                </c:pt>
                <c:pt idx="14" formatCode="General">
                  <c:v>2009</c:v>
                </c:pt>
                <c:pt idx="15">
                  <c:v>2010</c:v>
                </c:pt>
                <c:pt idx="16" formatCode="General">
                  <c:v>2011</c:v>
                </c:pt>
                <c:pt idx="17">
                  <c:v>2012</c:v>
                </c:pt>
                <c:pt idx="18" formatCode="General">
                  <c:v>2013</c:v>
                </c:pt>
                <c:pt idx="19">
                  <c:v>2014</c:v>
                </c:pt>
                <c:pt idx="20" formatCode="General">
                  <c:v>2015</c:v>
                </c:pt>
                <c:pt idx="21" formatCode="General">
                  <c:v>2016</c:v>
                </c:pt>
                <c:pt idx="22" formatCode="General">
                  <c:v>2017</c:v>
                </c:pt>
                <c:pt idx="23" formatCode="General">
                  <c:v>2018</c:v>
                </c:pt>
                <c:pt idx="24" formatCode="General">
                  <c:v>2019</c:v>
                </c:pt>
                <c:pt idx="25" formatCode="General">
                  <c:v>2020</c:v>
                </c:pt>
                <c:pt idx="26" formatCode="General">
                  <c:v>2021</c:v>
                </c:pt>
                <c:pt idx="27" formatCode="General">
                  <c:v>2022</c:v>
                </c:pt>
                <c:pt idx="28" formatCode="General">
                  <c:v>2023</c:v>
                </c:pt>
                <c:pt idx="29" formatCode="General">
                  <c:v>2024</c:v>
                </c:pt>
                <c:pt idx="30" formatCode="General">
                  <c:v>2025</c:v>
                </c:pt>
              </c:numCache>
            </c:numRef>
          </c:cat>
          <c:val>
            <c:numRef>
              <c:f>'Tab&amp;Fig4.3.2b-OUT'!$F$4:$F$34</c:f>
              <c:numCache>
                <c:formatCode>0</c:formatCode>
                <c:ptCount val="31"/>
                <c:pt idx="0">
                  <c:v>80</c:v>
                </c:pt>
                <c:pt idx="1">
                  <c:v>62</c:v>
                </c:pt>
                <c:pt idx="2">
                  <c:v>162</c:v>
                </c:pt>
                <c:pt idx="3">
                  <c:v>259</c:v>
                </c:pt>
                <c:pt idx="4">
                  <c:v>296</c:v>
                </c:pt>
                <c:pt idx="5">
                  <c:v>724</c:v>
                </c:pt>
                <c:pt idx="6">
                  <c:v>4</c:v>
                </c:pt>
                <c:pt idx="7">
                  <c:v>246</c:v>
                </c:pt>
                <c:pt idx="8">
                  <c:v>256</c:v>
                </c:pt>
                <c:pt idx="9">
                  <c:v>74</c:v>
                </c:pt>
                <c:pt idx="10">
                  <c:v>149</c:v>
                </c:pt>
                <c:pt idx="11">
                  <c:v>84</c:v>
                </c:pt>
                <c:pt idx="12">
                  <c:v>922.66666666666674</c:v>
                </c:pt>
                <c:pt idx="13">
                  <c:v>304</c:v>
                </c:pt>
                <c:pt idx="14">
                  <c:v>220.7</c:v>
                </c:pt>
                <c:pt idx="15">
                  <c:v>280.08000000000004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471</c:v>
                </c:pt>
                <c:pt idx="20">
                  <c:v>602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287.608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DB-044F-8D98-B579BE05D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065024"/>
        <c:axId val="72067328"/>
      </c:lineChart>
      <c:catAx>
        <c:axId val="72065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Years</a:t>
                </a:r>
              </a:p>
            </c:rich>
          </c:tx>
          <c:layout>
            <c:manualLayout>
              <c:xMode val="edge"/>
              <c:yMode val="edge"/>
              <c:x val="0.48891786615845739"/>
              <c:y val="0.8313298622688570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7206732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7206732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Biomass (t x 1000 ) .</a:t>
                </a:r>
              </a:p>
            </c:rich>
          </c:tx>
          <c:layout>
            <c:manualLayout>
              <c:xMode val="edge"/>
              <c:yMode val="edge"/>
              <c:x val="9.1074443720014584E-3"/>
              <c:y val="0.173611702445989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72065024"/>
        <c:crosses val="autoZero"/>
        <c:crossBetween val="between"/>
        <c:majorUnit val="200"/>
        <c:minorUnit val="200"/>
      </c:valAx>
      <c:spPr>
        <a:noFill/>
        <a:ln w="25400">
          <a:noFill/>
        </a:ln>
      </c:spPr>
    </c:plotArea>
    <c:legend>
      <c:legendPos val="b"/>
      <c:legendEntry>
        <c:idx val="3"/>
        <c:txPr>
          <a:bodyPr/>
          <a:lstStyle/>
          <a:p>
            <a:pPr>
              <a:defRPr sz="92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</c:legendEntry>
      <c:layout>
        <c:manualLayout>
          <c:xMode val="edge"/>
          <c:yMode val="edge"/>
          <c:x val="0.12980774696156611"/>
          <c:y val="0.92578487949592614"/>
          <c:w val="0.7403846732534316"/>
          <c:h val="6.9872015183769953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lang="pt-PT" sz="920" b="0" i="1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Regional Surveys 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Trachurus trecae </a:t>
            </a:r>
            <a:endParaRPr lang="pt-PT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Senegal + Gambia</a:t>
            </a:r>
          </a:p>
        </c:rich>
      </c:tx>
      <c:layout>
        <c:manualLayout>
          <c:xMode val="edge"/>
          <c:yMode val="edge"/>
          <c:x val="0.40489723078849726"/>
          <c:y val="3.74529711117300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415506958250506E-2"/>
          <c:y val="0.17307746481077479"/>
          <c:w val="0.84890656063618364"/>
          <c:h val="0.61218140331220061"/>
        </c:manualLayout>
      </c:layout>
      <c:lineChart>
        <c:grouping val="standard"/>
        <c:varyColors val="0"/>
        <c:ser>
          <c:idx val="0"/>
          <c:order val="0"/>
          <c:tx>
            <c:strRef>
              <c:f>'Tab&amp;Fig4.3.2cOUT'!$C$3</c:f>
              <c:strCache>
                <c:ptCount val="1"/>
                <c:pt idx="0">
                  <c:v>T. trecae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0C0C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'Tab&amp;Fig4.3.2cOUT'!$B$4:$B$33</c:f>
              <c:numCache>
                <c:formatCode>0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 formatCode="General">
                  <c:v>2005</c:v>
                </c:pt>
                <c:pt idx="11">
                  <c:v>2006</c:v>
                </c:pt>
                <c:pt idx="12" formatCode="General">
                  <c:v>2007</c:v>
                </c:pt>
                <c:pt idx="13">
                  <c:v>2008</c:v>
                </c:pt>
                <c:pt idx="14" formatCode="General">
                  <c:v>2009</c:v>
                </c:pt>
                <c:pt idx="15">
                  <c:v>2010</c:v>
                </c:pt>
                <c:pt idx="16" formatCode="General">
                  <c:v>2011</c:v>
                </c:pt>
                <c:pt idx="17">
                  <c:v>2012</c:v>
                </c:pt>
                <c:pt idx="18" formatCode="General">
                  <c:v>2013</c:v>
                </c:pt>
                <c:pt idx="19">
                  <c:v>2014</c:v>
                </c:pt>
                <c:pt idx="20" formatCode="General">
                  <c:v>2015</c:v>
                </c:pt>
                <c:pt idx="21">
                  <c:v>2016</c:v>
                </c:pt>
                <c:pt idx="22" formatCode="General">
                  <c:v>2017</c:v>
                </c:pt>
                <c:pt idx="23" formatCode="General">
                  <c:v>2018</c:v>
                </c:pt>
                <c:pt idx="24" formatCode="General">
                  <c:v>2019</c:v>
                </c:pt>
                <c:pt idx="25" formatCode="General">
                  <c:v>2021</c:v>
                </c:pt>
                <c:pt idx="26" formatCode="General">
                  <c:v>2022</c:v>
                </c:pt>
                <c:pt idx="27" formatCode="General">
                  <c:v>2023</c:v>
                </c:pt>
                <c:pt idx="28" formatCode="General">
                  <c:v>2024</c:v>
                </c:pt>
                <c:pt idx="29" formatCode="General">
                  <c:v>2025</c:v>
                </c:pt>
              </c:numCache>
            </c:numRef>
          </c:cat>
          <c:val>
            <c:numRef>
              <c:f>'Tab&amp;Fig4.3.2cOUT'!$C$4:$C$33</c:f>
              <c:numCache>
                <c:formatCode>General</c:formatCode>
                <c:ptCount val="30"/>
                <c:pt idx="0">
                  <c:v>10</c:v>
                </c:pt>
                <c:pt idx="4">
                  <c:v>67</c:v>
                </c:pt>
                <c:pt idx="5">
                  <c:v>8</c:v>
                </c:pt>
                <c:pt idx="6">
                  <c:v>125</c:v>
                </c:pt>
                <c:pt idx="7" formatCode="0">
                  <c:v>50</c:v>
                </c:pt>
                <c:pt idx="8" formatCode="0">
                  <c:v>134</c:v>
                </c:pt>
                <c:pt idx="9" formatCode="0">
                  <c:v>76</c:v>
                </c:pt>
                <c:pt idx="10">
                  <c:v>81</c:v>
                </c:pt>
                <c:pt idx="11">
                  <c:v>46</c:v>
                </c:pt>
                <c:pt idx="12" formatCode="0.0">
                  <c:v>43.163841807909606</c:v>
                </c:pt>
                <c:pt idx="13">
                  <c:v>39</c:v>
                </c:pt>
                <c:pt idx="14">
                  <c:v>47</c:v>
                </c:pt>
                <c:pt idx="15" formatCode="0">
                  <c:v>65.105803800719059</c:v>
                </c:pt>
                <c:pt idx="16" formatCode="0">
                  <c:v>64.933604146238977</c:v>
                </c:pt>
                <c:pt idx="17" formatCode="0">
                  <c:v>70.109386341351609</c:v>
                </c:pt>
                <c:pt idx="18" formatCode="0">
                  <c:v>65.119330554201753</c:v>
                </c:pt>
                <c:pt idx="19" formatCode="0">
                  <c:v>66.631263609621925</c:v>
                </c:pt>
                <c:pt idx="20">
                  <c:v>80.3</c:v>
                </c:pt>
                <c:pt idx="24" formatCode="0">
                  <c:v>188.69900000000001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E3-CB42-9734-19B4743E8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94016"/>
        <c:axId val="69112960"/>
      </c:lineChart>
      <c:catAx>
        <c:axId val="69094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Years</a:t>
                </a:r>
              </a:p>
            </c:rich>
          </c:tx>
          <c:layout>
            <c:manualLayout>
              <c:xMode val="edge"/>
              <c:yMode val="edge"/>
              <c:x val="0.49900596421471777"/>
              <c:y val="0.8814131031048770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6911296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9112960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Biomass (tx 1000) .</a:t>
                </a:r>
              </a:p>
            </c:rich>
          </c:tx>
          <c:layout>
            <c:manualLayout>
              <c:xMode val="edge"/>
              <c:yMode val="edge"/>
              <c:x val="1.1128608923884514E-2"/>
              <c:y val="0.307495421593201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69094016"/>
        <c:crosses val="autoZero"/>
        <c:crossBetween val="between"/>
        <c:majorUnit val="40"/>
        <c:minorUnit val="4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Regional Surveys
Total sub-region</a:t>
            </a:r>
          </a:p>
        </c:rich>
      </c:tx>
      <c:layout>
        <c:manualLayout>
          <c:xMode val="edge"/>
          <c:yMode val="edge"/>
          <c:x val="0.46047431850452381"/>
          <c:y val="3.47003846741379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89066885987328"/>
          <c:y val="0.20370422997331239"/>
          <c:w val="0.86795627635034034"/>
          <c:h val="0.48941925383198431"/>
        </c:manualLayout>
      </c:layout>
      <c:lineChart>
        <c:grouping val="standard"/>
        <c:varyColors val="0"/>
        <c:ser>
          <c:idx val="0"/>
          <c:order val="0"/>
          <c:tx>
            <c:strRef>
              <c:f>'Tab&amp;Fig4.3.2dOUT'!$C$3</c:f>
              <c:strCache>
                <c:ptCount val="1"/>
                <c:pt idx="0">
                  <c:v>T. trecae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'Tab&amp;Fig4.3.2dOUT'!$B$4:$B$34</c:f>
              <c:numCache>
                <c:formatCode>0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 formatCode="General">
                  <c:v>2005</c:v>
                </c:pt>
                <c:pt idx="11">
                  <c:v>2006</c:v>
                </c:pt>
                <c:pt idx="12" formatCode="General">
                  <c:v>2007</c:v>
                </c:pt>
                <c:pt idx="13" formatCode="General">
                  <c:v>2008</c:v>
                </c:pt>
                <c:pt idx="14" formatCode="General">
                  <c:v>2009</c:v>
                </c:pt>
                <c:pt idx="15" formatCode="General">
                  <c:v>2010</c:v>
                </c:pt>
                <c:pt idx="16" formatCode="General">
                  <c:v>2011</c:v>
                </c:pt>
                <c:pt idx="17" formatCode="General">
                  <c:v>2012</c:v>
                </c:pt>
                <c:pt idx="18" formatCode="General">
                  <c:v>2013</c:v>
                </c:pt>
                <c:pt idx="19" formatCode="General">
                  <c:v>2014</c:v>
                </c:pt>
                <c:pt idx="20" formatCode="General">
                  <c:v>2015</c:v>
                </c:pt>
                <c:pt idx="21" formatCode="General">
                  <c:v>2016</c:v>
                </c:pt>
                <c:pt idx="22" formatCode="General">
                  <c:v>2017</c:v>
                </c:pt>
                <c:pt idx="23" formatCode="General">
                  <c:v>2018</c:v>
                </c:pt>
                <c:pt idx="24" formatCode="General">
                  <c:v>2019</c:v>
                </c:pt>
                <c:pt idx="25" formatCode="General">
                  <c:v>2020</c:v>
                </c:pt>
                <c:pt idx="26" formatCode="General">
                  <c:v>2021</c:v>
                </c:pt>
                <c:pt idx="27" formatCode="General">
                  <c:v>2022</c:v>
                </c:pt>
                <c:pt idx="28" formatCode="General">
                  <c:v>2023</c:v>
                </c:pt>
                <c:pt idx="29" formatCode="General">
                  <c:v>2024</c:v>
                </c:pt>
                <c:pt idx="30" formatCode="General">
                  <c:v>2025</c:v>
                </c:pt>
              </c:numCache>
            </c:numRef>
          </c:cat>
          <c:val>
            <c:numRef>
              <c:f>'Tab&amp;Fig4.3.2dOUT'!$C$4:$C$34</c:f>
              <c:numCache>
                <c:formatCode>0</c:formatCode>
                <c:ptCount val="31"/>
                <c:pt idx="0">
                  <c:v>180</c:v>
                </c:pt>
                <c:pt idx="1">
                  <c:v>662</c:v>
                </c:pt>
                <c:pt idx="2">
                  <c:v>655</c:v>
                </c:pt>
                <c:pt idx="3">
                  <c:v>799</c:v>
                </c:pt>
                <c:pt idx="4">
                  <c:v>653</c:v>
                </c:pt>
                <c:pt idx="5">
                  <c:v>1762</c:v>
                </c:pt>
                <c:pt idx="6">
                  <c:v>365</c:v>
                </c:pt>
                <c:pt idx="7">
                  <c:v>578.77600000000007</c:v>
                </c:pt>
                <c:pt idx="8">
                  <c:v>387</c:v>
                </c:pt>
                <c:pt idx="9" formatCode="General">
                  <c:v>727</c:v>
                </c:pt>
                <c:pt idx="10">
                  <c:v>1212.636</c:v>
                </c:pt>
                <c:pt idx="11" formatCode="General">
                  <c:v>402</c:v>
                </c:pt>
                <c:pt idx="12" formatCode="General">
                  <c:v>986</c:v>
                </c:pt>
                <c:pt idx="13" formatCode="General">
                  <c:v>644</c:v>
                </c:pt>
                <c:pt idx="14" formatCode="General">
                  <c:v>958</c:v>
                </c:pt>
                <c:pt idx="15" formatCode="General">
                  <c:v>318</c:v>
                </c:pt>
                <c:pt idx="16" formatCode="General">
                  <c:v>107</c:v>
                </c:pt>
                <c:pt idx="20" formatCode="General">
                  <c:v>542</c:v>
                </c:pt>
                <c:pt idx="24">
                  <c:v>527.87415259323825</c:v>
                </c:pt>
                <c:pt idx="27">
                  <c:v>122.22222222222221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0A-CA4D-873F-47BE55DE34CC}"/>
            </c:ext>
          </c:extLst>
        </c:ser>
        <c:ser>
          <c:idx val="1"/>
          <c:order val="1"/>
          <c:tx>
            <c:strRef>
              <c:f>'Tab&amp;Fig4.3.2dOUT'!$D$3</c:f>
              <c:strCache>
                <c:ptCount val="1"/>
                <c:pt idx="0">
                  <c:v>T. trachurus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'Tab&amp;Fig4.3.2dOUT'!$B$4:$B$34</c:f>
              <c:numCache>
                <c:formatCode>0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 formatCode="General">
                  <c:v>2005</c:v>
                </c:pt>
                <c:pt idx="11">
                  <c:v>2006</c:v>
                </c:pt>
                <c:pt idx="12" formatCode="General">
                  <c:v>2007</c:v>
                </c:pt>
                <c:pt idx="13" formatCode="General">
                  <c:v>2008</c:v>
                </c:pt>
                <c:pt idx="14" formatCode="General">
                  <c:v>2009</c:v>
                </c:pt>
                <c:pt idx="15" formatCode="General">
                  <c:v>2010</c:v>
                </c:pt>
                <c:pt idx="16" formatCode="General">
                  <c:v>2011</c:v>
                </c:pt>
                <c:pt idx="17" formatCode="General">
                  <c:v>2012</c:v>
                </c:pt>
                <c:pt idx="18" formatCode="General">
                  <c:v>2013</c:v>
                </c:pt>
                <c:pt idx="19" formatCode="General">
                  <c:v>2014</c:v>
                </c:pt>
                <c:pt idx="20" formatCode="General">
                  <c:v>2015</c:v>
                </c:pt>
                <c:pt idx="21" formatCode="General">
                  <c:v>2016</c:v>
                </c:pt>
                <c:pt idx="22" formatCode="General">
                  <c:v>2017</c:v>
                </c:pt>
                <c:pt idx="23" formatCode="General">
                  <c:v>2018</c:v>
                </c:pt>
                <c:pt idx="24" formatCode="General">
                  <c:v>2019</c:v>
                </c:pt>
                <c:pt idx="25" formatCode="General">
                  <c:v>2020</c:v>
                </c:pt>
                <c:pt idx="26" formatCode="General">
                  <c:v>2021</c:v>
                </c:pt>
                <c:pt idx="27" formatCode="General">
                  <c:v>2022</c:v>
                </c:pt>
                <c:pt idx="28" formatCode="General">
                  <c:v>2023</c:v>
                </c:pt>
                <c:pt idx="29" formatCode="General">
                  <c:v>2024</c:v>
                </c:pt>
                <c:pt idx="30" formatCode="General">
                  <c:v>2025</c:v>
                </c:pt>
              </c:numCache>
            </c:numRef>
          </c:cat>
          <c:val>
            <c:numRef>
              <c:f>'Tab&amp;Fig4.3.2dOUT'!$D$4:$D$34</c:f>
              <c:numCache>
                <c:formatCode>0</c:formatCode>
                <c:ptCount val="31"/>
                <c:pt idx="0">
                  <c:v>260</c:v>
                </c:pt>
                <c:pt idx="1">
                  <c:v>450</c:v>
                </c:pt>
                <c:pt idx="2">
                  <c:v>540</c:v>
                </c:pt>
                <c:pt idx="3">
                  <c:v>180</c:v>
                </c:pt>
                <c:pt idx="4">
                  <c:v>100</c:v>
                </c:pt>
                <c:pt idx="5">
                  <c:v>280</c:v>
                </c:pt>
                <c:pt idx="6">
                  <c:v>122</c:v>
                </c:pt>
                <c:pt idx="7">
                  <c:v>281</c:v>
                </c:pt>
                <c:pt idx="8">
                  <c:v>320</c:v>
                </c:pt>
                <c:pt idx="9" formatCode="General">
                  <c:v>179</c:v>
                </c:pt>
                <c:pt idx="10">
                  <c:v>140</c:v>
                </c:pt>
                <c:pt idx="11" formatCode="General">
                  <c:v>40</c:v>
                </c:pt>
                <c:pt idx="12" formatCode="General">
                  <c:v>448</c:v>
                </c:pt>
                <c:pt idx="13" formatCode="General">
                  <c:v>326</c:v>
                </c:pt>
                <c:pt idx="14">
                  <c:v>152.69999999999999</c:v>
                </c:pt>
                <c:pt idx="15">
                  <c:v>123</c:v>
                </c:pt>
                <c:pt idx="16" formatCode="General">
                  <c:v>188</c:v>
                </c:pt>
                <c:pt idx="20" formatCode="General">
                  <c:v>405</c:v>
                </c:pt>
                <c:pt idx="24">
                  <c:v>686.44140865814825</c:v>
                </c:pt>
                <c:pt idx="25" formatCode="General">
                  <c:v>0</c:v>
                </c:pt>
                <c:pt idx="26" formatCode="General">
                  <c:v>0</c:v>
                </c:pt>
                <c:pt idx="27">
                  <c:v>920.37037037037021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0A-CA4D-873F-47BE55DE34CC}"/>
            </c:ext>
          </c:extLst>
        </c:ser>
        <c:ser>
          <c:idx val="2"/>
          <c:order val="2"/>
          <c:tx>
            <c:strRef>
              <c:f>'Tab&amp;Fig4.3.2dOUT'!$E$3</c:f>
              <c:strCache>
                <c:ptCount val="1"/>
                <c:pt idx="0">
                  <c:v>total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'Tab&amp;Fig4.3.2dOUT'!$B$4:$B$34</c:f>
              <c:numCache>
                <c:formatCode>0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 formatCode="General">
                  <c:v>2005</c:v>
                </c:pt>
                <c:pt idx="11">
                  <c:v>2006</c:v>
                </c:pt>
                <c:pt idx="12" formatCode="General">
                  <c:v>2007</c:v>
                </c:pt>
                <c:pt idx="13" formatCode="General">
                  <c:v>2008</c:v>
                </c:pt>
                <c:pt idx="14" formatCode="General">
                  <c:v>2009</c:v>
                </c:pt>
                <c:pt idx="15" formatCode="General">
                  <c:v>2010</c:v>
                </c:pt>
                <c:pt idx="16" formatCode="General">
                  <c:v>2011</c:v>
                </c:pt>
                <c:pt idx="17" formatCode="General">
                  <c:v>2012</c:v>
                </c:pt>
                <c:pt idx="18" formatCode="General">
                  <c:v>2013</c:v>
                </c:pt>
                <c:pt idx="19" formatCode="General">
                  <c:v>2014</c:v>
                </c:pt>
                <c:pt idx="20" formatCode="General">
                  <c:v>2015</c:v>
                </c:pt>
                <c:pt idx="21" formatCode="General">
                  <c:v>2016</c:v>
                </c:pt>
                <c:pt idx="22" formatCode="General">
                  <c:v>2017</c:v>
                </c:pt>
                <c:pt idx="23" formatCode="General">
                  <c:v>2018</c:v>
                </c:pt>
                <c:pt idx="24" formatCode="General">
                  <c:v>2019</c:v>
                </c:pt>
                <c:pt idx="25" formatCode="General">
                  <c:v>2020</c:v>
                </c:pt>
                <c:pt idx="26" formatCode="General">
                  <c:v>2021</c:v>
                </c:pt>
                <c:pt idx="27" formatCode="General">
                  <c:v>2022</c:v>
                </c:pt>
                <c:pt idx="28" formatCode="General">
                  <c:v>2023</c:v>
                </c:pt>
                <c:pt idx="29" formatCode="General">
                  <c:v>2024</c:v>
                </c:pt>
                <c:pt idx="30" formatCode="General">
                  <c:v>2025</c:v>
                </c:pt>
              </c:numCache>
            </c:numRef>
          </c:cat>
          <c:val>
            <c:numRef>
              <c:f>'Tab&amp;Fig4.3.2dOUT'!$E$4:$E$34</c:f>
              <c:numCache>
                <c:formatCode>0</c:formatCode>
                <c:ptCount val="31"/>
                <c:pt idx="0">
                  <c:v>440</c:v>
                </c:pt>
                <c:pt idx="1">
                  <c:v>1112</c:v>
                </c:pt>
                <c:pt idx="2">
                  <c:v>1195</c:v>
                </c:pt>
                <c:pt idx="3">
                  <c:v>979</c:v>
                </c:pt>
                <c:pt idx="4">
                  <c:v>753</c:v>
                </c:pt>
                <c:pt idx="5">
                  <c:v>2042</c:v>
                </c:pt>
                <c:pt idx="6">
                  <c:v>487</c:v>
                </c:pt>
                <c:pt idx="7">
                  <c:v>859.77600000000007</c:v>
                </c:pt>
                <c:pt idx="8">
                  <c:v>707</c:v>
                </c:pt>
                <c:pt idx="9" formatCode="General">
                  <c:v>906</c:v>
                </c:pt>
                <c:pt idx="10">
                  <c:v>1352.636</c:v>
                </c:pt>
                <c:pt idx="11">
                  <c:v>442</c:v>
                </c:pt>
                <c:pt idx="12" formatCode="General">
                  <c:v>1434</c:v>
                </c:pt>
                <c:pt idx="13" formatCode="General">
                  <c:v>970</c:v>
                </c:pt>
                <c:pt idx="14">
                  <c:v>1110.7</c:v>
                </c:pt>
                <c:pt idx="15">
                  <c:v>441</c:v>
                </c:pt>
                <c:pt idx="16">
                  <c:v>295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947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1214.3155612513865</c:v>
                </c:pt>
                <c:pt idx="25" formatCode="General">
                  <c:v>679</c:v>
                </c:pt>
                <c:pt idx="26" formatCode="General">
                  <c:v>526</c:v>
                </c:pt>
                <c:pt idx="27">
                  <c:v>1042.5925925925924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0A-CA4D-873F-47BE55DE3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73440"/>
        <c:axId val="83380096"/>
      </c:lineChart>
      <c:catAx>
        <c:axId val="83373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Years</a:t>
                </a:r>
              </a:p>
            </c:rich>
          </c:tx>
          <c:layout>
            <c:manualLayout>
              <c:xMode val="edge"/>
              <c:yMode val="edge"/>
              <c:x val="0.51642058900609933"/>
              <c:y val="0.7868874723992919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3380096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833800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Biomass (t x 1000) .</a:t>
                </a:r>
              </a:p>
            </c:rich>
          </c:tx>
          <c:layout>
            <c:manualLayout>
              <c:xMode val="edge"/>
              <c:yMode val="edge"/>
              <c:x val="9.8815963950857483E-3"/>
              <c:y val="0.3406938021636184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337344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920" b="0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</c:legendEntry>
      <c:legendEntry>
        <c:idx val="1"/>
        <c:txPr>
          <a:bodyPr/>
          <a:lstStyle/>
          <a:p>
            <a:pPr>
              <a:defRPr sz="920" b="0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</c:legendEntry>
      <c:layout>
        <c:manualLayout>
          <c:xMode val="edge"/>
          <c:yMode val="edge"/>
          <c:x val="0.31562043567207454"/>
          <c:y val="0.91534641503145442"/>
          <c:w val="0.42351111476192155"/>
          <c:h val="6.3492341235124122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lang="pt-PT"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/>
              <a:t>Regional Surveys
SERIE NANSEN
North of Cap Blanc</a:t>
            </a:r>
          </a:p>
        </c:rich>
      </c:tx>
      <c:layout>
        <c:manualLayout>
          <c:xMode val="edge"/>
          <c:yMode val="edge"/>
          <c:x val="0.4454697202483836"/>
          <c:y val="1.62866459874333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5709725192295481E-2"/>
          <c:y val="7.778195867109533E-2"/>
          <c:w val="0.88283970651511701"/>
          <c:h val="0.68322672055373612"/>
        </c:manualLayout>
      </c:layout>
      <c:lineChart>
        <c:grouping val="standard"/>
        <c:varyColors val="0"/>
        <c:ser>
          <c:idx val="0"/>
          <c:order val="0"/>
          <c:tx>
            <c:strRef>
              <c:f>'Tab&amp;Fig4.3.2aB'!$C$2</c:f>
              <c:strCache>
                <c:ptCount val="1"/>
                <c:pt idx="0">
                  <c:v>T. trecae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square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'Tab&amp;Fig4.3.2aB'!$B$3:$B$33</c:f>
              <c:numCache>
                <c:formatCode>0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 formatCode="General">
                  <c:v>2005</c:v>
                </c:pt>
                <c:pt idx="11">
                  <c:v>2006</c:v>
                </c:pt>
                <c:pt idx="12" formatCode="General">
                  <c:v>2007</c:v>
                </c:pt>
                <c:pt idx="13">
                  <c:v>2008</c:v>
                </c:pt>
                <c:pt idx="14" formatCode="General">
                  <c:v>2009</c:v>
                </c:pt>
                <c:pt idx="15">
                  <c:v>2010</c:v>
                </c:pt>
                <c:pt idx="16" formatCode="General">
                  <c:v>2011</c:v>
                </c:pt>
                <c:pt idx="17">
                  <c:v>2012</c:v>
                </c:pt>
                <c:pt idx="18" formatCode="General">
                  <c:v>2013</c:v>
                </c:pt>
                <c:pt idx="19">
                  <c:v>2014</c:v>
                </c:pt>
                <c:pt idx="20" formatCode="General">
                  <c:v>2015</c:v>
                </c:pt>
                <c:pt idx="21">
                  <c:v>2016</c:v>
                </c:pt>
                <c:pt idx="22" formatCode="General">
                  <c:v>2017</c:v>
                </c:pt>
                <c:pt idx="23" formatCode="General">
                  <c:v>2018</c:v>
                </c:pt>
                <c:pt idx="24" formatCode="General">
                  <c:v>2019</c:v>
                </c:pt>
                <c:pt idx="25" formatCode="General">
                  <c:v>2020</c:v>
                </c:pt>
                <c:pt idx="26" formatCode="General">
                  <c:v>2021</c:v>
                </c:pt>
                <c:pt idx="27" formatCode="General">
                  <c:v>2022</c:v>
                </c:pt>
                <c:pt idx="28" formatCode="General">
                  <c:v>2023</c:v>
                </c:pt>
                <c:pt idx="29" formatCode="General">
                  <c:v>2024</c:v>
                </c:pt>
                <c:pt idx="30" formatCode="General">
                  <c:v>2025</c:v>
                </c:pt>
              </c:numCache>
            </c:numRef>
          </c:cat>
          <c:val>
            <c:numRef>
              <c:f>'Tab&amp;Fig4.3.2aB'!$C$3:$C$33</c:f>
              <c:numCache>
                <c:formatCode>General</c:formatCode>
                <c:ptCount val="31"/>
                <c:pt idx="0">
                  <c:v>90</c:v>
                </c:pt>
                <c:pt idx="1">
                  <c:v>600</c:v>
                </c:pt>
                <c:pt idx="2">
                  <c:v>505</c:v>
                </c:pt>
                <c:pt idx="3">
                  <c:v>540</c:v>
                </c:pt>
                <c:pt idx="4">
                  <c:v>290</c:v>
                </c:pt>
                <c:pt idx="5">
                  <c:v>1030</c:v>
                </c:pt>
                <c:pt idx="6">
                  <c:v>240</c:v>
                </c:pt>
                <c:pt idx="7" formatCode="0">
                  <c:v>350</c:v>
                </c:pt>
                <c:pt idx="9">
                  <c:v>577</c:v>
                </c:pt>
                <c:pt idx="10">
                  <c:v>982</c:v>
                </c:pt>
                <c:pt idx="11">
                  <c:v>272</c:v>
                </c:pt>
                <c:pt idx="12" formatCode="0">
                  <c:v>268.51851851851848</c:v>
                </c:pt>
                <c:pt idx="13">
                  <c:v>368</c:v>
                </c:pt>
                <c:pt idx="14" formatCode="0">
                  <c:v>800.28000000000009</c:v>
                </c:pt>
                <c:pt idx="15" formatCode="0">
                  <c:v>139.32000000000002</c:v>
                </c:pt>
                <c:pt idx="16">
                  <c:v>107</c:v>
                </c:pt>
                <c:pt idx="17">
                  <c:v>213</c:v>
                </c:pt>
                <c:pt idx="18" formatCode="0">
                  <c:v>126.11111111111109</c:v>
                </c:pt>
                <c:pt idx="19">
                  <c:v>16</c:v>
                </c:pt>
                <c:pt idx="22" formatCode="0">
                  <c:v>10.141141141141141</c:v>
                </c:pt>
                <c:pt idx="24" formatCode="0">
                  <c:v>52.492152593238316</c:v>
                </c:pt>
                <c:pt idx="27" formatCode="0">
                  <c:v>2777.4070000000002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EC-C541-B057-17E747FD9E65}"/>
            </c:ext>
          </c:extLst>
        </c:ser>
        <c:ser>
          <c:idx val="1"/>
          <c:order val="1"/>
          <c:tx>
            <c:strRef>
              <c:f>'Tab&amp;Fig4.3.2aB'!$D$2</c:f>
              <c:strCache>
                <c:ptCount val="1"/>
                <c:pt idx="0">
                  <c:v>T. trachurus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'Tab&amp;Fig4.3.2aB'!$B$3:$B$33</c:f>
              <c:numCache>
                <c:formatCode>0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 formatCode="General">
                  <c:v>2005</c:v>
                </c:pt>
                <c:pt idx="11">
                  <c:v>2006</c:v>
                </c:pt>
                <c:pt idx="12" formatCode="General">
                  <c:v>2007</c:v>
                </c:pt>
                <c:pt idx="13">
                  <c:v>2008</c:v>
                </c:pt>
                <c:pt idx="14" formatCode="General">
                  <c:v>2009</c:v>
                </c:pt>
                <c:pt idx="15">
                  <c:v>2010</c:v>
                </c:pt>
                <c:pt idx="16" formatCode="General">
                  <c:v>2011</c:v>
                </c:pt>
                <c:pt idx="17">
                  <c:v>2012</c:v>
                </c:pt>
                <c:pt idx="18" formatCode="General">
                  <c:v>2013</c:v>
                </c:pt>
                <c:pt idx="19">
                  <c:v>2014</c:v>
                </c:pt>
                <c:pt idx="20" formatCode="General">
                  <c:v>2015</c:v>
                </c:pt>
                <c:pt idx="21">
                  <c:v>2016</c:v>
                </c:pt>
                <c:pt idx="22" formatCode="General">
                  <c:v>2017</c:v>
                </c:pt>
                <c:pt idx="23" formatCode="General">
                  <c:v>2018</c:v>
                </c:pt>
                <c:pt idx="24" formatCode="General">
                  <c:v>2019</c:v>
                </c:pt>
                <c:pt idx="25" formatCode="General">
                  <c:v>2020</c:v>
                </c:pt>
                <c:pt idx="26" formatCode="General">
                  <c:v>2021</c:v>
                </c:pt>
                <c:pt idx="27" formatCode="General">
                  <c:v>2022</c:v>
                </c:pt>
                <c:pt idx="28" formatCode="General">
                  <c:v>2023</c:v>
                </c:pt>
                <c:pt idx="29" formatCode="General">
                  <c:v>2024</c:v>
                </c:pt>
                <c:pt idx="30" formatCode="General">
                  <c:v>2025</c:v>
                </c:pt>
              </c:numCache>
            </c:numRef>
          </c:cat>
          <c:val>
            <c:numRef>
              <c:f>'Tab&amp;Fig4.3.2aB'!$D$3:$D$33</c:f>
              <c:numCache>
                <c:formatCode>General</c:formatCode>
                <c:ptCount val="31"/>
                <c:pt idx="0">
                  <c:v>258</c:v>
                </c:pt>
                <c:pt idx="1">
                  <c:v>450</c:v>
                </c:pt>
                <c:pt idx="2">
                  <c:v>530</c:v>
                </c:pt>
                <c:pt idx="3">
                  <c:v>180</c:v>
                </c:pt>
                <c:pt idx="4">
                  <c:v>140</c:v>
                </c:pt>
                <c:pt idx="5">
                  <c:v>280</c:v>
                </c:pt>
                <c:pt idx="6">
                  <c:v>125</c:v>
                </c:pt>
                <c:pt idx="7" formatCode="0">
                  <c:v>214</c:v>
                </c:pt>
                <c:pt idx="8" formatCode="0">
                  <c:v>317</c:v>
                </c:pt>
                <c:pt idx="9">
                  <c:v>170</c:v>
                </c:pt>
                <c:pt idx="10">
                  <c:v>144</c:v>
                </c:pt>
                <c:pt idx="11">
                  <c:v>40</c:v>
                </c:pt>
                <c:pt idx="12" formatCode="0">
                  <c:v>449.07407407407402</c:v>
                </c:pt>
                <c:pt idx="13">
                  <c:v>352</c:v>
                </c:pt>
                <c:pt idx="14" formatCode="0">
                  <c:v>150.12</c:v>
                </c:pt>
                <c:pt idx="15" formatCode="0">
                  <c:v>123.12</c:v>
                </c:pt>
                <c:pt idx="16">
                  <c:v>188</c:v>
                </c:pt>
                <c:pt idx="17">
                  <c:v>57</c:v>
                </c:pt>
                <c:pt idx="18" formatCode="0">
                  <c:v>755.0925925925925</c:v>
                </c:pt>
                <c:pt idx="19">
                  <c:v>1129</c:v>
                </c:pt>
                <c:pt idx="22" formatCode="0">
                  <c:v>88.504504504504496</c:v>
                </c:pt>
                <c:pt idx="24" formatCode="0">
                  <c:v>685.51640865814829</c:v>
                </c:pt>
                <c:pt idx="25">
                  <c:v>0</c:v>
                </c:pt>
                <c:pt idx="26" formatCode="0">
                  <c:v>0</c:v>
                </c:pt>
                <c:pt idx="27" formatCode="0">
                  <c:v>922.14400000000001</c:v>
                </c:pt>
                <c:pt idx="28" formatCode="0">
                  <c:v>75.5</c:v>
                </c:pt>
                <c:pt idx="29" formatCode="0">
                  <c:v>0</c:v>
                </c:pt>
                <c:pt idx="30" formatCode="0">
                  <c:v>305.48148148148147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EC-C541-B057-17E747FD9E65}"/>
            </c:ext>
          </c:extLst>
        </c:ser>
        <c:ser>
          <c:idx val="2"/>
          <c:order val="2"/>
          <c:tx>
            <c:strRef>
              <c:f>'Tab&amp;Fig4.3.2aB'!$E$2</c:f>
              <c:strCache>
                <c:ptCount val="1"/>
                <c:pt idx="0">
                  <c:v>total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'Tab&amp;Fig4.3.2aB'!$B$3:$B$33</c:f>
              <c:numCache>
                <c:formatCode>0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 formatCode="General">
                  <c:v>2005</c:v>
                </c:pt>
                <c:pt idx="11">
                  <c:v>2006</c:v>
                </c:pt>
                <c:pt idx="12" formatCode="General">
                  <c:v>2007</c:v>
                </c:pt>
                <c:pt idx="13">
                  <c:v>2008</c:v>
                </c:pt>
                <c:pt idx="14" formatCode="General">
                  <c:v>2009</c:v>
                </c:pt>
                <c:pt idx="15">
                  <c:v>2010</c:v>
                </c:pt>
                <c:pt idx="16" formatCode="General">
                  <c:v>2011</c:v>
                </c:pt>
                <c:pt idx="17">
                  <c:v>2012</c:v>
                </c:pt>
                <c:pt idx="18" formatCode="General">
                  <c:v>2013</c:v>
                </c:pt>
                <c:pt idx="19">
                  <c:v>2014</c:v>
                </c:pt>
                <c:pt idx="20" formatCode="General">
                  <c:v>2015</c:v>
                </c:pt>
                <c:pt idx="21">
                  <c:v>2016</c:v>
                </c:pt>
                <c:pt idx="22" formatCode="General">
                  <c:v>2017</c:v>
                </c:pt>
                <c:pt idx="23" formatCode="General">
                  <c:v>2018</c:v>
                </c:pt>
                <c:pt idx="24" formatCode="General">
                  <c:v>2019</c:v>
                </c:pt>
                <c:pt idx="25" formatCode="General">
                  <c:v>2020</c:v>
                </c:pt>
                <c:pt idx="26" formatCode="General">
                  <c:v>2021</c:v>
                </c:pt>
                <c:pt idx="27" formatCode="General">
                  <c:v>2022</c:v>
                </c:pt>
                <c:pt idx="28" formatCode="General">
                  <c:v>2023</c:v>
                </c:pt>
                <c:pt idx="29" formatCode="General">
                  <c:v>2024</c:v>
                </c:pt>
                <c:pt idx="30" formatCode="General">
                  <c:v>2025</c:v>
                </c:pt>
              </c:numCache>
            </c:numRef>
          </c:cat>
          <c:val>
            <c:numRef>
              <c:f>'Tab&amp;Fig4.3.2aB'!$E$3:$E$33</c:f>
              <c:numCache>
                <c:formatCode>0</c:formatCode>
                <c:ptCount val="31"/>
                <c:pt idx="0">
                  <c:v>348</c:v>
                </c:pt>
                <c:pt idx="1">
                  <c:v>1050</c:v>
                </c:pt>
                <c:pt idx="2">
                  <c:v>1035</c:v>
                </c:pt>
                <c:pt idx="3">
                  <c:v>720</c:v>
                </c:pt>
                <c:pt idx="4">
                  <c:v>430</c:v>
                </c:pt>
                <c:pt idx="5">
                  <c:v>1310</c:v>
                </c:pt>
                <c:pt idx="6">
                  <c:v>365</c:v>
                </c:pt>
                <c:pt idx="7">
                  <c:v>564</c:v>
                </c:pt>
                <c:pt idx="8">
                  <c:v>317</c:v>
                </c:pt>
                <c:pt idx="9">
                  <c:v>747</c:v>
                </c:pt>
                <c:pt idx="10">
                  <c:v>1126</c:v>
                </c:pt>
                <c:pt idx="11">
                  <c:v>312</c:v>
                </c:pt>
                <c:pt idx="12">
                  <c:v>717.5925925925925</c:v>
                </c:pt>
                <c:pt idx="13">
                  <c:v>720</c:v>
                </c:pt>
                <c:pt idx="14">
                  <c:v>950.40000000000009</c:v>
                </c:pt>
                <c:pt idx="15">
                  <c:v>262.44000000000005</c:v>
                </c:pt>
                <c:pt idx="16" formatCode="General">
                  <c:v>295</c:v>
                </c:pt>
                <c:pt idx="17" formatCode="General">
                  <c:v>270</c:v>
                </c:pt>
                <c:pt idx="18">
                  <c:v>881.20370370370358</c:v>
                </c:pt>
                <c:pt idx="19">
                  <c:v>1145</c:v>
                </c:pt>
                <c:pt idx="20">
                  <c:v>0</c:v>
                </c:pt>
                <c:pt idx="21">
                  <c:v>0</c:v>
                </c:pt>
                <c:pt idx="22">
                  <c:v>98.645645645645629</c:v>
                </c:pt>
                <c:pt idx="23">
                  <c:v>0</c:v>
                </c:pt>
                <c:pt idx="24">
                  <c:v>738.0085612513866</c:v>
                </c:pt>
                <c:pt idx="25" formatCode="General">
                  <c:v>679</c:v>
                </c:pt>
                <c:pt idx="26" formatCode="General">
                  <c:v>526</c:v>
                </c:pt>
                <c:pt idx="27">
                  <c:v>3699.5510000000004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EC-C541-B057-17E747FD9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814336"/>
        <c:axId val="68833280"/>
      </c:lineChart>
      <c:catAx>
        <c:axId val="68814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Years</a:t>
                </a:r>
              </a:p>
            </c:rich>
          </c:tx>
          <c:layout>
            <c:manualLayout>
              <c:xMode val="edge"/>
              <c:yMode val="edge"/>
              <c:x val="0.52233019653031176"/>
              <c:y val="0.8403922691481813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6883328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88332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Biomass (t*1000t).</a:t>
                </a:r>
              </a:p>
            </c:rich>
          </c:tx>
          <c:layout>
            <c:manualLayout>
              <c:xMode val="edge"/>
              <c:yMode val="edge"/>
              <c:x val="2.1283848665258867E-3"/>
              <c:y val="0.2987815159468745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68814336"/>
        <c:crosses val="autoZero"/>
        <c:crossBetween val="between"/>
        <c:majorUnit val="400"/>
        <c:minorUnit val="400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920" b="0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</c:legendEntry>
      <c:legendEntry>
        <c:idx val="1"/>
        <c:txPr>
          <a:bodyPr/>
          <a:lstStyle/>
          <a:p>
            <a:pPr>
              <a:defRPr sz="920" b="0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</c:legendEntry>
      <c:layout>
        <c:manualLayout>
          <c:xMode val="edge"/>
          <c:yMode val="edge"/>
          <c:x val="0.26402663081749289"/>
          <c:y val="0.90880776266603069"/>
          <c:w val="0.46369694641828274"/>
          <c:h val="6.603801797502588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lang="pt-PT"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pt-PT" sz="1000" b="0" i="1" u="none" strike="noStrike" baseline="0"/>
              <a:t>Trachurus  trecae</a:t>
            </a:r>
            <a:r>
              <a:rPr lang="pt-PT" sz="1000" b="1" i="0" u="none" strike="noStrike" baseline="0"/>
              <a:t> </a:t>
            </a:r>
            <a:endParaRPr lang="pt-PT" sz="1000"/>
          </a:p>
        </c:rich>
      </c:tx>
      <c:layout>
        <c:manualLayout>
          <c:xMode val="edge"/>
          <c:yMode val="edge"/>
          <c:x val="0.39587527352707486"/>
          <c:y val="2.154260565206244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165553603074951"/>
          <c:y val="0.11602209944751422"/>
          <c:w val="0.86221231723864955"/>
          <c:h val="0.65890082792425764"/>
        </c:manualLayout>
      </c:layout>
      <c:lineChart>
        <c:grouping val="standard"/>
        <c:varyColors val="0"/>
        <c:ser>
          <c:idx val="0"/>
          <c:order val="0"/>
          <c:tx>
            <c:strRef>
              <c:f>'Tab&amp;Fig4.3.2aB'!$J$2</c:f>
              <c:strCache>
                <c:ptCount val="1"/>
                <c:pt idx="0">
                  <c:v>Maroc</c:v>
                </c:pt>
              </c:strCache>
            </c:strRef>
          </c:tx>
          <c:spPr>
            <a:ln w="12700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pPr>
              <a:noFill/>
              <a:ln>
                <a:solidFill>
                  <a:prstClr val="black">
                    <a:lumMod val="95000"/>
                    <a:lumOff val="5000"/>
                  </a:prstClr>
                </a:solidFill>
              </a:ln>
            </c:spPr>
          </c:marker>
          <c:cat>
            <c:numRef>
              <c:f>'Tab&amp;Fig4.3.2aB'!$I$3:$I$33</c:f>
              <c:numCache>
                <c:formatCode>General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</c:numCache>
            </c:numRef>
          </c:cat>
          <c:val>
            <c:numRef>
              <c:f>'Tab&amp;Fig4.3.2aB'!$J$3:$J$33</c:f>
              <c:numCache>
                <c:formatCode>General</c:formatCode>
                <c:ptCount val="31"/>
                <c:pt idx="0">
                  <c:v>90</c:v>
                </c:pt>
                <c:pt idx="1">
                  <c:v>600</c:v>
                </c:pt>
                <c:pt idx="2">
                  <c:v>505</c:v>
                </c:pt>
                <c:pt idx="3">
                  <c:v>540</c:v>
                </c:pt>
                <c:pt idx="4">
                  <c:v>290</c:v>
                </c:pt>
                <c:pt idx="5">
                  <c:v>1030</c:v>
                </c:pt>
                <c:pt idx="6">
                  <c:v>240</c:v>
                </c:pt>
                <c:pt idx="7" formatCode="0">
                  <c:v>350</c:v>
                </c:pt>
                <c:pt idx="9">
                  <c:v>577</c:v>
                </c:pt>
                <c:pt idx="10">
                  <c:v>982</c:v>
                </c:pt>
                <c:pt idx="11">
                  <c:v>272</c:v>
                </c:pt>
                <c:pt idx="12" formatCode="0">
                  <c:v>268.51851851851848</c:v>
                </c:pt>
                <c:pt idx="13">
                  <c:v>368</c:v>
                </c:pt>
                <c:pt idx="14" formatCode="0">
                  <c:v>800.28000000000009</c:v>
                </c:pt>
                <c:pt idx="15" formatCode="0">
                  <c:v>139.32000000000002</c:v>
                </c:pt>
                <c:pt idx="17">
                  <c:v>213</c:v>
                </c:pt>
                <c:pt idx="18">
                  <c:v>126</c:v>
                </c:pt>
                <c:pt idx="19">
                  <c:v>16</c:v>
                </c:pt>
                <c:pt idx="24" formatCode="0">
                  <c:v>52.492152593238316</c:v>
                </c:pt>
                <c:pt idx="27" formatCode="0">
                  <c:v>122.22222222222221</c:v>
                </c:pt>
                <c:pt idx="28">
                  <c:v>274.07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81-7C42-B872-BDB5807A7782}"/>
            </c:ext>
          </c:extLst>
        </c:ser>
        <c:ser>
          <c:idx val="1"/>
          <c:order val="1"/>
          <c:tx>
            <c:strRef>
              <c:f>'Tab&amp;Fig4.3.2aB'!$K$2</c:f>
              <c:strCache>
                <c:ptCount val="1"/>
                <c:pt idx="0">
                  <c:v>Mauritania</c:v>
                </c:pt>
              </c:strCache>
            </c:strRef>
          </c:tx>
          <c:spPr>
            <a:ln>
              <a:solidFill>
                <a:srgbClr val="000000"/>
              </a:solidFill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</a:ln>
            </c:spPr>
          </c:marker>
          <c:cat>
            <c:numRef>
              <c:f>'Tab&amp;Fig4.3.2aB'!$I$3:$I$33</c:f>
              <c:numCache>
                <c:formatCode>General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</c:numCache>
            </c:numRef>
          </c:cat>
          <c:val>
            <c:numRef>
              <c:f>'Tab&amp;Fig4.3.2aB'!$K$3:$K$33</c:f>
              <c:numCache>
                <c:formatCode>General</c:formatCode>
                <c:ptCount val="31"/>
                <c:pt idx="0">
                  <c:v>80</c:v>
                </c:pt>
                <c:pt idx="1">
                  <c:v>62</c:v>
                </c:pt>
                <c:pt idx="2">
                  <c:v>150</c:v>
                </c:pt>
                <c:pt idx="3">
                  <c:v>259</c:v>
                </c:pt>
                <c:pt idx="4">
                  <c:v>296</c:v>
                </c:pt>
                <c:pt idx="5">
                  <c:v>724</c:v>
                </c:pt>
                <c:pt idx="6">
                  <c:v>0</c:v>
                </c:pt>
                <c:pt idx="7" formatCode="0">
                  <c:v>179</c:v>
                </c:pt>
                <c:pt idx="8" formatCode="0">
                  <c:v>253</c:v>
                </c:pt>
                <c:pt idx="9">
                  <c:v>74</c:v>
                </c:pt>
                <c:pt idx="10">
                  <c:v>149</c:v>
                </c:pt>
                <c:pt idx="11">
                  <c:v>84</c:v>
                </c:pt>
                <c:pt idx="12" formatCode="0">
                  <c:v>674.44444444444446</c:v>
                </c:pt>
                <c:pt idx="13">
                  <c:v>237</c:v>
                </c:pt>
                <c:pt idx="14">
                  <c:v>111</c:v>
                </c:pt>
                <c:pt idx="15" formatCode="0">
                  <c:v>179.37</c:v>
                </c:pt>
                <c:pt idx="19">
                  <c:v>380</c:v>
                </c:pt>
                <c:pt idx="24" formatCode="0.0">
                  <c:v>286.68299999999999</c:v>
                </c:pt>
                <c:pt idx="27">
                  <c:v>0</c:v>
                </c:pt>
                <c:pt idx="28">
                  <c:v>873.61099999999999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81-7C42-B872-BDB5807A7782}"/>
            </c:ext>
          </c:extLst>
        </c:ser>
        <c:ser>
          <c:idx val="2"/>
          <c:order val="2"/>
          <c:tx>
            <c:strRef>
              <c:f>'Tab&amp;Fig4.3.2aB'!$L$2</c:f>
              <c:strCache>
                <c:ptCount val="1"/>
                <c:pt idx="0">
                  <c:v>Senegal</c:v>
                </c:pt>
              </c:strCache>
            </c:strRef>
          </c:tx>
          <c:spPr>
            <a:ln w="19050">
              <a:solidFill>
                <a:prstClr val="black">
                  <a:lumMod val="95000"/>
                  <a:lumOff val="5000"/>
                </a:prstClr>
              </a:solidFill>
            </a:ln>
          </c:spPr>
          <c:marker>
            <c:symbol val="triangle"/>
            <c:size val="5"/>
            <c:spPr>
              <a:solidFill>
                <a:sysClr val="windowText" lastClr="000000"/>
              </a:solidFill>
              <a:ln w="19050">
                <a:solidFill>
                  <a:prstClr val="black">
                    <a:lumMod val="95000"/>
                    <a:lumOff val="5000"/>
                  </a:prstClr>
                </a:solidFill>
              </a:ln>
            </c:spPr>
          </c:marker>
          <c:cat>
            <c:numRef>
              <c:f>'Tab&amp;Fig4.3.2aB'!$I$3:$I$33</c:f>
              <c:numCache>
                <c:formatCode>General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</c:numCache>
            </c:numRef>
          </c:cat>
          <c:val>
            <c:numRef>
              <c:f>'Tab&amp;Fig4.3.2aB'!$L$3:$L$33</c:f>
              <c:numCache>
                <c:formatCode>General</c:formatCode>
                <c:ptCount val="31"/>
                <c:pt idx="0">
                  <c:v>10</c:v>
                </c:pt>
                <c:pt idx="4">
                  <c:v>67</c:v>
                </c:pt>
                <c:pt idx="5">
                  <c:v>8</c:v>
                </c:pt>
                <c:pt idx="6">
                  <c:v>125</c:v>
                </c:pt>
                <c:pt idx="7">
                  <c:v>50</c:v>
                </c:pt>
                <c:pt idx="8">
                  <c:v>134</c:v>
                </c:pt>
                <c:pt idx="9">
                  <c:v>76</c:v>
                </c:pt>
                <c:pt idx="10">
                  <c:v>81</c:v>
                </c:pt>
                <c:pt idx="11">
                  <c:v>46</c:v>
                </c:pt>
                <c:pt idx="12" formatCode="0">
                  <c:v>43.163841807909606</c:v>
                </c:pt>
                <c:pt idx="13">
                  <c:v>39</c:v>
                </c:pt>
                <c:pt idx="14">
                  <c:v>47</c:v>
                </c:pt>
                <c:pt idx="24" formatCode="0">
                  <c:v>188.69900000000001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81-7C42-B872-BDB5807A7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876928"/>
        <c:axId val="68883584"/>
      </c:lineChart>
      <c:catAx>
        <c:axId val="68876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b="0"/>
                </a:pPr>
                <a:r>
                  <a:rPr lang="en-US" b="0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68883584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6888358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 b="0"/>
                </a:pPr>
                <a:r>
                  <a:rPr lang="en-US" b="0"/>
                  <a:t> Biomass Indice (*1000 t)</a:t>
                </a:r>
              </a:p>
            </c:rich>
          </c:tx>
          <c:layout>
            <c:manualLayout>
              <c:xMode val="edge"/>
              <c:yMode val="edge"/>
              <c:x val="5.9213536489418992E-3"/>
              <c:y val="0.240233009087637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68876928"/>
        <c:crossesAt val="1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lang="pt-PT"/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fr-FR"/>
    </a:p>
  </c:txPr>
  <c:printSettings>
    <c:headerFooter/>
    <c:pageMargins b="0.75000000000001432" l="0.70000000000000062" r="0.70000000000000062" t="0.75000000000001432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'Tab&amp;Fig4.3.2aB'!$C$2</c:f>
              <c:strCache>
                <c:ptCount val="1"/>
                <c:pt idx="0">
                  <c:v>T. trecae</c:v>
                </c:pt>
              </c:strCache>
            </c:strRef>
          </c:tx>
          <c:cat>
            <c:numRef>
              <c:f>'Tab&amp;Fig4.3.2aB'!$B$3:$B$33</c:f>
              <c:numCache>
                <c:formatCode>0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 formatCode="General">
                  <c:v>2005</c:v>
                </c:pt>
                <c:pt idx="11">
                  <c:v>2006</c:v>
                </c:pt>
                <c:pt idx="12" formatCode="General">
                  <c:v>2007</c:v>
                </c:pt>
                <c:pt idx="13">
                  <c:v>2008</c:v>
                </c:pt>
                <c:pt idx="14" formatCode="General">
                  <c:v>2009</c:v>
                </c:pt>
                <c:pt idx="15">
                  <c:v>2010</c:v>
                </c:pt>
                <c:pt idx="16" formatCode="General">
                  <c:v>2011</c:v>
                </c:pt>
                <c:pt idx="17">
                  <c:v>2012</c:v>
                </c:pt>
                <c:pt idx="18" formatCode="General">
                  <c:v>2013</c:v>
                </c:pt>
                <c:pt idx="19">
                  <c:v>2014</c:v>
                </c:pt>
                <c:pt idx="20" formatCode="General">
                  <c:v>2015</c:v>
                </c:pt>
                <c:pt idx="21">
                  <c:v>2016</c:v>
                </c:pt>
                <c:pt idx="22" formatCode="General">
                  <c:v>2017</c:v>
                </c:pt>
                <c:pt idx="23" formatCode="General">
                  <c:v>2018</c:v>
                </c:pt>
                <c:pt idx="24" formatCode="General">
                  <c:v>2019</c:v>
                </c:pt>
                <c:pt idx="25" formatCode="General">
                  <c:v>2020</c:v>
                </c:pt>
                <c:pt idx="26" formatCode="General">
                  <c:v>2021</c:v>
                </c:pt>
                <c:pt idx="27" formatCode="General">
                  <c:v>2022</c:v>
                </c:pt>
                <c:pt idx="28" formatCode="General">
                  <c:v>2023</c:v>
                </c:pt>
                <c:pt idx="29" formatCode="General">
                  <c:v>2024</c:v>
                </c:pt>
                <c:pt idx="30" formatCode="General">
                  <c:v>2025</c:v>
                </c:pt>
              </c:numCache>
            </c:numRef>
          </c:cat>
          <c:val>
            <c:numRef>
              <c:f>'Tab&amp;Fig4.3.2aB'!$C$3:$C$33</c:f>
              <c:numCache>
                <c:formatCode>General</c:formatCode>
                <c:ptCount val="31"/>
                <c:pt idx="0">
                  <c:v>90</c:v>
                </c:pt>
                <c:pt idx="1">
                  <c:v>600</c:v>
                </c:pt>
                <c:pt idx="2">
                  <c:v>505</c:v>
                </c:pt>
                <c:pt idx="3">
                  <c:v>540</c:v>
                </c:pt>
                <c:pt idx="4">
                  <c:v>290</c:v>
                </c:pt>
                <c:pt idx="5">
                  <c:v>1030</c:v>
                </c:pt>
                <c:pt idx="6">
                  <c:v>240</c:v>
                </c:pt>
                <c:pt idx="7" formatCode="0">
                  <c:v>350</c:v>
                </c:pt>
                <c:pt idx="9">
                  <c:v>577</c:v>
                </c:pt>
                <c:pt idx="10">
                  <c:v>982</c:v>
                </c:pt>
                <c:pt idx="11">
                  <c:v>272</c:v>
                </c:pt>
                <c:pt idx="12" formatCode="0">
                  <c:v>268.51851851851848</c:v>
                </c:pt>
                <c:pt idx="13">
                  <c:v>368</c:v>
                </c:pt>
                <c:pt idx="14" formatCode="0">
                  <c:v>800.28000000000009</c:v>
                </c:pt>
                <c:pt idx="15" formatCode="0">
                  <c:v>139.32000000000002</c:v>
                </c:pt>
                <c:pt idx="16">
                  <c:v>107</c:v>
                </c:pt>
                <c:pt idx="17">
                  <c:v>213</c:v>
                </c:pt>
                <c:pt idx="18" formatCode="0">
                  <c:v>126.11111111111109</c:v>
                </c:pt>
                <c:pt idx="19">
                  <c:v>16</c:v>
                </c:pt>
                <c:pt idx="22" formatCode="0">
                  <c:v>10.141141141141141</c:v>
                </c:pt>
                <c:pt idx="24" formatCode="0">
                  <c:v>52.492152593238316</c:v>
                </c:pt>
                <c:pt idx="27" formatCode="0">
                  <c:v>2777.4070000000002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E3-7F4E-B2E3-11C5F4B487B3}"/>
            </c:ext>
          </c:extLst>
        </c:ser>
        <c:ser>
          <c:idx val="1"/>
          <c:order val="1"/>
          <c:tx>
            <c:strRef>
              <c:f>'Tab&amp;Fig4.3.2aB'!$D$2</c:f>
              <c:strCache>
                <c:ptCount val="1"/>
                <c:pt idx="0">
                  <c:v>T. trachurus</c:v>
                </c:pt>
              </c:strCache>
            </c:strRef>
          </c:tx>
          <c:cat>
            <c:numRef>
              <c:f>'Tab&amp;Fig4.3.2aB'!$B$3:$B$33</c:f>
              <c:numCache>
                <c:formatCode>0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 formatCode="General">
                  <c:v>2005</c:v>
                </c:pt>
                <c:pt idx="11">
                  <c:v>2006</c:v>
                </c:pt>
                <c:pt idx="12" formatCode="General">
                  <c:v>2007</c:v>
                </c:pt>
                <c:pt idx="13">
                  <c:v>2008</c:v>
                </c:pt>
                <c:pt idx="14" formatCode="General">
                  <c:v>2009</c:v>
                </c:pt>
                <c:pt idx="15">
                  <c:v>2010</c:v>
                </c:pt>
                <c:pt idx="16" formatCode="General">
                  <c:v>2011</c:v>
                </c:pt>
                <c:pt idx="17">
                  <c:v>2012</c:v>
                </c:pt>
                <c:pt idx="18" formatCode="General">
                  <c:v>2013</c:v>
                </c:pt>
                <c:pt idx="19">
                  <c:v>2014</c:v>
                </c:pt>
                <c:pt idx="20" formatCode="General">
                  <c:v>2015</c:v>
                </c:pt>
                <c:pt idx="21">
                  <c:v>2016</c:v>
                </c:pt>
                <c:pt idx="22" formatCode="General">
                  <c:v>2017</c:v>
                </c:pt>
                <c:pt idx="23" formatCode="General">
                  <c:v>2018</c:v>
                </c:pt>
                <c:pt idx="24" formatCode="General">
                  <c:v>2019</c:v>
                </c:pt>
                <c:pt idx="25" formatCode="General">
                  <c:v>2020</c:v>
                </c:pt>
                <c:pt idx="26" formatCode="General">
                  <c:v>2021</c:v>
                </c:pt>
                <c:pt idx="27" formatCode="General">
                  <c:v>2022</c:v>
                </c:pt>
                <c:pt idx="28" formatCode="General">
                  <c:v>2023</c:v>
                </c:pt>
                <c:pt idx="29" formatCode="General">
                  <c:v>2024</c:v>
                </c:pt>
                <c:pt idx="30" formatCode="General">
                  <c:v>2025</c:v>
                </c:pt>
              </c:numCache>
            </c:numRef>
          </c:cat>
          <c:val>
            <c:numRef>
              <c:f>'Tab&amp;Fig4.3.2aB'!$D$3:$D$33</c:f>
              <c:numCache>
                <c:formatCode>General</c:formatCode>
                <c:ptCount val="31"/>
                <c:pt idx="0">
                  <c:v>258</c:v>
                </c:pt>
                <c:pt idx="1">
                  <c:v>450</c:v>
                </c:pt>
                <c:pt idx="2">
                  <c:v>530</c:v>
                </c:pt>
                <c:pt idx="3">
                  <c:v>180</c:v>
                </c:pt>
                <c:pt idx="4">
                  <c:v>140</c:v>
                </c:pt>
                <c:pt idx="5">
                  <c:v>280</c:v>
                </c:pt>
                <c:pt idx="6">
                  <c:v>125</c:v>
                </c:pt>
                <c:pt idx="7" formatCode="0">
                  <c:v>214</c:v>
                </c:pt>
                <c:pt idx="8" formatCode="0">
                  <c:v>317</c:v>
                </c:pt>
                <c:pt idx="9">
                  <c:v>170</c:v>
                </c:pt>
                <c:pt idx="10">
                  <c:v>144</c:v>
                </c:pt>
                <c:pt idx="11">
                  <c:v>40</c:v>
                </c:pt>
                <c:pt idx="12" formatCode="0">
                  <c:v>449.07407407407402</c:v>
                </c:pt>
                <c:pt idx="13">
                  <c:v>352</c:v>
                </c:pt>
                <c:pt idx="14" formatCode="0">
                  <c:v>150.12</c:v>
                </c:pt>
                <c:pt idx="15" formatCode="0">
                  <c:v>123.12</c:v>
                </c:pt>
                <c:pt idx="16">
                  <c:v>188</c:v>
                </c:pt>
                <c:pt idx="17">
                  <c:v>57</c:v>
                </c:pt>
                <c:pt idx="18" formatCode="0">
                  <c:v>755.0925925925925</c:v>
                </c:pt>
                <c:pt idx="19">
                  <c:v>1129</c:v>
                </c:pt>
                <c:pt idx="22" formatCode="0">
                  <c:v>88.504504504504496</c:v>
                </c:pt>
                <c:pt idx="24" formatCode="0">
                  <c:v>685.51640865814829</c:v>
                </c:pt>
                <c:pt idx="25">
                  <c:v>0</c:v>
                </c:pt>
                <c:pt idx="26" formatCode="0">
                  <c:v>0</c:v>
                </c:pt>
                <c:pt idx="27" formatCode="0">
                  <c:v>922.14400000000001</c:v>
                </c:pt>
                <c:pt idx="28" formatCode="0">
                  <c:v>75.5</c:v>
                </c:pt>
                <c:pt idx="29" formatCode="0">
                  <c:v>0</c:v>
                </c:pt>
                <c:pt idx="30" formatCode="0">
                  <c:v>305.48148148148147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E3-7F4E-B2E3-11C5F4B48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917888"/>
        <c:axId val="68927872"/>
      </c:lineChart>
      <c:catAx>
        <c:axId val="6891788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689278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8927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6891788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pt-PT"/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Trachurus trecae</a:t>
            </a:r>
            <a:endParaRPr lang="pt-PT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R/V ATLANTNIRO&amp;ATLANTIDA 1994-2023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32°N au 16 °N </a:t>
            </a:r>
          </a:p>
        </c:rich>
      </c:tx>
      <c:layout>
        <c:manualLayout>
          <c:xMode val="edge"/>
          <c:yMode val="edge"/>
          <c:x val="0.29032299533988115"/>
          <c:y val="2.88808664259928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368852459016394"/>
          <c:y val="0.23826756802016591"/>
          <c:w val="0.81352459016393441"/>
          <c:h val="0.5162463973770254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'Tab&amp;Fig4.3.2eOUT'!$B$5</c:f>
              <c:strCache>
                <c:ptCount val="1"/>
                <c:pt idx="0">
                  <c:v>Maroc</c:v>
                </c:pt>
              </c:strCache>
            </c:strRef>
          </c:tx>
          <c:spPr>
            <a:pattFill prst="horzBrick">
              <a:fgClr>
                <a:srgbClr val="969696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'Tab&amp;Fig4.3.2eOUT'!$A$6:$A$31</c:f>
              <c:strCache>
                <c:ptCount val="26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2015*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2019*</c:v>
                </c:pt>
              </c:strCache>
            </c:strRef>
          </c:cat>
          <c:val>
            <c:numRef>
              <c:f>'Tab&amp;Fig4.3.2eOUT'!$E$6:$E$31</c:f>
              <c:numCache>
                <c:formatCode>General</c:formatCode>
                <c:ptCount val="26"/>
                <c:pt idx="0">
                  <c:v>14850</c:v>
                </c:pt>
                <c:pt idx="1">
                  <c:v>188121</c:v>
                </c:pt>
                <c:pt idx="2">
                  <c:v>20077</c:v>
                </c:pt>
                <c:pt idx="4">
                  <c:v>158537</c:v>
                </c:pt>
                <c:pt idx="5">
                  <c:v>63003</c:v>
                </c:pt>
                <c:pt idx="10">
                  <c:v>581339</c:v>
                </c:pt>
                <c:pt idx="12">
                  <c:v>45605</c:v>
                </c:pt>
                <c:pt idx="13">
                  <c:v>465812</c:v>
                </c:pt>
                <c:pt idx="14">
                  <c:v>511670</c:v>
                </c:pt>
                <c:pt idx="15">
                  <c:v>473923</c:v>
                </c:pt>
                <c:pt idx="16">
                  <c:v>131781</c:v>
                </c:pt>
                <c:pt idx="17">
                  <c:v>211563</c:v>
                </c:pt>
                <c:pt idx="21">
                  <c:v>450000</c:v>
                </c:pt>
                <c:pt idx="25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B0-0F49-AD4F-7ABBBD4ACCB6}"/>
            </c:ext>
          </c:extLst>
        </c:ser>
        <c:ser>
          <c:idx val="0"/>
          <c:order val="1"/>
          <c:tx>
            <c:strRef>
              <c:f>'Tab&amp;Fig4.3.2eOUT'!$C$5</c:f>
              <c:strCache>
                <c:ptCount val="1"/>
                <c:pt idx="0">
                  <c:v>Mauritanie</c:v>
                </c:pt>
              </c:strCache>
            </c:strRef>
          </c:tx>
          <c:spPr>
            <a:pattFill prst="pct20">
              <a:fgClr>
                <a:srgbClr val="969696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'Tab&amp;Fig4.3.2eOUT'!$A$6:$A$31</c:f>
              <c:strCache>
                <c:ptCount val="26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2015*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2019*</c:v>
                </c:pt>
              </c:strCache>
            </c:strRef>
          </c:cat>
          <c:val>
            <c:numRef>
              <c:f>'Tab&amp;Fig4.3.2eOUT'!$F$6:$F$31</c:f>
              <c:numCache>
                <c:formatCode>General</c:formatCode>
                <c:ptCount val="26"/>
                <c:pt idx="1">
                  <c:v>113690</c:v>
                </c:pt>
                <c:pt idx="4">
                  <c:v>324475</c:v>
                </c:pt>
                <c:pt idx="5">
                  <c:v>20146</c:v>
                </c:pt>
                <c:pt idx="6">
                  <c:v>160649</c:v>
                </c:pt>
                <c:pt idx="7">
                  <c:v>29706</c:v>
                </c:pt>
                <c:pt idx="10">
                  <c:v>43997</c:v>
                </c:pt>
                <c:pt idx="12">
                  <c:v>9342</c:v>
                </c:pt>
                <c:pt idx="13">
                  <c:v>60100</c:v>
                </c:pt>
                <c:pt idx="14">
                  <c:v>9405</c:v>
                </c:pt>
                <c:pt idx="15">
                  <c:v>230105</c:v>
                </c:pt>
                <c:pt idx="16">
                  <c:v>36300</c:v>
                </c:pt>
                <c:pt idx="17">
                  <c:v>21860</c:v>
                </c:pt>
                <c:pt idx="18">
                  <c:v>212820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B0-0F49-AD4F-7ABBBD4ACCB6}"/>
            </c:ext>
          </c:extLst>
        </c:ser>
        <c:ser>
          <c:idx val="1"/>
          <c:order val="2"/>
          <c:tx>
            <c:strRef>
              <c:f>'Tab&amp;Fig4.3.2eOUT'!$G$5</c:f>
              <c:strCache>
                <c:ptCount val="1"/>
                <c:pt idx="0">
                  <c:v>Maroc+Mauritanie</c:v>
                </c:pt>
              </c:strCache>
            </c:strRef>
          </c:tx>
          <c:spPr>
            <a:pattFill prst="pct50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'Tab&amp;Fig4.3.2eOUT'!$A$6:$A$31</c:f>
              <c:strCache>
                <c:ptCount val="26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2015*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2019*</c:v>
                </c:pt>
              </c:strCache>
            </c:strRef>
          </c:cat>
          <c:val>
            <c:numRef>
              <c:f>'Tab&amp;Fig4.3.2eOUT'!$G$6:$G$31</c:f>
              <c:numCache>
                <c:formatCode>General</c:formatCode>
                <c:ptCount val="26"/>
                <c:pt idx="0">
                  <c:v>14850</c:v>
                </c:pt>
                <c:pt idx="1">
                  <c:v>301811</c:v>
                </c:pt>
                <c:pt idx="2">
                  <c:v>20077</c:v>
                </c:pt>
                <c:pt idx="4">
                  <c:v>483012</c:v>
                </c:pt>
                <c:pt idx="5">
                  <c:v>83149</c:v>
                </c:pt>
                <c:pt idx="6">
                  <c:v>160649</c:v>
                </c:pt>
                <c:pt idx="7">
                  <c:v>29706</c:v>
                </c:pt>
                <c:pt idx="10">
                  <c:v>625336</c:v>
                </c:pt>
                <c:pt idx="12">
                  <c:v>54947</c:v>
                </c:pt>
                <c:pt idx="13">
                  <c:v>525912</c:v>
                </c:pt>
                <c:pt idx="14">
                  <c:v>521075</c:v>
                </c:pt>
                <c:pt idx="15">
                  <c:v>704028</c:v>
                </c:pt>
                <c:pt idx="16">
                  <c:v>168081</c:v>
                </c:pt>
                <c:pt idx="17">
                  <c:v>233423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B0-0F49-AD4F-7ABBBD4AC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60"/>
        <c:axId val="83508224"/>
        <c:axId val="83514112"/>
      </c:barChart>
      <c:catAx>
        <c:axId val="8350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351411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83514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tonnes</a:t>
                </a:r>
              </a:p>
            </c:rich>
          </c:tx>
          <c:layout>
            <c:manualLayout>
              <c:xMode val="edge"/>
              <c:yMode val="edge"/>
              <c:x val="2.2242457788015143E-3"/>
              <c:y val="0.324910505320418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3508224"/>
        <c:crosses val="autoZero"/>
        <c:crossBetween val="between"/>
        <c:majorUnit val="3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5983597288434384"/>
          <c:y val="0.90252859186824608"/>
          <c:w val="0.77254081335072655"/>
          <c:h val="7.9422382671480163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lang="pt-PT"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Trachurus trachurus</a:t>
            </a:r>
            <a:endParaRPr lang="pt-PT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R/V ATLANTNIRO&amp;ATLANTIDA 1994-2024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32°N au 16 °N </a:t>
            </a:r>
          </a:p>
        </c:rich>
      </c:tx>
      <c:layout>
        <c:manualLayout>
          <c:xMode val="edge"/>
          <c:yMode val="edge"/>
          <c:x val="0.22580667193552467"/>
          <c:y val="1.923064880047888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45602784167312"/>
          <c:y val="0.18506480902605121"/>
          <c:w val="0.81352459016393441"/>
          <c:h val="0.5807692307692305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'Tab&amp;Fig4.3.2eOUT'!$B$5</c:f>
              <c:strCache>
                <c:ptCount val="1"/>
                <c:pt idx="0">
                  <c:v>Maroc</c:v>
                </c:pt>
              </c:strCache>
            </c:strRef>
          </c:tx>
          <c:spPr>
            <a:pattFill prst="horzBrick">
              <a:fgClr>
                <a:srgbClr val="80808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'Tab&amp;Fig4.3.2eOUT'!$A$6:$A$31</c:f>
              <c:strCache>
                <c:ptCount val="26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2015*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2019*</c:v>
                </c:pt>
              </c:strCache>
            </c:strRef>
          </c:cat>
          <c:val>
            <c:numRef>
              <c:f>'Tab&amp;Fig4.3.2eOUT'!$B$6:$B$31</c:f>
              <c:numCache>
                <c:formatCode>General</c:formatCode>
                <c:ptCount val="26"/>
                <c:pt idx="0">
                  <c:v>21452</c:v>
                </c:pt>
                <c:pt idx="1">
                  <c:v>121568</c:v>
                </c:pt>
                <c:pt idx="2">
                  <c:v>28021</c:v>
                </c:pt>
                <c:pt idx="4">
                  <c:v>112441</c:v>
                </c:pt>
                <c:pt idx="5">
                  <c:v>55914</c:v>
                </c:pt>
                <c:pt idx="10">
                  <c:v>202320</c:v>
                </c:pt>
                <c:pt idx="12">
                  <c:v>36132</c:v>
                </c:pt>
                <c:pt idx="13">
                  <c:v>162247</c:v>
                </c:pt>
                <c:pt idx="14">
                  <c:v>265017</c:v>
                </c:pt>
                <c:pt idx="15">
                  <c:v>280689</c:v>
                </c:pt>
                <c:pt idx="16">
                  <c:v>229922</c:v>
                </c:pt>
                <c:pt idx="17">
                  <c:v>210899</c:v>
                </c:pt>
                <c:pt idx="21">
                  <c:v>117000</c:v>
                </c:pt>
                <c:pt idx="25">
                  <c:v>115000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1-264C-BB78-05ADA229CCF9}"/>
            </c:ext>
          </c:extLst>
        </c:ser>
        <c:ser>
          <c:idx val="0"/>
          <c:order val="1"/>
          <c:tx>
            <c:strRef>
              <c:f>'Tab&amp;Fig4.3.2eOUT'!$C$5</c:f>
              <c:strCache>
                <c:ptCount val="1"/>
                <c:pt idx="0">
                  <c:v>Mauritanie</c:v>
                </c:pt>
              </c:strCache>
            </c:strRef>
          </c:tx>
          <c:spPr>
            <a:pattFill prst="pct20">
              <a:fgClr>
                <a:srgbClr val="969696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'Tab&amp;Fig4.3.2eOUT'!$A$6:$A$31</c:f>
              <c:strCache>
                <c:ptCount val="26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2015*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2019*</c:v>
                </c:pt>
              </c:strCache>
            </c:strRef>
          </c:cat>
          <c:val>
            <c:numRef>
              <c:f>'Tab&amp;Fig4.3.2eOUT'!$C$6:$C$31</c:f>
              <c:numCache>
                <c:formatCode>General</c:formatCode>
                <c:ptCount val="26"/>
                <c:pt idx="1">
                  <c:v>24673</c:v>
                </c:pt>
                <c:pt idx="4">
                  <c:v>14798</c:v>
                </c:pt>
                <c:pt idx="5">
                  <c:v>0</c:v>
                </c:pt>
                <c:pt idx="6">
                  <c:v>14983</c:v>
                </c:pt>
                <c:pt idx="7">
                  <c:v>0</c:v>
                </c:pt>
                <c:pt idx="10">
                  <c:v>110588</c:v>
                </c:pt>
                <c:pt idx="12">
                  <c:v>0</c:v>
                </c:pt>
                <c:pt idx="13">
                  <c:v>0</c:v>
                </c:pt>
                <c:pt idx="14">
                  <c:v>9815</c:v>
                </c:pt>
                <c:pt idx="15">
                  <c:v>82444</c:v>
                </c:pt>
                <c:pt idx="16">
                  <c:v>29689</c:v>
                </c:pt>
                <c:pt idx="17">
                  <c:v>0</c:v>
                </c:pt>
                <c:pt idx="18">
                  <c:v>56605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01-264C-BB78-05ADA229CCF9}"/>
            </c:ext>
          </c:extLst>
        </c:ser>
        <c:ser>
          <c:idx val="1"/>
          <c:order val="2"/>
          <c:tx>
            <c:strRef>
              <c:f>'Tab&amp;Fig4.3.2eOUT'!$D$5</c:f>
              <c:strCache>
                <c:ptCount val="1"/>
                <c:pt idx="0">
                  <c:v>Maroc+Mauritanie</c:v>
                </c:pt>
              </c:strCache>
            </c:strRef>
          </c:tx>
          <c:spPr>
            <a:pattFill prst="pct50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'Tab&amp;Fig4.3.2eOUT'!$A$6:$A$31</c:f>
              <c:strCache>
                <c:ptCount val="26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2015*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2019*</c:v>
                </c:pt>
              </c:strCache>
            </c:strRef>
          </c:cat>
          <c:val>
            <c:numRef>
              <c:f>'Tab&amp;Fig4.3.2eOUT'!$D$6:$D$31</c:f>
              <c:numCache>
                <c:formatCode>General</c:formatCode>
                <c:ptCount val="26"/>
                <c:pt idx="0">
                  <c:v>21452</c:v>
                </c:pt>
                <c:pt idx="1">
                  <c:v>146241</c:v>
                </c:pt>
                <c:pt idx="2">
                  <c:v>28021</c:v>
                </c:pt>
                <c:pt idx="4">
                  <c:v>127239</c:v>
                </c:pt>
                <c:pt idx="5">
                  <c:v>55914</c:v>
                </c:pt>
                <c:pt idx="6">
                  <c:v>14983</c:v>
                </c:pt>
                <c:pt idx="7">
                  <c:v>0</c:v>
                </c:pt>
                <c:pt idx="10">
                  <c:v>312908</c:v>
                </c:pt>
                <c:pt idx="12">
                  <c:v>36132</c:v>
                </c:pt>
                <c:pt idx="13">
                  <c:v>162247</c:v>
                </c:pt>
                <c:pt idx="14">
                  <c:v>274832</c:v>
                </c:pt>
                <c:pt idx="15">
                  <c:v>363133</c:v>
                </c:pt>
                <c:pt idx="16">
                  <c:v>259611</c:v>
                </c:pt>
                <c:pt idx="17">
                  <c:v>210899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01-264C-BB78-05ADA229C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0"/>
        <c:axId val="83541376"/>
        <c:axId val="83432576"/>
      </c:barChart>
      <c:catAx>
        <c:axId val="83541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3432576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834325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tonnes</a:t>
                </a:r>
              </a:p>
            </c:rich>
          </c:tx>
          <c:layout>
            <c:manualLayout>
              <c:xMode val="edge"/>
              <c:yMode val="edge"/>
              <c:x val="2.2242386987872294E-3"/>
              <c:y val="0.326669429479213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3541376"/>
        <c:crosses val="autoZero"/>
        <c:crossBetween val="between"/>
        <c:majorUnit val="15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6.5573671320824714E-2"/>
          <c:y val="0.89615398075239605"/>
          <c:w val="0.8586066797412405"/>
          <c:h val="7.6922963576921313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lang="pt-PT"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T. tracae and T. trachurus</a:t>
            </a:r>
            <a:endParaRPr lang="pt-PT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R/V ATLANTNIRO&amp;ATLANTIDA 1994-2024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Morocco+Mauritania</a:t>
            </a:r>
          </a:p>
        </c:rich>
      </c:tx>
      <c:layout>
        <c:manualLayout>
          <c:xMode val="edge"/>
          <c:yMode val="edge"/>
          <c:x val="0.22580675902652864"/>
          <c:y val="1.923087849312978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53302744456786"/>
          <c:y val="0.15718794354462762"/>
          <c:w val="0.86657504240546046"/>
          <c:h val="0.62533402404436045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'Tab&amp;Fig4.3.2eOUT'!$K$28:$K$29</c:f>
              <c:strCache>
                <c:ptCount val="2"/>
              </c:strCache>
            </c:strRef>
          </c:tx>
          <c:spPr>
            <a:noFill/>
            <a:ln cap="sq">
              <a:solidFill>
                <a:srgbClr val="000000"/>
              </a:solidFill>
              <a:prstDash val="sysDot"/>
              <a:bevel/>
            </a:ln>
          </c:spPr>
          <c:invertIfNegative val="0"/>
          <c:cat>
            <c:numRef>
              <c:f>'Tab&amp;Fig4.3.2eOUT'!$K$4:$K$26</c:f>
              <c:numCache>
                <c:formatCode>General</c:formatCode>
                <c:ptCount val="2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</c:numCache>
            </c:numRef>
          </c:cat>
          <c:val>
            <c:numRef>
              <c:f>'Tab&amp;Fig4.3.2eOUT'!$L$4:$L$26</c:f>
              <c:numCache>
                <c:formatCode>General</c:formatCode>
                <c:ptCount val="23"/>
                <c:pt idx="0">
                  <c:v>1777</c:v>
                </c:pt>
                <c:pt idx="1">
                  <c:v>5</c:v>
                </c:pt>
                <c:pt idx="2">
                  <c:v>141</c:v>
                </c:pt>
                <c:pt idx="3">
                  <c:v>308</c:v>
                </c:pt>
                <c:pt idx="4">
                  <c:v>1256</c:v>
                </c:pt>
                <c:pt idx="5" formatCode="0">
                  <c:v>6</c:v>
                </c:pt>
                <c:pt idx="6" formatCode="0">
                  <c:v>3722</c:v>
                </c:pt>
                <c:pt idx="8" formatCode="0">
                  <c:v>246.04599999999999</c:v>
                </c:pt>
                <c:pt idx="10">
                  <c:v>108</c:v>
                </c:pt>
                <c:pt idx="12">
                  <c:v>235</c:v>
                </c:pt>
                <c:pt idx="13" formatCode="0">
                  <c:v>194</c:v>
                </c:pt>
                <c:pt idx="14" formatCode="0">
                  <c:v>287.32497027799997</c:v>
                </c:pt>
                <c:pt idx="15">
                  <c:v>198</c:v>
                </c:pt>
                <c:pt idx="16">
                  <c:v>76</c:v>
                </c:pt>
                <c:pt idx="18" formatCode="0">
                  <c:v>696.32100000000003</c:v>
                </c:pt>
                <c:pt idx="19" formatCode="0">
                  <c:v>702.72199999999998</c:v>
                </c:pt>
                <c:pt idx="20" formatCode="0">
                  <c:v>66.295000000000002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4-4F43-9A6C-C6D7BA4929D0}"/>
            </c:ext>
          </c:extLst>
        </c:ser>
        <c:ser>
          <c:idx val="4"/>
          <c:order val="1"/>
          <c:tx>
            <c:strRef>
              <c:f>'Tab&amp;Fig4.3.2eOUT'!$L$28:$L$29</c:f>
              <c:strCache>
                <c:ptCount val="2"/>
              </c:strCache>
            </c:strRef>
          </c:tx>
          <c:invertIfNegative val="0"/>
          <c:cat>
            <c:numRef>
              <c:f>'Tab&amp;Fig4.3.2eOUT'!$K$4:$K$26</c:f>
              <c:numCache>
                <c:formatCode>General</c:formatCode>
                <c:ptCount val="2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</c:numCache>
            </c:numRef>
          </c:cat>
          <c:val>
            <c:numRef>
              <c:f>'Tab&amp;Fig4.3.2eOUT'!$M$4:$M$26</c:f>
              <c:numCache>
                <c:formatCode>General</c:formatCode>
                <c:ptCount val="23"/>
                <c:pt idx="0">
                  <c:v>1171</c:v>
                </c:pt>
                <c:pt idx="1">
                  <c:v>71</c:v>
                </c:pt>
                <c:pt idx="2">
                  <c:v>10</c:v>
                </c:pt>
                <c:pt idx="3">
                  <c:v>54</c:v>
                </c:pt>
                <c:pt idx="4">
                  <c:v>117</c:v>
                </c:pt>
                <c:pt idx="5" formatCode="0">
                  <c:v>28</c:v>
                </c:pt>
                <c:pt idx="6" formatCode="0">
                  <c:v>56.49</c:v>
                </c:pt>
                <c:pt idx="8" formatCode="0">
                  <c:v>23.954999999999998</c:v>
                </c:pt>
                <c:pt idx="10">
                  <c:v>141</c:v>
                </c:pt>
                <c:pt idx="12">
                  <c:v>90</c:v>
                </c:pt>
                <c:pt idx="13" formatCode="0">
                  <c:v>11</c:v>
                </c:pt>
                <c:pt idx="14" formatCode="0">
                  <c:v>11.180447000000001</c:v>
                </c:pt>
                <c:pt idx="15">
                  <c:v>55</c:v>
                </c:pt>
                <c:pt idx="16">
                  <c:v>7</c:v>
                </c:pt>
                <c:pt idx="18" formatCode="0">
                  <c:v>14.801</c:v>
                </c:pt>
                <c:pt idx="19" formatCode="0">
                  <c:v>416.29</c:v>
                </c:pt>
                <c:pt idx="20" formatCode="0">
                  <c:v>43.377000000000002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D4-4F43-9A6C-C6D7BA4929D0}"/>
            </c:ext>
          </c:extLst>
        </c:ser>
        <c:ser>
          <c:idx val="5"/>
          <c:order val="2"/>
          <c:tx>
            <c:strRef>
              <c:f>'Tab&amp;Fig4.3.2eOUT'!$M$28:$M$29</c:f>
              <c:strCache>
                <c:ptCount val="2"/>
              </c:strCache>
            </c:strRef>
          </c:tx>
          <c:spPr>
            <a:solidFill>
              <a:srgbClr val="FF0000"/>
            </a:solidFill>
          </c:spPr>
          <c:invertIfNegative val="0"/>
          <c:cat>
            <c:numRef>
              <c:f>'Tab&amp;Fig4.3.2eOUT'!$K$4:$K$26</c:f>
              <c:numCache>
                <c:formatCode>General</c:formatCode>
                <c:ptCount val="2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</c:numCache>
            </c:numRef>
          </c:cat>
          <c:val>
            <c:numRef>
              <c:f>'Tab&amp;Fig4.3.2eOUT'!$N$4:$N$26</c:f>
              <c:numCache>
                <c:formatCode>General</c:formatCode>
                <c:ptCount val="23"/>
                <c:pt idx="0">
                  <c:v>1268</c:v>
                </c:pt>
                <c:pt idx="1">
                  <c:v>65</c:v>
                </c:pt>
                <c:pt idx="2">
                  <c:v>3837</c:v>
                </c:pt>
                <c:pt idx="3">
                  <c:v>1299</c:v>
                </c:pt>
                <c:pt idx="4">
                  <c:v>7193</c:v>
                </c:pt>
                <c:pt idx="5" formatCode="0">
                  <c:v>1546</c:v>
                </c:pt>
                <c:pt idx="6" formatCode="0">
                  <c:v>2153</c:v>
                </c:pt>
                <c:pt idx="8" formatCode="0">
                  <c:v>704.36199999999997</c:v>
                </c:pt>
                <c:pt idx="10">
                  <c:v>83</c:v>
                </c:pt>
                <c:pt idx="13" formatCode="0">
                  <c:v>45</c:v>
                </c:pt>
                <c:pt idx="14" formatCode="0">
                  <c:v>29.461379462845493</c:v>
                </c:pt>
                <c:pt idx="15">
                  <c:v>0.5</c:v>
                </c:pt>
                <c:pt idx="16">
                  <c:v>0</c:v>
                </c:pt>
                <c:pt idx="18" formatCode="0">
                  <c:v>577.92499999999995</c:v>
                </c:pt>
                <c:pt idx="19" formatCode="0">
                  <c:v>2437.268</c:v>
                </c:pt>
                <c:pt idx="20" formatCode="0">
                  <c:v>328.358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D4-4F43-9A6C-C6D7BA4929D0}"/>
            </c:ext>
          </c:extLst>
        </c:ser>
        <c:ser>
          <c:idx val="6"/>
          <c:order val="3"/>
          <c:tx>
            <c:strRef>
              <c:f>'Tab&amp;Fig4.3.2eOUT'!$N$28:$N$29</c:f>
              <c:strCache>
                <c:ptCount val="2"/>
              </c:strCache>
            </c:strRef>
          </c:tx>
          <c:spPr>
            <a:solidFill>
              <a:srgbClr val="1F3651"/>
            </a:solidFill>
          </c:spPr>
          <c:invertIfNegative val="0"/>
          <c:cat>
            <c:numRef>
              <c:f>'Tab&amp;Fig4.3.2eOUT'!$K$4:$K$26</c:f>
              <c:numCache>
                <c:formatCode>General</c:formatCode>
                <c:ptCount val="2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</c:numCache>
            </c:numRef>
          </c:cat>
          <c:val>
            <c:numRef>
              <c:f>'Tab&amp;Fig4.3.2eOUT'!$O$4:$O$26</c:f>
              <c:numCache>
                <c:formatCode>General</c:formatCode>
                <c:ptCount val="23"/>
                <c:pt idx="0">
                  <c:v>642</c:v>
                </c:pt>
                <c:pt idx="1">
                  <c:v>298</c:v>
                </c:pt>
                <c:pt idx="2">
                  <c:v>43</c:v>
                </c:pt>
                <c:pt idx="3">
                  <c:v>372</c:v>
                </c:pt>
                <c:pt idx="4">
                  <c:v>587</c:v>
                </c:pt>
                <c:pt idx="5" formatCode="0">
                  <c:v>430</c:v>
                </c:pt>
                <c:pt idx="6" formatCode="0">
                  <c:v>689.99</c:v>
                </c:pt>
                <c:pt idx="8" formatCode="0">
                  <c:v>21.172000000000001</c:v>
                </c:pt>
                <c:pt idx="10">
                  <c:v>451</c:v>
                </c:pt>
                <c:pt idx="12">
                  <c:v>24</c:v>
                </c:pt>
                <c:pt idx="13" formatCode="0">
                  <c:v>4</c:v>
                </c:pt>
                <c:pt idx="14" formatCode="0">
                  <c:v>52.878560760494437</c:v>
                </c:pt>
                <c:pt idx="15">
                  <c:v>1</c:v>
                </c:pt>
                <c:pt idx="16">
                  <c:v>0</c:v>
                </c:pt>
                <c:pt idx="18" formatCode="0">
                  <c:v>0.28499999999999998</c:v>
                </c:pt>
                <c:pt idx="19" formatCode="0">
                  <c:v>344.43799999999999</c:v>
                </c:pt>
                <c:pt idx="20" formatCode="0">
                  <c:v>319.57600000000002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D4-4F43-9A6C-C6D7BA492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0"/>
        <c:axId val="83481344"/>
        <c:axId val="83482880"/>
      </c:barChart>
      <c:catAx>
        <c:axId val="83481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348288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834828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N. individuals (millions)</a:t>
                </a:r>
              </a:p>
            </c:rich>
          </c:tx>
          <c:layout>
            <c:manualLayout>
              <c:xMode val="edge"/>
              <c:yMode val="edge"/>
              <c:x val="5.0022037714272114E-3"/>
              <c:y val="0.225894210282538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348134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lang="pt-PT" sz="920" b="0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</c:legendEntry>
      <c:legendEntry>
        <c:idx val="1"/>
        <c:txPr>
          <a:bodyPr/>
          <a:lstStyle/>
          <a:p>
            <a:pPr>
              <a:defRPr lang="pt-PT" sz="920" b="0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</c:legendEntry>
      <c:legendEntry>
        <c:idx val="2"/>
        <c:txPr>
          <a:bodyPr/>
          <a:lstStyle/>
          <a:p>
            <a:pPr>
              <a:defRPr lang="pt-PT" sz="920" b="0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</c:legendEntry>
      <c:layout>
        <c:manualLayout>
          <c:xMode val="edge"/>
          <c:yMode val="edge"/>
          <c:x val="9.2743437327520134E-2"/>
          <c:y val="0.89091863517060366"/>
          <c:w val="0.85860666055169765"/>
          <c:h val="7.692301991662813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lang="pt-PT"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fr-FR" sz="1000" i="1"/>
              <a:t>Trachurus</a:t>
            </a:r>
            <a:r>
              <a:rPr lang="fr-FR" sz="1000" i="1" baseline="0"/>
              <a:t> trecae </a:t>
            </a:r>
          </a:p>
          <a:p>
            <a:pPr>
              <a:defRPr lang="pt-PT" sz="1000"/>
            </a:pPr>
            <a:r>
              <a:rPr lang="fr-FR" sz="1000" baseline="0"/>
              <a:t>Zone C South Cap Blanc 2014</a:t>
            </a:r>
            <a:endParaRPr lang="fr-FR" sz="1000"/>
          </a:p>
        </c:rich>
      </c:tx>
      <c:layout>
        <c:manualLayout>
          <c:xMode val="edge"/>
          <c:yMode val="edge"/>
          <c:x val="0.3249065526291973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551379044610136"/>
          <c:y val="7.6446669897529421E-2"/>
          <c:w val="0.85281255468066497"/>
          <c:h val="0.773178769320512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'Tab&amp;Fig4.5.1a, b, c'!$M$3</c:f>
              <c:strCache>
                <c:ptCount val="1"/>
                <c:pt idx="0">
                  <c:v>Sud Cap  Blanc</c:v>
                </c:pt>
              </c:strCache>
            </c:strRef>
          </c:tx>
          <c:spPr>
            <a:solidFill>
              <a:prstClr val="white">
                <a:lumMod val="50000"/>
              </a:prstClr>
            </a:solidFill>
            <a:ln w="12700">
              <a:solidFill>
                <a:prstClr val="black">
                  <a:lumMod val="65000"/>
                  <a:lumOff val="35000"/>
                </a:prstClr>
              </a:solidFill>
            </a:ln>
          </c:spPr>
          <c:invertIfNegative val="0"/>
          <c:cat>
            <c:numRef>
              <c:f>'Tab&amp;Fig4.5.1a, b, c'!$A$55:$A$92</c:f>
              <c:numCache>
                <c:formatCode>General</c:formatCode>
                <c:ptCount val="38"/>
                <c:pt idx="0">
                  <c:v>13</c:v>
                </c:pt>
                <c:pt idx="1">
                  <c:v>14</c:v>
                </c:pt>
                <c:pt idx="2" formatCode="0">
                  <c:v>15</c:v>
                </c:pt>
                <c:pt idx="3" formatCode="0">
                  <c:v>16</c:v>
                </c:pt>
                <c:pt idx="4" formatCode="0">
                  <c:v>17</c:v>
                </c:pt>
                <c:pt idx="5" formatCode="0">
                  <c:v>18</c:v>
                </c:pt>
                <c:pt idx="6" formatCode="0">
                  <c:v>19</c:v>
                </c:pt>
                <c:pt idx="7" formatCode="0">
                  <c:v>20</c:v>
                </c:pt>
                <c:pt idx="8" formatCode="0">
                  <c:v>21</c:v>
                </c:pt>
                <c:pt idx="9" formatCode="0">
                  <c:v>22</c:v>
                </c:pt>
                <c:pt idx="10" formatCode="0">
                  <c:v>23</c:v>
                </c:pt>
                <c:pt idx="11" formatCode="0">
                  <c:v>24</c:v>
                </c:pt>
                <c:pt idx="12" formatCode="0">
                  <c:v>25</c:v>
                </c:pt>
                <c:pt idx="13" formatCode="0">
                  <c:v>26</c:v>
                </c:pt>
                <c:pt idx="14" formatCode="0">
                  <c:v>27</c:v>
                </c:pt>
                <c:pt idx="15" formatCode="0">
                  <c:v>28</c:v>
                </c:pt>
                <c:pt idx="16" formatCode="0">
                  <c:v>29</c:v>
                </c:pt>
                <c:pt idx="17" formatCode="0">
                  <c:v>30</c:v>
                </c:pt>
                <c:pt idx="18" formatCode="0">
                  <c:v>31</c:v>
                </c:pt>
                <c:pt idx="19" formatCode="0">
                  <c:v>32</c:v>
                </c:pt>
                <c:pt idx="20" formatCode="0">
                  <c:v>33</c:v>
                </c:pt>
                <c:pt idx="21" formatCode="0">
                  <c:v>34</c:v>
                </c:pt>
                <c:pt idx="22" formatCode="0">
                  <c:v>35</c:v>
                </c:pt>
                <c:pt idx="23" formatCode="0">
                  <c:v>36</c:v>
                </c:pt>
                <c:pt idx="24" formatCode="0">
                  <c:v>37</c:v>
                </c:pt>
                <c:pt idx="25" formatCode="0">
                  <c:v>38</c:v>
                </c:pt>
                <c:pt idx="26" formatCode="0">
                  <c:v>39</c:v>
                </c:pt>
                <c:pt idx="27" formatCode="0">
                  <c:v>40</c:v>
                </c:pt>
                <c:pt idx="28" formatCode="0">
                  <c:v>41</c:v>
                </c:pt>
                <c:pt idx="29" formatCode="0">
                  <c:v>42</c:v>
                </c:pt>
                <c:pt idx="30" formatCode="0">
                  <c:v>43</c:v>
                </c:pt>
                <c:pt idx="31" formatCode="0">
                  <c:v>44</c:v>
                </c:pt>
                <c:pt idx="32" formatCode="0">
                  <c:v>45</c:v>
                </c:pt>
                <c:pt idx="33" formatCode="0">
                  <c:v>46</c:v>
                </c:pt>
                <c:pt idx="34" formatCode="0">
                  <c:v>47</c:v>
                </c:pt>
                <c:pt idx="35" formatCode="0">
                  <c:v>48</c:v>
                </c:pt>
                <c:pt idx="36" formatCode="0">
                  <c:v>49</c:v>
                </c:pt>
                <c:pt idx="37" formatCode="0">
                  <c:v>50</c:v>
                </c:pt>
              </c:numCache>
            </c:numRef>
          </c:cat>
          <c:val>
            <c:numRef>
              <c:f>'Tab&amp;Fig4.5.1a, b, c'!$L$55:$L$92</c:f>
              <c:numCache>
                <c:formatCode>0.0</c:formatCode>
                <c:ptCount val="38"/>
                <c:pt idx="0">
                  <c:v>8.6241418862849743E-3</c:v>
                </c:pt>
                <c:pt idx="1">
                  <c:v>8.6241418862849743E-3</c:v>
                </c:pt>
                <c:pt idx="2">
                  <c:v>8.6241418862849743E-3</c:v>
                </c:pt>
                <c:pt idx="3">
                  <c:v>6.8993135090279795E-2</c:v>
                </c:pt>
                <c:pt idx="4">
                  <c:v>9.4865560749134714E-2</c:v>
                </c:pt>
                <c:pt idx="5">
                  <c:v>0.21588396674308602</c:v>
                </c:pt>
                <c:pt idx="6">
                  <c:v>0.35394479647089022</c:v>
                </c:pt>
                <c:pt idx="7">
                  <c:v>0.50136939038511685</c:v>
                </c:pt>
                <c:pt idx="8">
                  <c:v>0.74221761294365818</c:v>
                </c:pt>
                <c:pt idx="9">
                  <c:v>1.1986427328442266</c:v>
                </c:pt>
                <c:pt idx="10">
                  <c:v>2.5873471207963061</c:v>
                </c:pt>
                <c:pt idx="11">
                  <c:v>5.5142030153321961</c:v>
                </c:pt>
                <c:pt idx="12">
                  <c:v>7.9174172484213212</c:v>
                </c:pt>
                <c:pt idx="13">
                  <c:v>7.7766083727030786</c:v>
                </c:pt>
                <c:pt idx="14">
                  <c:v>6.5384796183158063</c:v>
                </c:pt>
                <c:pt idx="15">
                  <c:v>6.999029897776432</c:v>
                </c:pt>
                <c:pt idx="16">
                  <c:v>8.1984660912838034</c:v>
                </c:pt>
                <c:pt idx="17">
                  <c:v>7.5625855813076566</c:v>
                </c:pt>
                <c:pt idx="18">
                  <c:v>6.3558602196573073</c:v>
                </c:pt>
                <c:pt idx="19">
                  <c:v>6.9582294687075512</c:v>
                </c:pt>
                <c:pt idx="20">
                  <c:v>6.846238680248991</c:v>
                </c:pt>
                <c:pt idx="21">
                  <c:v>6.3667008447448685</c:v>
                </c:pt>
                <c:pt idx="22">
                  <c:v>4.9276848572511787</c:v>
                </c:pt>
                <c:pt idx="23">
                  <c:v>4.0537933476679608</c:v>
                </c:pt>
                <c:pt idx="24">
                  <c:v>2.8716158678376189</c:v>
                </c:pt>
                <c:pt idx="25">
                  <c:v>1.8056394487989798</c:v>
                </c:pt>
                <c:pt idx="26">
                  <c:v>1.0912714311441933</c:v>
                </c:pt>
                <c:pt idx="27">
                  <c:v>0.6272930312441406</c:v>
                </c:pt>
                <c:pt idx="28">
                  <c:v>0.39121189677239515</c:v>
                </c:pt>
                <c:pt idx="29">
                  <c:v>0.38483027665878716</c:v>
                </c:pt>
                <c:pt idx="30">
                  <c:v>0.29261882331083511</c:v>
                </c:pt>
                <c:pt idx="31">
                  <c:v>0.22455229536006877</c:v>
                </c:pt>
                <c:pt idx="32">
                  <c:v>0.19997942590922838</c:v>
                </c:pt>
                <c:pt idx="33">
                  <c:v>5.7202271271822001E-2</c:v>
                </c:pt>
                <c:pt idx="34">
                  <c:v>0.11650070621109347</c:v>
                </c:pt>
                <c:pt idx="35">
                  <c:v>3.5983473522874496E-2</c:v>
                </c:pt>
                <c:pt idx="36">
                  <c:v>6.1877895530197236E-2</c:v>
                </c:pt>
                <c:pt idx="37">
                  <c:v>3.4989171328049747E-2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91-7547-A293-AA1B24915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"/>
        <c:axId val="85369216"/>
        <c:axId val="85371136"/>
      </c:barChart>
      <c:catAx>
        <c:axId val="85369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85371136"/>
        <c:crosses val="autoZero"/>
        <c:auto val="1"/>
        <c:lblAlgn val="ctr"/>
        <c:lblOffset val="100"/>
        <c:noMultiLvlLbl val="0"/>
      </c:catAx>
      <c:valAx>
        <c:axId val="8537113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 b="1"/>
                </a:pPr>
                <a:r>
                  <a:rPr lang="en-US" b="1"/>
                  <a:t>%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0.49708694362996336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8536921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fr-FR" sz="1000" i="1"/>
              <a:t>Trachurus</a:t>
            </a:r>
            <a:r>
              <a:rPr lang="fr-FR" sz="1000" i="1" baseline="0"/>
              <a:t> trecae </a:t>
            </a:r>
          </a:p>
          <a:p>
            <a:pPr>
              <a:defRPr lang="pt-PT" sz="1000"/>
            </a:pPr>
            <a:r>
              <a:rPr lang="fr-FR" sz="1000" baseline="0"/>
              <a:t>Zone C North Cap Blanc 2014</a:t>
            </a:r>
            <a:endParaRPr lang="fr-FR" sz="1000"/>
          </a:p>
        </c:rich>
      </c:tx>
      <c:layout>
        <c:manualLayout>
          <c:xMode val="edge"/>
          <c:yMode val="edge"/>
          <c:x val="0.3249065526291973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40485564304458"/>
          <c:y val="7.6446850393700805E-2"/>
          <c:w val="0.85281255468066497"/>
          <c:h val="0.773178769320513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'Tab&amp;Fig4.5.1a, b, c'!$M$3</c:f>
              <c:strCache>
                <c:ptCount val="1"/>
                <c:pt idx="0">
                  <c:v>Sud Cap  Blanc</c:v>
                </c:pt>
              </c:strCache>
            </c:strRef>
          </c:tx>
          <c:spPr>
            <a:solidFill>
              <a:prstClr val="white">
                <a:lumMod val="50000"/>
              </a:prstClr>
            </a:solidFill>
            <a:ln w="12700">
              <a:solidFill>
                <a:prstClr val="black">
                  <a:lumMod val="65000"/>
                  <a:lumOff val="35000"/>
                </a:prstClr>
              </a:solidFill>
            </a:ln>
          </c:spPr>
          <c:invertIfNegative val="0"/>
          <c:cat>
            <c:numRef>
              <c:f>'Tab&amp;Fig4.5.1a, b, c'!$A$55:$A$92</c:f>
              <c:numCache>
                <c:formatCode>General</c:formatCode>
                <c:ptCount val="38"/>
                <c:pt idx="0">
                  <c:v>13</c:v>
                </c:pt>
                <c:pt idx="1">
                  <c:v>14</c:v>
                </c:pt>
                <c:pt idx="2" formatCode="0">
                  <c:v>15</c:v>
                </c:pt>
                <c:pt idx="3" formatCode="0">
                  <c:v>16</c:v>
                </c:pt>
                <c:pt idx="4" formatCode="0">
                  <c:v>17</c:v>
                </c:pt>
                <c:pt idx="5" formatCode="0">
                  <c:v>18</c:v>
                </c:pt>
                <c:pt idx="6" formatCode="0">
                  <c:v>19</c:v>
                </c:pt>
                <c:pt idx="7" formatCode="0">
                  <c:v>20</c:v>
                </c:pt>
                <c:pt idx="8" formatCode="0">
                  <c:v>21</c:v>
                </c:pt>
                <c:pt idx="9" formatCode="0">
                  <c:v>22</c:v>
                </c:pt>
                <c:pt idx="10" formatCode="0">
                  <c:v>23</c:v>
                </c:pt>
                <c:pt idx="11" formatCode="0">
                  <c:v>24</c:v>
                </c:pt>
                <c:pt idx="12" formatCode="0">
                  <c:v>25</c:v>
                </c:pt>
                <c:pt idx="13" formatCode="0">
                  <c:v>26</c:v>
                </c:pt>
                <c:pt idx="14" formatCode="0">
                  <c:v>27</c:v>
                </c:pt>
                <c:pt idx="15" formatCode="0">
                  <c:v>28</c:v>
                </c:pt>
                <c:pt idx="16" formatCode="0">
                  <c:v>29</c:v>
                </c:pt>
                <c:pt idx="17" formatCode="0">
                  <c:v>30</c:v>
                </c:pt>
                <c:pt idx="18" formatCode="0">
                  <c:v>31</c:v>
                </c:pt>
                <c:pt idx="19" formatCode="0">
                  <c:v>32</c:v>
                </c:pt>
                <c:pt idx="20" formatCode="0">
                  <c:v>33</c:v>
                </c:pt>
                <c:pt idx="21" formatCode="0">
                  <c:v>34</c:v>
                </c:pt>
                <c:pt idx="22" formatCode="0">
                  <c:v>35</c:v>
                </c:pt>
                <c:pt idx="23" formatCode="0">
                  <c:v>36</c:v>
                </c:pt>
                <c:pt idx="24" formatCode="0">
                  <c:v>37</c:v>
                </c:pt>
                <c:pt idx="25" formatCode="0">
                  <c:v>38</c:v>
                </c:pt>
                <c:pt idx="26" formatCode="0">
                  <c:v>39</c:v>
                </c:pt>
                <c:pt idx="27" formatCode="0">
                  <c:v>40</c:v>
                </c:pt>
                <c:pt idx="28" formatCode="0">
                  <c:v>41</c:v>
                </c:pt>
                <c:pt idx="29" formatCode="0">
                  <c:v>42</c:v>
                </c:pt>
                <c:pt idx="30" formatCode="0">
                  <c:v>43</c:v>
                </c:pt>
                <c:pt idx="31" formatCode="0">
                  <c:v>44</c:v>
                </c:pt>
                <c:pt idx="32" formatCode="0">
                  <c:v>45</c:v>
                </c:pt>
                <c:pt idx="33" formatCode="0">
                  <c:v>46</c:v>
                </c:pt>
                <c:pt idx="34" formatCode="0">
                  <c:v>47</c:v>
                </c:pt>
                <c:pt idx="35" formatCode="0">
                  <c:v>48</c:v>
                </c:pt>
                <c:pt idx="36" formatCode="0">
                  <c:v>49</c:v>
                </c:pt>
                <c:pt idx="37" formatCode="0">
                  <c:v>50</c:v>
                </c:pt>
              </c:numCache>
            </c:numRef>
          </c:cat>
          <c:val>
            <c:numRef>
              <c:f>'Tab&amp;Fig4.5.1a, b, c'!$K$55:$K$92</c:f>
              <c:numCache>
                <c:formatCode>0.0</c:formatCode>
                <c:ptCount val="38"/>
                <c:pt idx="0">
                  <c:v>1.1342860547773301E-4</c:v>
                </c:pt>
                <c:pt idx="1">
                  <c:v>8.5588870197984157</c:v>
                </c:pt>
                <c:pt idx="2">
                  <c:v>8.6011557204396585</c:v>
                </c:pt>
                <c:pt idx="3">
                  <c:v>0.11613229010954561</c:v>
                </c:pt>
                <c:pt idx="4">
                  <c:v>0.80533118605818022</c:v>
                </c:pt>
                <c:pt idx="5">
                  <c:v>0</c:v>
                </c:pt>
                <c:pt idx="6">
                  <c:v>0</c:v>
                </c:pt>
                <c:pt idx="7">
                  <c:v>4.9584914326281503E-2</c:v>
                </c:pt>
                <c:pt idx="8">
                  <c:v>17.650195841876119</c:v>
                </c:pt>
                <c:pt idx="9">
                  <c:v>29.634725469675942</c:v>
                </c:pt>
                <c:pt idx="10">
                  <c:v>13.39933731727967</c:v>
                </c:pt>
                <c:pt idx="11">
                  <c:v>3.9128358692014213</c:v>
                </c:pt>
                <c:pt idx="12">
                  <c:v>2.2501794177434165</c:v>
                </c:pt>
                <c:pt idx="13">
                  <c:v>1.7529842567237546</c:v>
                </c:pt>
                <c:pt idx="14">
                  <c:v>2.619948065141287</c:v>
                </c:pt>
                <c:pt idx="15">
                  <c:v>2.3480833236758154</c:v>
                </c:pt>
                <c:pt idx="16">
                  <c:v>2.2909126987212289</c:v>
                </c:pt>
                <c:pt idx="17">
                  <c:v>2.1182560459907638</c:v>
                </c:pt>
                <c:pt idx="18">
                  <c:v>1.2400188360658992</c:v>
                </c:pt>
                <c:pt idx="19">
                  <c:v>0.78571426069674377</c:v>
                </c:pt>
                <c:pt idx="20">
                  <c:v>0.44851903983874908</c:v>
                </c:pt>
                <c:pt idx="21">
                  <c:v>0.54757311701248623</c:v>
                </c:pt>
                <c:pt idx="22">
                  <c:v>0.49644757509100912</c:v>
                </c:pt>
                <c:pt idx="23">
                  <c:v>0.25972546176916878</c:v>
                </c:pt>
                <c:pt idx="24">
                  <c:v>6.5258778737600984E-2</c:v>
                </c:pt>
                <c:pt idx="25">
                  <c:v>3.2189491052609036E-2</c:v>
                </c:pt>
                <c:pt idx="26">
                  <c:v>1.4129234778690231E-2</c:v>
                </c:pt>
                <c:pt idx="27">
                  <c:v>1.7613395900666047E-3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7-B54A-8F1A-23EF67014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"/>
        <c:axId val="85281024"/>
        <c:axId val="85283200"/>
      </c:barChart>
      <c:catAx>
        <c:axId val="85281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85283200"/>
        <c:crosses val="autoZero"/>
        <c:auto val="1"/>
        <c:lblAlgn val="ctr"/>
        <c:lblOffset val="100"/>
        <c:noMultiLvlLbl val="0"/>
      </c:catAx>
      <c:valAx>
        <c:axId val="8528320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 b="1"/>
                </a:pPr>
                <a:r>
                  <a:rPr lang="en-US" b="1"/>
                  <a:t>%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0.49708694362996358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8528102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1132" l="0.70000000000000062" r="0.70000000000000062" t="0.75000000000001132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fr-FR" sz="1000" i="1"/>
              <a:t>Trachurus</a:t>
            </a:r>
            <a:r>
              <a:rPr lang="fr-FR" sz="1000" i="1" baseline="0"/>
              <a:t> trecae </a:t>
            </a:r>
          </a:p>
          <a:p>
            <a:pPr>
              <a:defRPr lang="pt-PT" sz="1000"/>
            </a:pPr>
            <a:r>
              <a:rPr lang="fr-FR" sz="1000" baseline="0"/>
              <a:t>total région 2014</a:t>
            </a:r>
            <a:endParaRPr lang="fr-FR" sz="1000"/>
          </a:p>
        </c:rich>
      </c:tx>
      <c:layout>
        <c:manualLayout>
          <c:xMode val="edge"/>
          <c:yMode val="edge"/>
          <c:x val="0.3249065526291973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40485564304458"/>
          <c:y val="7.6446850393700805E-2"/>
          <c:w val="0.85281255468066497"/>
          <c:h val="0.773178769320513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'Tab&amp;Fig4.5.1a, b, c'!$M$3</c:f>
              <c:strCache>
                <c:ptCount val="1"/>
                <c:pt idx="0">
                  <c:v>Sud Cap  Blanc</c:v>
                </c:pt>
              </c:strCache>
            </c:strRef>
          </c:tx>
          <c:spPr>
            <a:solidFill>
              <a:prstClr val="white">
                <a:lumMod val="50000"/>
              </a:prstClr>
            </a:solidFill>
            <a:ln w="12700">
              <a:solidFill>
                <a:prstClr val="black">
                  <a:lumMod val="65000"/>
                  <a:lumOff val="35000"/>
                </a:prstClr>
              </a:solidFill>
            </a:ln>
          </c:spPr>
          <c:invertIfNegative val="0"/>
          <c:cat>
            <c:numRef>
              <c:f>'Tab&amp;Fig4.5.1a, b, c'!$A$55:$A$92</c:f>
              <c:numCache>
                <c:formatCode>General</c:formatCode>
                <c:ptCount val="38"/>
                <c:pt idx="0">
                  <c:v>13</c:v>
                </c:pt>
                <c:pt idx="1">
                  <c:v>14</c:v>
                </c:pt>
                <c:pt idx="2" formatCode="0">
                  <c:v>15</c:v>
                </c:pt>
                <c:pt idx="3" formatCode="0">
                  <c:v>16</c:v>
                </c:pt>
                <c:pt idx="4" formatCode="0">
                  <c:v>17</c:v>
                </c:pt>
                <c:pt idx="5" formatCode="0">
                  <c:v>18</c:v>
                </c:pt>
                <c:pt idx="6" formatCode="0">
                  <c:v>19</c:v>
                </c:pt>
                <c:pt idx="7" formatCode="0">
                  <c:v>20</c:v>
                </c:pt>
                <c:pt idx="8" formatCode="0">
                  <c:v>21</c:v>
                </c:pt>
                <c:pt idx="9" formatCode="0">
                  <c:v>22</c:v>
                </c:pt>
                <c:pt idx="10" formatCode="0">
                  <c:v>23</c:v>
                </c:pt>
                <c:pt idx="11" formatCode="0">
                  <c:v>24</c:v>
                </c:pt>
                <c:pt idx="12" formatCode="0">
                  <c:v>25</c:v>
                </c:pt>
                <c:pt idx="13" formatCode="0">
                  <c:v>26</c:v>
                </c:pt>
                <c:pt idx="14" formatCode="0">
                  <c:v>27</c:v>
                </c:pt>
                <c:pt idx="15" formatCode="0">
                  <c:v>28</c:v>
                </c:pt>
                <c:pt idx="16" formatCode="0">
                  <c:v>29</c:v>
                </c:pt>
                <c:pt idx="17" formatCode="0">
                  <c:v>30</c:v>
                </c:pt>
                <c:pt idx="18" formatCode="0">
                  <c:v>31</c:v>
                </c:pt>
                <c:pt idx="19" formatCode="0">
                  <c:v>32</c:v>
                </c:pt>
                <c:pt idx="20" formatCode="0">
                  <c:v>33</c:v>
                </c:pt>
                <c:pt idx="21" formatCode="0">
                  <c:v>34</c:v>
                </c:pt>
                <c:pt idx="22" formatCode="0">
                  <c:v>35</c:v>
                </c:pt>
                <c:pt idx="23" formatCode="0">
                  <c:v>36</c:v>
                </c:pt>
                <c:pt idx="24" formatCode="0">
                  <c:v>37</c:v>
                </c:pt>
                <c:pt idx="25" formatCode="0">
                  <c:v>38</c:v>
                </c:pt>
                <c:pt idx="26" formatCode="0">
                  <c:v>39</c:v>
                </c:pt>
                <c:pt idx="27" formatCode="0">
                  <c:v>40</c:v>
                </c:pt>
                <c:pt idx="28" formatCode="0">
                  <c:v>41</c:v>
                </c:pt>
                <c:pt idx="29" formatCode="0">
                  <c:v>42</c:v>
                </c:pt>
                <c:pt idx="30" formatCode="0">
                  <c:v>43</c:v>
                </c:pt>
                <c:pt idx="31" formatCode="0">
                  <c:v>44</c:v>
                </c:pt>
                <c:pt idx="32" formatCode="0">
                  <c:v>45</c:v>
                </c:pt>
                <c:pt idx="33" formatCode="0">
                  <c:v>46</c:v>
                </c:pt>
                <c:pt idx="34" formatCode="0">
                  <c:v>47</c:v>
                </c:pt>
                <c:pt idx="35" formatCode="0">
                  <c:v>48</c:v>
                </c:pt>
                <c:pt idx="36" formatCode="0">
                  <c:v>49</c:v>
                </c:pt>
                <c:pt idx="37" formatCode="0">
                  <c:v>50</c:v>
                </c:pt>
              </c:numCache>
            </c:numRef>
          </c:cat>
          <c:val>
            <c:numRef>
              <c:f>'Tab&amp;Fig4.5.1a, b, c'!$M$55:$M$92</c:f>
              <c:numCache>
                <c:formatCode>0.0</c:formatCode>
                <c:ptCount val="38"/>
                <c:pt idx="0">
                  <c:v>5.457213150883997E-3</c:v>
                </c:pt>
                <c:pt idx="1">
                  <c:v>3.1902697114012093</c:v>
                </c:pt>
                <c:pt idx="2">
                  <c:v>3.2059983534376753</c:v>
                </c:pt>
                <c:pt idx="3">
                  <c:v>8.6534126035150913E-2</c:v>
                </c:pt>
                <c:pt idx="4">
                  <c:v>0.35923752700722344</c:v>
                </c:pt>
                <c:pt idx="5">
                  <c:v>0.13555120082406072</c:v>
                </c:pt>
                <c:pt idx="6">
                  <c:v>0.22223809813608353</c:v>
                </c:pt>
                <c:pt idx="7">
                  <c:v>0.33325548591774751</c:v>
                </c:pt>
                <c:pt idx="8">
                  <c:v>7.0338597284751838</c:v>
                </c:pt>
                <c:pt idx="9">
                  <c:v>11.78001759182318</c:v>
                </c:pt>
                <c:pt idx="10">
                  <c:v>6.6106059606087397</c:v>
                </c:pt>
                <c:pt idx="11">
                  <c:v>4.9183169287399826</c:v>
                </c:pt>
                <c:pt idx="12">
                  <c:v>5.8085765738329975</c:v>
                </c:pt>
                <c:pt idx="13">
                  <c:v>5.5351524953010118</c:v>
                </c:pt>
                <c:pt idx="14">
                  <c:v>5.0803515194278663</c:v>
                </c:pt>
                <c:pt idx="15">
                  <c:v>5.2683622244158155</c:v>
                </c:pt>
                <c:pt idx="16">
                  <c:v>6.0002013891920649</c:v>
                </c:pt>
                <c:pt idx="17">
                  <c:v>5.5366915015165077</c:v>
                </c:pt>
                <c:pt idx="18">
                  <c:v>4.4522001445393267</c:v>
                </c:pt>
                <c:pt idx="19">
                  <c:v>4.6613696008005876</c:v>
                </c:pt>
                <c:pt idx="20">
                  <c:v>4.4655778000445263</c:v>
                </c:pt>
                <c:pt idx="21">
                  <c:v>4.2013402917717695</c:v>
                </c:pt>
                <c:pt idx="22">
                  <c:v>3.2787733948123816</c:v>
                </c:pt>
                <c:pt idx="23">
                  <c:v>2.6419795295463335</c:v>
                </c:pt>
                <c:pt idx="24">
                  <c:v>1.8273399518213174</c:v>
                </c:pt>
                <c:pt idx="25">
                  <c:v>1.1457194812624967</c:v>
                </c:pt>
                <c:pt idx="26">
                  <c:v>0.69045513511462286</c:v>
                </c:pt>
                <c:pt idx="27">
                  <c:v>0.39452590305634083</c:v>
                </c:pt>
                <c:pt idx="28">
                  <c:v>0.24563770614454386</c:v>
                </c:pt>
                <c:pt idx="29">
                  <c:v>0.2416307561025707</c:v>
                </c:pt>
                <c:pt idx="30">
                  <c:v>0.18373218484868178</c:v>
                </c:pt>
                <c:pt idx="31">
                  <c:v>0.14099395032925166</c:v>
                </c:pt>
                <c:pt idx="32">
                  <c:v>0.12556491216580973</c:v>
                </c:pt>
                <c:pt idx="33">
                  <c:v>3.591668560540507E-2</c:v>
                </c:pt>
                <c:pt idx="34">
                  <c:v>7.3149529638567232E-2</c:v>
                </c:pt>
                <c:pt idx="35">
                  <c:v>2.259363267885036E-2</c:v>
                </c:pt>
                <c:pt idx="36">
                  <c:v>3.885245935639934E-2</c:v>
                </c:pt>
                <c:pt idx="37">
                  <c:v>2.196932111683942E-2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58-7F40-9A79-5F8B7B873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"/>
        <c:axId val="85311872"/>
        <c:axId val="85313792"/>
      </c:barChart>
      <c:catAx>
        <c:axId val="85311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22225"/>
        </c:spPr>
        <c:txPr>
          <a:bodyPr/>
          <a:lstStyle/>
          <a:p>
            <a:pPr>
              <a:defRPr lang="pt-PT"/>
            </a:pPr>
            <a:endParaRPr lang="fr-FR"/>
          </a:p>
        </c:txPr>
        <c:crossAx val="85313792"/>
        <c:crosses val="autoZero"/>
        <c:auto val="1"/>
        <c:lblAlgn val="ctr"/>
        <c:lblOffset val="100"/>
        <c:noMultiLvlLbl val="0"/>
      </c:catAx>
      <c:valAx>
        <c:axId val="8531379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 b="1"/>
                </a:pPr>
                <a:r>
                  <a:rPr lang="en-US" b="1"/>
                  <a:t>%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0.49708694362996386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8531187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1155" l="0.70000000000000062" r="0.70000000000000062" t="0.7500000000000115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fr-FR" sz="1000" i="1" baseline="0"/>
              <a:t> D.rhonchus </a:t>
            </a:r>
          </a:p>
          <a:p>
            <a:pPr>
              <a:defRPr lang="pt-PT" sz="1000"/>
            </a:pPr>
            <a:r>
              <a:rPr lang="fr-FR" sz="1000" baseline="0"/>
              <a:t>Zone C South Cap Blanc 2014</a:t>
            </a:r>
            <a:endParaRPr lang="fr-FR" sz="1000"/>
          </a:p>
        </c:rich>
      </c:tx>
      <c:layout>
        <c:manualLayout>
          <c:xMode val="edge"/>
          <c:yMode val="edge"/>
          <c:x val="0.3249065526291973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40485564304458"/>
          <c:y val="7.6446850393700805E-2"/>
          <c:w val="0.85281255468066497"/>
          <c:h val="0.773178769320513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'Tab&amp;Fig4.5.1a, b, c'!$M$3</c:f>
              <c:strCache>
                <c:ptCount val="1"/>
                <c:pt idx="0">
                  <c:v>Sud Cap  Blanc</c:v>
                </c:pt>
              </c:strCache>
            </c:strRef>
          </c:tx>
          <c:spPr>
            <a:solidFill>
              <a:prstClr val="white">
                <a:lumMod val="50000"/>
              </a:prstClr>
            </a:solidFill>
            <a:ln w="12700">
              <a:solidFill>
                <a:prstClr val="black">
                  <a:lumMod val="65000"/>
                  <a:lumOff val="35000"/>
                </a:prstClr>
              </a:solidFill>
            </a:ln>
          </c:spPr>
          <c:invertIfNegative val="0"/>
          <c:cat>
            <c:numRef>
              <c:f>'Tab&amp;Fig4.5.1a, b, c'!$A$98:$A$135</c:f>
              <c:numCache>
                <c:formatCode>General</c:formatCode>
                <c:ptCount val="38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</c:numCache>
            </c:numRef>
          </c:cat>
          <c:val>
            <c:numRef>
              <c:f>'Tab&amp;Fig4.5.1a, b, c'!$L$100:$L$137</c:f>
              <c:numCache>
                <c:formatCode>0.0</c:formatCode>
                <c:ptCount val="38"/>
                <c:pt idx="0">
                  <c:v>8.504602457697177E-3</c:v>
                </c:pt>
                <c:pt idx="1">
                  <c:v>2.5513807373091533E-2</c:v>
                </c:pt>
                <c:pt idx="2">
                  <c:v>4.252301228848588E-2</c:v>
                </c:pt>
                <c:pt idx="3">
                  <c:v>0.14457824178085199</c:v>
                </c:pt>
                <c:pt idx="4">
                  <c:v>0.28915648356170398</c:v>
                </c:pt>
                <c:pt idx="5">
                  <c:v>0.62083597941189395</c:v>
                </c:pt>
                <c:pt idx="6">
                  <c:v>1.1906443440776047</c:v>
                </c:pt>
                <c:pt idx="7">
                  <c:v>1.3862502006046395</c:v>
                </c:pt>
                <c:pt idx="8">
                  <c:v>2.2452150488320544</c:v>
                </c:pt>
                <c:pt idx="9">
                  <c:v>2.9000694380747376</c:v>
                </c:pt>
                <c:pt idx="10">
                  <c:v>3.8695941182522153</c:v>
                </c:pt>
                <c:pt idx="11">
                  <c:v>4.4479070853756228</c:v>
                </c:pt>
                <c:pt idx="12">
                  <c:v>4.635008339444961</c:v>
                </c:pt>
                <c:pt idx="13">
                  <c:v>9.2445028715168309</c:v>
                </c:pt>
                <c:pt idx="14">
                  <c:v>8.7682451338857899</c:v>
                </c:pt>
                <c:pt idx="15">
                  <c:v>11.047478592548634</c:v>
                </c:pt>
                <c:pt idx="16">
                  <c:v>10.579725457375288</c:v>
                </c:pt>
                <c:pt idx="17">
                  <c:v>7.4330584136216018</c:v>
                </c:pt>
                <c:pt idx="18">
                  <c:v>5.1283470131799378</c:v>
                </c:pt>
                <c:pt idx="19">
                  <c:v>6.0644014280310055</c:v>
                </c:pt>
                <c:pt idx="20">
                  <c:v>3.9823005020351978</c:v>
                </c:pt>
                <c:pt idx="21">
                  <c:v>4.9092652179015328</c:v>
                </c:pt>
                <c:pt idx="22">
                  <c:v>2.6987394097719792</c:v>
                </c:pt>
                <c:pt idx="23">
                  <c:v>2.5623081743070601</c:v>
                </c:pt>
                <c:pt idx="24">
                  <c:v>1.763137746997463</c:v>
                </c:pt>
                <c:pt idx="25">
                  <c:v>1.3380598572475457</c:v>
                </c:pt>
                <c:pt idx="26">
                  <c:v>0.80162488419420697</c:v>
                </c:pt>
                <c:pt idx="27">
                  <c:v>0.62202351588524574</c:v>
                </c:pt>
                <c:pt idx="28">
                  <c:v>0.38316985550157773</c:v>
                </c:pt>
                <c:pt idx="29">
                  <c:v>0.34893834531508966</c:v>
                </c:pt>
                <c:pt idx="30">
                  <c:v>0.24669783162891765</c:v>
                </c:pt>
                <c:pt idx="31">
                  <c:v>0.1531072301062347</c:v>
                </c:pt>
                <c:pt idx="32">
                  <c:v>5.9535600209416221E-2</c:v>
                </c:pt>
                <c:pt idx="33">
                  <c:v>4.252301228848588E-2</c:v>
                </c:pt>
                <c:pt idx="34">
                  <c:v>1.7009204915394354E-2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C-2543-8A36-01907587B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"/>
        <c:axId val="85149952"/>
        <c:axId val="85156224"/>
      </c:barChart>
      <c:catAx>
        <c:axId val="85149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85156224"/>
        <c:crosses val="autoZero"/>
        <c:auto val="1"/>
        <c:lblAlgn val="ctr"/>
        <c:lblOffset val="100"/>
        <c:noMultiLvlLbl val="0"/>
      </c:catAx>
      <c:valAx>
        <c:axId val="8515622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 b="1"/>
                </a:pPr>
                <a:r>
                  <a:rPr lang="en-US" b="1"/>
                  <a:t>%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0.49708694362996358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8514995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1132" l="0.70000000000000062" r="0.70000000000000062" t="0.75000000000001132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fr-FR" sz="1000" i="1" baseline="0"/>
              <a:t> </a:t>
            </a:r>
            <a:r>
              <a:rPr lang="fr-FR" sz="1000" b="1" i="1" u="none" strike="noStrike" baseline="0"/>
              <a:t>D.rhonchus </a:t>
            </a:r>
            <a:r>
              <a:rPr lang="fr-FR" sz="1000" i="1" baseline="0"/>
              <a:t> </a:t>
            </a:r>
          </a:p>
          <a:p>
            <a:pPr>
              <a:defRPr lang="pt-PT" sz="1000"/>
            </a:pPr>
            <a:r>
              <a:rPr lang="fr-FR" sz="1000" baseline="0"/>
              <a:t>Zone C North Cap Blanc 2014</a:t>
            </a:r>
            <a:endParaRPr lang="fr-FR" sz="1000"/>
          </a:p>
        </c:rich>
      </c:tx>
      <c:layout>
        <c:manualLayout>
          <c:xMode val="edge"/>
          <c:yMode val="edge"/>
          <c:x val="0.3249065526291973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40485564304458"/>
          <c:y val="7.6446850393700805E-2"/>
          <c:w val="0.85281255468066497"/>
          <c:h val="0.773178769320513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'Tab&amp;Fig4.5.1a, b, c'!$M$3</c:f>
              <c:strCache>
                <c:ptCount val="1"/>
                <c:pt idx="0">
                  <c:v>Sud Cap  Blanc</c:v>
                </c:pt>
              </c:strCache>
            </c:strRef>
          </c:tx>
          <c:spPr>
            <a:solidFill>
              <a:prstClr val="white">
                <a:lumMod val="50000"/>
              </a:prstClr>
            </a:solidFill>
            <a:ln w="12700">
              <a:solidFill>
                <a:prstClr val="black">
                  <a:lumMod val="65000"/>
                  <a:lumOff val="35000"/>
                </a:prstClr>
              </a:solidFill>
            </a:ln>
          </c:spPr>
          <c:invertIfNegative val="0"/>
          <c:cat>
            <c:numRef>
              <c:f>'Tab&amp;Fig4.5.1a, b, c'!$A$98:$A$135</c:f>
              <c:numCache>
                <c:formatCode>General</c:formatCode>
                <c:ptCount val="38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</c:numCache>
            </c:numRef>
          </c:cat>
          <c:val>
            <c:numRef>
              <c:f>'Tab&amp;Fig4.5.1a, b, c'!$K$100:$K$137</c:f>
              <c:numCache>
                <c:formatCode>0.0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8.2369824766406303</c:v>
                </c:pt>
                <c:pt idx="15">
                  <c:v>3.5301353471316985</c:v>
                </c:pt>
                <c:pt idx="16">
                  <c:v>6.0627200016360172</c:v>
                </c:pt>
                <c:pt idx="17">
                  <c:v>18.410783736164333</c:v>
                </c:pt>
                <c:pt idx="18">
                  <c:v>7.3222809199196606</c:v>
                </c:pt>
                <c:pt idx="19">
                  <c:v>13.39269746144838</c:v>
                </c:pt>
                <c:pt idx="20">
                  <c:v>13.99653651789845</c:v>
                </c:pt>
                <c:pt idx="21">
                  <c:v>8.0803754539504205</c:v>
                </c:pt>
                <c:pt idx="22">
                  <c:v>9.2439326213719912</c:v>
                </c:pt>
                <c:pt idx="23">
                  <c:v>5.9055079475332848</c:v>
                </c:pt>
                <c:pt idx="24">
                  <c:v>5.4609529652632318</c:v>
                </c:pt>
                <c:pt idx="25">
                  <c:v>0.1811730466264255</c:v>
                </c:pt>
                <c:pt idx="26">
                  <c:v>0.12078203108428368</c:v>
                </c:pt>
                <c:pt idx="27">
                  <c:v>0</c:v>
                </c:pt>
                <c:pt idx="28">
                  <c:v>5.51394733311939E-2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8D-1C40-B22B-5EA1F2370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"/>
        <c:axId val="85397888"/>
        <c:axId val="85399808"/>
      </c:barChart>
      <c:catAx>
        <c:axId val="85397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85399808"/>
        <c:crosses val="autoZero"/>
        <c:auto val="1"/>
        <c:lblAlgn val="ctr"/>
        <c:lblOffset val="100"/>
        <c:noMultiLvlLbl val="0"/>
      </c:catAx>
      <c:valAx>
        <c:axId val="8539980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 b="1"/>
                </a:pPr>
                <a:r>
                  <a:rPr lang="en-US" b="1"/>
                  <a:t>%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0.49708694362996386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8539788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1155" l="0.70000000000000062" r="0.70000000000000062" t="0.7500000000000115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fr-FR" sz="1000" i="1" baseline="0"/>
              <a:t> </a:t>
            </a:r>
            <a:r>
              <a:rPr lang="fr-FR" sz="1000" b="1" i="1" u="none" strike="noStrike" baseline="0"/>
              <a:t>D.rhonchus </a:t>
            </a:r>
            <a:r>
              <a:rPr lang="fr-FR" sz="1000" i="1" baseline="0"/>
              <a:t> </a:t>
            </a:r>
          </a:p>
          <a:p>
            <a:pPr>
              <a:defRPr lang="pt-PT" sz="1000"/>
            </a:pPr>
            <a:r>
              <a:rPr lang="fr-FR" sz="1000" baseline="0"/>
              <a:t>Zone C North Cap Blanc 2014</a:t>
            </a:r>
            <a:endParaRPr lang="fr-FR" sz="1000"/>
          </a:p>
        </c:rich>
      </c:tx>
      <c:layout>
        <c:manualLayout>
          <c:xMode val="edge"/>
          <c:yMode val="edge"/>
          <c:x val="0.3249065526291973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40485564304458"/>
          <c:y val="7.6446850393700805E-2"/>
          <c:w val="0.85281255468066497"/>
          <c:h val="0.773178769320513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'Tab&amp;Fig4.5.1a, b, c'!$M$3</c:f>
              <c:strCache>
                <c:ptCount val="1"/>
                <c:pt idx="0">
                  <c:v>Sud Cap  Blanc</c:v>
                </c:pt>
              </c:strCache>
            </c:strRef>
          </c:tx>
          <c:spPr>
            <a:solidFill>
              <a:prstClr val="white">
                <a:lumMod val="50000"/>
              </a:prstClr>
            </a:solidFill>
            <a:ln w="12700">
              <a:solidFill>
                <a:prstClr val="black">
                  <a:lumMod val="65000"/>
                  <a:lumOff val="35000"/>
                </a:prstClr>
              </a:solidFill>
            </a:ln>
          </c:spPr>
          <c:invertIfNegative val="0"/>
          <c:cat>
            <c:numRef>
              <c:f>'Tab&amp;Fig4.5.1a, b, c'!$A$98:$A$135</c:f>
              <c:numCache>
                <c:formatCode>General</c:formatCode>
                <c:ptCount val="38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</c:numCache>
            </c:numRef>
          </c:cat>
          <c:val>
            <c:numRef>
              <c:f>'Tab&amp;Fig4.5.1a, b, c'!$M$100:$M$137</c:f>
              <c:numCache>
                <c:formatCode>0.0</c:formatCode>
                <c:ptCount val="38"/>
                <c:pt idx="0">
                  <c:v>8.4278599928754895E-3</c:v>
                </c:pt>
                <c:pt idx="1">
                  <c:v>2.5283579978626469E-2</c:v>
                </c:pt>
                <c:pt idx="2">
                  <c:v>4.2139299964377444E-2</c:v>
                </c:pt>
                <c:pt idx="3">
                  <c:v>0.14327361987888332</c:v>
                </c:pt>
                <c:pt idx="4">
                  <c:v>0.28654723975776664</c:v>
                </c:pt>
                <c:pt idx="5">
                  <c:v>0.61523377947991065</c:v>
                </c:pt>
                <c:pt idx="6">
                  <c:v>1.1799003990025685</c:v>
                </c:pt>
                <c:pt idx="7">
                  <c:v>1.3737411788387044</c:v>
                </c:pt>
                <c:pt idx="8">
                  <c:v>2.2249550381191292</c:v>
                </c:pt>
                <c:pt idx="9">
                  <c:v>2.8739002575705421</c:v>
                </c:pt>
                <c:pt idx="10">
                  <c:v>3.8346762967583472</c:v>
                </c:pt>
                <c:pt idx="11">
                  <c:v>4.40777077627388</c:v>
                </c:pt>
                <c:pt idx="12">
                  <c:v>4.5931836961171415</c:v>
                </c:pt>
                <c:pt idx="13">
                  <c:v>9.1610838122556579</c:v>
                </c:pt>
                <c:pt idx="14">
                  <c:v>8.7634512113023977</c:v>
                </c:pt>
                <c:pt idx="15">
                  <c:v>10.979644798737162</c:v>
                </c:pt>
                <c:pt idx="16">
                  <c:v>10.538965629504355</c:v>
                </c:pt>
                <c:pt idx="17">
                  <c:v>7.5321174470776464</c:v>
                </c:pt>
                <c:pt idx="18">
                  <c:v>5.1481442813646137</c:v>
                </c:pt>
                <c:pt idx="19">
                  <c:v>6.1305293279939779</c:v>
                </c:pt>
                <c:pt idx="20">
                  <c:v>4.0726653555349532</c:v>
                </c:pt>
                <c:pt idx="21">
                  <c:v>4.9378801727975628</c:v>
                </c:pt>
                <c:pt idx="22">
                  <c:v>2.757800872349546</c:v>
                </c:pt>
                <c:pt idx="23">
                  <c:v>2.5924760031109191</c:v>
                </c:pt>
                <c:pt idx="24">
                  <c:v>1.7965054976614609</c:v>
                </c:pt>
                <c:pt idx="25">
                  <c:v>1.3276205279774971</c:v>
                </c:pt>
                <c:pt idx="26">
                  <c:v>0.79548120387948551</c:v>
                </c:pt>
                <c:pt idx="27">
                  <c:v>0.61641060005249182</c:v>
                </c:pt>
                <c:pt idx="28">
                  <c:v>0.38020982765908035</c:v>
                </c:pt>
                <c:pt idx="29">
                  <c:v>0.34578965155503683</c:v>
                </c:pt>
                <c:pt idx="30">
                  <c:v>0.24447171938445475</c:v>
                </c:pt>
                <c:pt idx="31">
                  <c:v>0.15172564569017075</c:v>
                </c:pt>
                <c:pt idx="32">
                  <c:v>5.899837242864276E-2</c:v>
                </c:pt>
                <c:pt idx="33">
                  <c:v>4.2139299964377444E-2</c:v>
                </c:pt>
                <c:pt idx="34">
                  <c:v>1.6855719985750979E-2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7-3745-B506-99DA91BD4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"/>
        <c:axId val="85428480"/>
        <c:axId val="85455232"/>
      </c:barChart>
      <c:catAx>
        <c:axId val="85428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85455232"/>
        <c:crosses val="autoZero"/>
        <c:auto val="1"/>
        <c:lblAlgn val="ctr"/>
        <c:lblOffset val="100"/>
        <c:noMultiLvlLbl val="0"/>
      </c:catAx>
      <c:valAx>
        <c:axId val="854552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 b="1"/>
                </a:pPr>
                <a:r>
                  <a:rPr lang="en-US" b="1"/>
                  <a:t>%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0.49708694362996408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854284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1177" l="0.70000000000000062" r="0.70000000000000062" t="0.75000000000001177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fr-FR" sz="1000" i="1"/>
              <a:t>Trachurus</a:t>
            </a:r>
            <a:r>
              <a:rPr lang="fr-FR" sz="1000" i="1" baseline="0"/>
              <a:t> trachurus </a:t>
            </a:r>
          </a:p>
          <a:p>
            <a:pPr>
              <a:defRPr lang="pt-PT" sz="1000"/>
            </a:pPr>
            <a:r>
              <a:rPr lang="fr-FR" sz="1000" baseline="0"/>
              <a:t>Zone C South Cap Blanc 2014</a:t>
            </a:r>
            <a:endParaRPr lang="fr-FR" sz="10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440485564304458"/>
          <c:y val="7.6446850393700805E-2"/>
          <c:w val="0.85281255468066497"/>
          <c:h val="0.773178769320512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'Tab&amp;Fig4.5.1a, b, c'!$M$3</c:f>
              <c:strCache>
                <c:ptCount val="1"/>
                <c:pt idx="0">
                  <c:v>Sud Cap  Blanc</c:v>
                </c:pt>
              </c:strCache>
            </c:strRef>
          </c:tx>
          <c:spPr>
            <a:solidFill>
              <a:prstClr val="white">
                <a:lumMod val="50000"/>
              </a:prstClr>
            </a:solidFill>
            <a:ln w="12700">
              <a:solidFill>
                <a:prstClr val="black">
                  <a:lumMod val="65000"/>
                  <a:lumOff val="35000"/>
                </a:prstClr>
              </a:solidFill>
            </a:ln>
          </c:spPr>
          <c:invertIfNegative val="0"/>
          <c:cat>
            <c:numRef>
              <c:f>'Tab&amp;Fig4.5.1a, b, c'!$A$4:$A$46</c:f>
              <c:numCache>
                <c:formatCode>General</c:formatCode>
                <c:ptCount val="43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</c:numCache>
            </c:numRef>
          </c:cat>
          <c:val>
            <c:numRef>
              <c:f>'Tab&amp;Fig4.5.1a, b, c'!$M$4:$M$46</c:f>
              <c:numCache>
                <c:formatCode>0.0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7.5595504147071679E-3</c:v>
                </c:pt>
                <c:pt idx="13">
                  <c:v>3.6764383507048547E-2</c:v>
                </c:pt>
                <c:pt idx="14">
                  <c:v>5.1702827644721568E-2</c:v>
                </c:pt>
                <c:pt idx="15">
                  <c:v>2.6220333847356142E-2</c:v>
                </c:pt>
                <c:pt idx="16">
                  <c:v>3.3500612703350217E-2</c:v>
                </c:pt>
                <c:pt idx="17">
                  <c:v>0.68705944283497511</c:v>
                </c:pt>
                <c:pt idx="18">
                  <c:v>4.266486256438573</c:v>
                </c:pt>
                <c:pt idx="19">
                  <c:v>9.8351579658338721</c:v>
                </c:pt>
                <c:pt idx="20">
                  <c:v>14.391394874100834</c:v>
                </c:pt>
                <c:pt idx="21">
                  <c:v>12.99640192772647</c:v>
                </c:pt>
                <c:pt idx="22">
                  <c:v>11.09700092579941</c:v>
                </c:pt>
                <c:pt idx="23">
                  <c:v>9.4266572491901908</c:v>
                </c:pt>
                <c:pt idx="24">
                  <c:v>7.4794637500326555</c:v>
                </c:pt>
                <c:pt idx="25">
                  <c:v>6.2006631064995084</c:v>
                </c:pt>
                <c:pt idx="26">
                  <c:v>4.6270525501855087</c:v>
                </c:pt>
                <c:pt idx="27">
                  <c:v>4.346382220677441</c:v>
                </c:pt>
                <c:pt idx="28">
                  <c:v>3.0328976244582475</c:v>
                </c:pt>
                <c:pt idx="29">
                  <c:v>2.3087570440703282</c:v>
                </c:pt>
                <c:pt idx="30">
                  <c:v>1.9205760638974858</c:v>
                </c:pt>
                <c:pt idx="31">
                  <c:v>1.8629363944813904</c:v>
                </c:pt>
                <c:pt idx="32">
                  <c:v>1.7970681732670091</c:v>
                </c:pt>
                <c:pt idx="33">
                  <c:v>1.4411660697807158</c:v>
                </c:pt>
                <c:pt idx="34">
                  <c:v>1.4763446835652843</c:v>
                </c:pt>
                <c:pt idx="35">
                  <c:v>0.47753474187064271</c:v>
                </c:pt>
                <c:pt idx="36">
                  <c:v>0.13350130032235452</c:v>
                </c:pt>
                <c:pt idx="37">
                  <c:v>3.1172094417099321E-2</c:v>
                </c:pt>
                <c:pt idx="38">
                  <c:v>2.3584853011794564E-3</c:v>
                </c:pt>
                <c:pt idx="39">
                  <c:v>6.2193471316805832E-3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F-8047-9ABF-5375B0FC5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"/>
        <c:axId val="85488768"/>
        <c:axId val="85490688"/>
      </c:barChart>
      <c:catAx>
        <c:axId val="85488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85490688"/>
        <c:crosses val="autoZero"/>
        <c:auto val="1"/>
        <c:lblAlgn val="ctr"/>
        <c:lblOffset val="100"/>
        <c:noMultiLvlLbl val="0"/>
      </c:catAx>
      <c:valAx>
        <c:axId val="85490688"/>
        <c:scaling>
          <c:orientation val="minMax"/>
          <c:max val="2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 b="1"/>
                </a:pPr>
                <a:r>
                  <a:rPr lang="en-US" b="1"/>
                  <a:t>%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0.49708694362996336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8548876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fr-FR" sz="1000" i="1"/>
              <a:t>Trachurus</a:t>
            </a:r>
            <a:r>
              <a:rPr lang="fr-FR" sz="1000" i="1" baseline="0"/>
              <a:t> trachurus </a:t>
            </a:r>
          </a:p>
          <a:p>
            <a:pPr>
              <a:defRPr lang="pt-PT" sz="1000"/>
            </a:pPr>
            <a:r>
              <a:rPr lang="fr-FR" sz="1000" baseline="0"/>
              <a:t>Zone C Nord Cap Blanc 2014</a:t>
            </a:r>
            <a:endParaRPr lang="fr-FR" sz="10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440485564304458"/>
          <c:y val="7.6446850393700805E-2"/>
          <c:w val="0.85281255468066497"/>
          <c:h val="0.773178769320513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'Tab&amp;Fig4.5.1a, b, c'!$L$3</c:f>
              <c:strCache>
                <c:ptCount val="1"/>
                <c:pt idx="0">
                  <c:v>Nord Cap  Blanc</c:v>
                </c:pt>
              </c:strCache>
            </c:strRef>
          </c:tx>
          <c:spPr>
            <a:solidFill>
              <a:prstClr val="white">
                <a:lumMod val="50000"/>
              </a:prstClr>
            </a:solidFill>
            <a:ln w="12700">
              <a:solidFill>
                <a:prstClr val="black">
                  <a:lumMod val="65000"/>
                  <a:lumOff val="35000"/>
                </a:prstClr>
              </a:solidFill>
            </a:ln>
          </c:spPr>
          <c:invertIfNegative val="0"/>
          <c:cat>
            <c:numRef>
              <c:f>'Tab&amp;Fig4.5.1a, b, c'!$A$4:$A$46</c:f>
              <c:numCache>
                <c:formatCode>General</c:formatCode>
                <c:ptCount val="43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</c:numCache>
            </c:numRef>
          </c:cat>
          <c:val>
            <c:numRef>
              <c:f>'Tab&amp;Fig4.5.1a, b, c'!$L$4:$L$46</c:f>
              <c:numCache>
                <c:formatCode>0.0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7.4188240177390308E-3</c:v>
                </c:pt>
                <c:pt idx="9" formatCode="0.00">
                  <c:v>0.136300145620768</c:v>
                </c:pt>
                <c:pt idx="10">
                  <c:v>2.803505208218128</c:v>
                </c:pt>
                <c:pt idx="11">
                  <c:v>9.9410049044021154</c:v>
                </c:pt>
                <c:pt idx="12">
                  <c:v>8.8313490404069057</c:v>
                </c:pt>
                <c:pt idx="13">
                  <c:v>3.6966067888156311</c:v>
                </c:pt>
                <c:pt idx="14">
                  <c:v>2.9987464808100719</c:v>
                </c:pt>
                <c:pt idx="15">
                  <c:v>0.72175071907284172</c:v>
                </c:pt>
                <c:pt idx="16">
                  <c:v>7.0105253870392845</c:v>
                </c:pt>
                <c:pt idx="17">
                  <c:v>17.676912467236825</c:v>
                </c:pt>
                <c:pt idx="18">
                  <c:v>19.221673107908352</c:v>
                </c:pt>
                <c:pt idx="19">
                  <c:v>9.8336321012205357</c:v>
                </c:pt>
                <c:pt idx="20">
                  <c:v>6.7732167035508422</c:v>
                </c:pt>
                <c:pt idx="21">
                  <c:v>2.9746368133156378</c:v>
                </c:pt>
                <c:pt idx="22">
                  <c:v>3.1778273035408802</c:v>
                </c:pt>
                <c:pt idx="23">
                  <c:v>2.0277592200781402</c:v>
                </c:pt>
                <c:pt idx="24">
                  <c:v>0.79658421333178575</c:v>
                </c:pt>
                <c:pt idx="25">
                  <c:v>0.6399765465299786</c:v>
                </c:pt>
                <c:pt idx="26">
                  <c:v>0.29609309183216148</c:v>
                </c:pt>
                <c:pt idx="27">
                  <c:v>0.12973512318206237</c:v>
                </c:pt>
                <c:pt idx="28">
                  <c:v>0.11131104309961837</c:v>
                </c:pt>
                <c:pt idx="29">
                  <c:v>7.6333618035238485E-2</c:v>
                </c:pt>
                <c:pt idx="30">
                  <c:v>7.8788512658931775E-2</c:v>
                </c:pt>
                <c:pt idx="31">
                  <c:v>1.741158786321579E-2</c:v>
                </c:pt>
                <c:pt idx="32">
                  <c:v>1.5841027510345454E-2</c:v>
                </c:pt>
                <c:pt idx="33">
                  <c:v>2.9038193402970407E-3</c:v>
                </c:pt>
                <c:pt idx="34">
                  <c:v>2.1562013616747361E-3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9-E947-8957-F547F0D03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"/>
        <c:axId val="85524480"/>
        <c:axId val="85526400"/>
      </c:barChart>
      <c:catAx>
        <c:axId val="85524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85526400"/>
        <c:crosses val="autoZero"/>
        <c:auto val="1"/>
        <c:lblAlgn val="ctr"/>
        <c:lblOffset val="100"/>
        <c:noMultiLvlLbl val="0"/>
      </c:catAx>
      <c:valAx>
        <c:axId val="8552640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 b="1"/>
                </a:pPr>
                <a:r>
                  <a:rPr lang="en-US" b="1"/>
                  <a:t>%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0.4970869436299635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855244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1132" l="0.70000000000000062" r="0.70000000000000062" t="0.75000000000001132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fr-FR" sz="1000" i="1"/>
              <a:t>Trachurus</a:t>
            </a:r>
            <a:r>
              <a:rPr lang="fr-FR" sz="1000" i="1" baseline="0"/>
              <a:t> trachurus </a:t>
            </a:r>
          </a:p>
          <a:p>
            <a:pPr>
              <a:defRPr lang="pt-PT" sz="1000"/>
            </a:pPr>
            <a:r>
              <a:rPr lang="fr-FR" sz="1000" b="1" i="0" u="none" strike="noStrike" baseline="0"/>
              <a:t>Zone A+ B  + North </a:t>
            </a:r>
            <a:r>
              <a:rPr lang="fr-FR" sz="1000" baseline="0"/>
              <a:t>2014</a:t>
            </a:r>
            <a:endParaRPr lang="fr-FR" sz="10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440485564304458"/>
          <c:y val="7.6446850393700805E-2"/>
          <c:w val="0.85281255468066497"/>
          <c:h val="0.773178769320513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'Tab&amp;Fig4.5.1a, b, c'!$P$3</c:f>
              <c:strCache>
                <c:ptCount val="1"/>
                <c:pt idx="0">
                  <c:v>Maroc (Senneurs)Zone A+B</c:v>
                </c:pt>
              </c:strCache>
            </c:strRef>
          </c:tx>
          <c:spPr>
            <a:solidFill>
              <a:prstClr val="white">
                <a:lumMod val="50000"/>
              </a:prstClr>
            </a:solidFill>
            <a:ln w="12700">
              <a:solidFill>
                <a:prstClr val="black">
                  <a:lumMod val="65000"/>
                  <a:lumOff val="35000"/>
                </a:prstClr>
              </a:solidFill>
            </a:ln>
          </c:spPr>
          <c:invertIfNegative val="0"/>
          <c:cat>
            <c:numRef>
              <c:f>'Tab&amp;Fig4.5.1a, b, c'!$A$4:$A$46</c:f>
              <c:numCache>
                <c:formatCode>General</c:formatCode>
                <c:ptCount val="43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</c:numCache>
            </c:numRef>
          </c:cat>
          <c:val>
            <c:numRef>
              <c:f>'Tab&amp;Fig4.5.1a, b, c'!$P$4:$P$46</c:f>
              <c:numCache>
                <c:formatCode>0.0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4.0588406159352441</c:v>
                </c:pt>
                <c:pt idx="6">
                  <c:v>12.176521847805729</c:v>
                </c:pt>
                <c:pt idx="7">
                  <c:v>2.7033377073887763</c:v>
                </c:pt>
                <c:pt idx="8">
                  <c:v>5.3560346747383765</c:v>
                </c:pt>
                <c:pt idx="9">
                  <c:v>10.847244038844126</c:v>
                </c:pt>
                <c:pt idx="10">
                  <c:v>2.7971621962435607</c:v>
                </c:pt>
                <c:pt idx="11">
                  <c:v>3.9690247231786913</c:v>
                </c:pt>
                <c:pt idx="12">
                  <c:v>2.0446490998193259</c:v>
                </c:pt>
                <c:pt idx="13">
                  <c:v>1.3455096426329503</c:v>
                </c:pt>
                <c:pt idx="14">
                  <c:v>6.9980734299166709</c:v>
                </c:pt>
                <c:pt idx="15">
                  <c:v>17.753883306625184</c:v>
                </c:pt>
                <c:pt idx="16">
                  <c:v>18.29228105695347</c:v>
                </c:pt>
                <c:pt idx="17">
                  <c:v>5.2209563317556862</c:v>
                </c:pt>
                <c:pt idx="18">
                  <c:v>3.2270910456518225</c:v>
                </c:pt>
                <c:pt idx="19">
                  <c:v>1.1515211722558663</c:v>
                </c:pt>
                <c:pt idx="20">
                  <c:v>0.72500839371704029</c:v>
                </c:pt>
                <c:pt idx="21">
                  <c:v>0.54375629528778024</c:v>
                </c:pt>
                <c:pt idx="22">
                  <c:v>0.36250419685852014</c:v>
                </c:pt>
                <c:pt idx="23">
                  <c:v>0.30392616141022638</c:v>
                </c:pt>
                <c:pt idx="24">
                  <c:v>0.12267406298096629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1-364F-8C40-6DECFA53A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"/>
        <c:axId val="85547648"/>
        <c:axId val="85574400"/>
      </c:barChart>
      <c:catAx>
        <c:axId val="85547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85574400"/>
        <c:crosses val="autoZero"/>
        <c:auto val="1"/>
        <c:lblAlgn val="ctr"/>
        <c:lblOffset val="100"/>
        <c:noMultiLvlLbl val="0"/>
      </c:catAx>
      <c:valAx>
        <c:axId val="85574400"/>
        <c:scaling>
          <c:orientation val="minMax"/>
          <c:max val="2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 b="1"/>
                </a:pPr>
                <a:r>
                  <a:rPr lang="en-US" b="1"/>
                  <a:t>%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0.49708694362996386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8554764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1155" l="0.70000000000000062" r="0.70000000000000062" t="0.7500000000000115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fr-FR" sz="1000" i="1"/>
              <a:t>Trachurus</a:t>
            </a:r>
            <a:r>
              <a:rPr lang="fr-FR" sz="1000" i="1" baseline="0"/>
              <a:t> trachurus </a:t>
            </a:r>
          </a:p>
          <a:p>
            <a:pPr>
              <a:defRPr lang="pt-PT" sz="1000"/>
            </a:pPr>
            <a:r>
              <a:rPr lang="fr-FR" sz="1000" b="1" i="0" u="none" strike="noStrike" baseline="0"/>
              <a:t>total area </a:t>
            </a:r>
            <a:r>
              <a:rPr lang="fr-FR" sz="1000" baseline="0"/>
              <a:t>2014</a:t>
            </a:r>
            <a:endParaRPr lang="fr-FR" sz="10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440485564304458"/>
          <c:y val="7.6446850393700805E-2"/>
          <c:w val="0.85281255468066497"/>
          <c:h val="0.773178769320513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'Tab&amp;Fig4.5.1a, b, c'!$Q$3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prstClr val="white">
                <a:lumMod val="50000"/>
              </a:prstClr>
            </a:solidFill>
            <a:ln w="12700">
              <a:solidFill>
                <a:prstClr val="black">
                  <a:lumMod val="65000"/>
                  <a:lumOff val="35000"/>
                </a:prstClr>
              </a:solidFill>
            </a:ln>
          </c:spPr>
          <c:invertIfNegative val="0"/>
          <c:cat>
            <c:numRef>
              <c:f>'Tab&amp;Fig4.5.1a, b, c'!$A$4:$A$46</c:f>
              <c:numCache>
                <c:formatCode>General</c:formatCode>
                <c:ptCount val="43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</c:numCache>
            </c:numRef>
          </c:cat>
          <c:val>
            <c:numRef>
              <c:f>'Tab&amp;Fig4.5.1a, b, c'!$Q$4:$Q$46</c:f>
              <c:numCache>
                <c:formatCode>0.0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0.78626465495139353</c:v>
                </c:pt>
                <c:pt idx="6">
                  <c:v>2.35879396485418</c:v>
                </c:pt>
                <c:pt idx="7">
                  <c:v>0.52368129001472452</c:v>
                </c:pt>
                <c:pt idx="8">
                  <c:v>1.0413714135610428</c:v>
                </c:pt>
                <c:pt idx="9">
                  <c:v>2.1714503070105433</c:v>
                </c:pt>
                <c:pt idx="10">
                  <c:v>1.9849397877937824</c:v>
                </c:pt>
                <c:pt idx="11">
                  <c:v>5.88592305160791</c:v>
                </c:pt>
                <c:pt idx="12">
                  <c:v>4.9441565598092776</c:v>
                </c:pt>
                <c:pt idx="13">
                  <c:v>2.1741662646353155</c:v>
                </c:pt>
                <c:pt idx="14">
                  <c:v>2.9142983389777903</c:v>
                </c:pt>
                <c:pt idx="15">
                  <c:v>3.818381294353705</c:v>
                </c:pt>
                <c:pt idx="16">
                  <c:v>7.1618996377369015</c:v>
                </c:pt>
                <c:pt idx="17">
                  <c:v>10.310748942006715</c:v>
                </c:pt>
                <c:pt idx="18">
                  <c:v>11.763207712639069</c:v>
                </c:pt>
                <c:pt idx="19">
                  <c:v>8.1522082622676422</c:v>
                </c:pt>
                <c:pt idx="20">
                  <c:v>7.8225897547254313</c:v>
                </c:pt>
                <c:pt idx="21">
                  <c:v>5.4254902811653576</c:v>
                </c:pt>
                <c:pt idx="22">
                  <c:v>4.9412162766043446</c:v>
                </c:pt>
                <c:pt idx="23">
                  <c:v>3.8509062344228502</c:v>
                </c:pt>
                <c:pt idx="24">
                  <c:v>2.6143699475671283</c:v>
                </c:pt>
                <c:pt idx="25">
                  <c:v>2.1371705344441927</c:v>
                </c:pt>
                <c:pt idx="26">
                  <c:v>1.5013871484742058</c:v>
                </c:pt>
                <c:pt idx="27">
                  <c:v>1.3339287353335549</c:v>
                </c:pt>
                <c:pt idx="28">
                  <c:v>0.9415104843287232</c:v>
                </c:pt>
                <c:pt idx="29">
                  <c:v>0.71238945970611156</c:v>
                </c:pt>
                <c:pt idx="30">
                  <c:v>0.60048243229608611</c:v>
                </c:pt>
                <c:pt idx="31">
                  <c:v>0.55208479755546991</c:v>
                </c:pt>
                <c:pt idx="32">
                  <c:v>0.53207307728205155</c:v>
                </c:pt>
                <c:pt idx="33">
                  <c:v>0.42165369671597991</c:v>
                </c:pt>
                <c:pt idx="34">
                  <c:v>0.43152487377076731</c:v>
                </c:pt>
                <c:pt idx="35">
                  <c:v>0.13922094971290674</c:v>
                </c:pt>
                <c:pt idx="36">
                  <c:v>3.8921100789397443E-2</c:v>
                </c:pt>
                <c:pt idx="37">
                  <c:v>9.087943156321299E-3</c:v>
                </c:pt>
                <c:pt idx="38">
                  <c:v>6.8759513125241946E-4</c:v>
                </c:pt>
                <c:pt idx="39">
                  <c:v>1.8131945978945407E-3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5-D14C-B9AD-33ED32896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"/>
        <c:axId val="85603840"/>
        <c:axId val="85605760"/>
      </c:barChart>
      <c:catAx>
        <c:axId val="85603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85605760"/>
        <c:crosses val="autoZero"/>
        <c:auto val="1"/>
        <c:lblAlgn val="ctr"/>
        <c:lblOffset val="100"/>
        <c:noMultiLvlLbl val="0"/>
      </c:catAx>
      <c:valAx>
        <c:axId val="85605760"/>
        <c:scaling>
          <c:orientation val="minMax"/>
          <c:max val="2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 b="1"/>
                </a:pPr>
                <a:r>
                  <a:rPr lang="en-US" b="1"/>
                  <a:t>%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0.49708694362996408"/>
            </c:manualLayout>
          </c:layout>
          <c:overlay val="0"/>
          <c:spPr>
            <a:ln w="22225"/>
          </c:spPr>
        </c:title>
        <c:numFmt formatCode="0" sourceLinked="0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8560384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1177" l="0.70000000000000062" r="0.70000000000000062" t="0.75000000000001177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en-US" sz="1000" i="1"/>
              <a:t>Trachurus trachurus </a:t>
            </a:r>
          </a:p>
          <a:p>
            <a:pPr>
              <a:defRPr lang="pt-PT" sz="1000"/>
            </a:pPr>
            <a:r>
              <a:rPr lang="en-US" sz="1000"/>
              <a:t>Zone C</a:t>
            </a:r>
            <a:r>
              <a:rPr lang="en-US" sz="1000" baseline="0"/>
              <a:t> North Cap Blanc 2015</a:t>
            </a:r>
            <a:endParaRPr lang="en-US" sz="10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8006560647935725E-2"/>
          <c:y val="0.14146525226710668"/>
          <c:w val="0.87299343706860888"/>
          <c:h val="0.67108302993178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'Tab&amp;Fig4.5.1a, b, c'!$AD$4</c:f>
              <c:strCache>
                <c:ptCount val="1"/>
                <c:pt idx="0">
                  <c:v>% Tot N C Blanc</c:v>
                </c:pt>
              </c:strCache>
            </c:strRef>
          </c:tx>
          <c:spPr>
            <a:solidFill>
              <a:prstClr val="white">
                <a:lumMod val="50000"/>
              </a:prstClr>
            </a:solidFill>
            <a:ln w="28575">
              <a:solidFill>
                <a:prstClr val="black">
                  <a:lumMod val="65000"/>
                  <a:lumOff val="35000"/>
                </a:prstClr>
              </a:solidFill>
            </a:ln>
          </c:spPr>
          <c:invertIfNegative val="0"/>
          <c:cat>
            <c:numRef>
              <c:f>'Tab&amp;Fig4.5.1a, b, c'!$S$5:$S$44</c:f>
              <c:numCache>
                <c:formatCode>General</c:formatCode>
                <c:ptCount val="40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  <c:pt idx="25">
                  <c:v>31</c:v>
                </c:pt>
                <c:pt idx="26">
                  <c:v>32</c:v>
                </c:pt>
                <c:pt idx="27">
                  <c:v>33</c:v>
                </c:pt>
                <c:pt idx="28">
                  <c:v>34</c:v>
                </c:pt>
                <c:pt idx="29">
                  <c:v>35</c:v>
                </c:pt>
                <c:pt idx="30">
                  <c:v>36</c:v>
                </c:pt>
                <c:pt idx="31">
                  <c:v>37</c:v>
                </c:pt>
                <c:pt idx="32">
                  <c:v>38</c:v>
                </c:pt>
                <c:pt idx="33">
                  <c:v>39</c:v>
                </c:pt>
                <c:pt idx="34">
                  <c:v>40</c:v>
                </c:pt>
                <c:pt idx="35">
                  <c:v>41</c:v>
                </c:pt>
                <c:pt idx="36">
                  <c:v>42</c:v>
                </c:pt>
                <c:pt idx="37">
                  <c:v>43</c:v>
                </c:pt>
                <c:pt idx="38">
                  <c:v>44</c:v>
                </c:pt>
                <c:pt idx="39">
                  <c:v>45</c:v>
                </c:pt>
              </c:numCache>
            </c:numRef>
          </c:cat>
          <c:val>
            <c:numRef>
              <c:f>'Tab&amp;Fig4.5.1a, b, c'!$AD$5:$AD$44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2.3343737751781593E-3</c:v>
                </c:pt>
                <c:pt idx="5">
                  <c:v>1.982506005196108E-2</c:v>
                </c:pt>
                <c:pt idx="6">
                  <c:v>5.0598784944548447E-2</c:v>
                </c:pt>
                <c:pt idx="7">
                  <c:v>5.208769877168818E-2</c:v>
                </c:pt>
                <c:pt idx="8">
                  <c:v>2.8029642864628359E-2</c:v>
                </c:pt>
                <c:pt idx="9">
                  <c:v>0.11319332898067835</c:v>
                </c:pt>
                <c:pt idx="10">
                  <c:v>0.28129285527989628</c:v>
                </c:pt>
                <c:pt idx="11">
                  <c:v>0.50978016445494834</c:v>
                </c:pt>
                <c:pt idx="12">
                  <c:v>1.4804706479803076</c:v>
                </c:pt>
                <c:pt idx="13">
                  <c:v>5.1453057310533543</c:v>
                </c:pt>
                <c:pt idx="14">
                  <c:v>13.475411204630799</c:v>
                </c:pt>
                <c:pt idx="15">
                  <c:v>19.992253150071093</c:v>
                </c:pt>
                <c:pt idx="16">
                  <c:v>21.858745302709249</c:v>
                </c:pt>
                <c:pt idx="17">
                  <c:v>14.744560304098053</c:v>
                </c:pt>
                <c:pt idx="18">
                  <c:v>8.1482588307064834</c:v>
                </c:pt>
                <c:pt idx="19">
                  <c:v>3.7735180364263257</c:v>
                </c:pt>
                <c:pt idx="20">
                  <c:v>2.1979317181805809</c:v>
                </c:pt>
                <c:pt idx="21">
                  <c:v>2.1501766890907383</c:v>
                </c:pt>
                <c:pt idx="22">
                  <c:v>1.8857497477086755</c:v>
                </c:pt>
                <c:pt idx="23">
                  <c:v>1.3415443284739463</c:v>
                </c:pt>
                <c:pt idx="24">
                  <c:v>0.8885351647928722</c:v>
                </c:pt>
                <c:pt idx="25">
                  <c:v>0.49845287476441691</c:v>
                </c:pt>
                <c:pt idx="26">
                  <c:v>0.26713220319717562</c:v>
                </c:pt>
                <c:pt idx="27">
                  <c:v>0.1993750856056738</c:v>
                </c:pt>
                <c:pt idx="28">
                  <c:v>0.17449109477102609</c:v>
                </c:pt>
                <c:pt idx="29">
                  <c:v>0.14519276516415899</c:v>
                </c:pt>
                <c:pt idx="30">
                  <c:v>0.13591405271459114</c:v>
                </c:pt>
                <c:pt idx="31">
                  <c:v>0.15314764749127177</c:v>
                </c:pt>
                <c:pt idx="32">
                  <c:v>0.13897573256844692</c:v>
                </c:pt>
                <c:pt idx="33">
                  <c:v>8.4938376832324802E-2</c:v>
                </c:pt>
                <c:pt idx="34">
                  <c:v>3.3538974098496856E-2</c:v>
                </c:pt>
                <c:pt idx="35">
                  <c:v>2.3554017326995077E-2</c:v>
                </c:pt>
                <c:pt idx="36">
                  <c:v>4.8730815454256695E-3</c:v>
                </c:pt>
                <c:pt idx="37">
                  <c:v>4.8679732437987059E-4</c:v>
                </c:pt>
                <c:pt idx="38">
                  <c:v>3.2453154958658032E-4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E-B442-85B2-CE9F6A486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5630336"/>
        <c:axId val="85648896"/>
      </c:barChart>
      <c:catAx>
        <c:axId val="85630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85648896"/>
        <c:crosses val="autoZero"/>
        <c:auto val="1"/>
        <c:lblAlgn val="ctr"/>
        <c:lblOffset val="100"/>
        <c:noMultiLvlLbl val="0"/>
      </c:catAx>
      <c:valAx>
        <c:axId val="8564889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8563033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en-US" sz="1000" i="1"/>
              <a:t>Trachurus trachurus </a:t>
            </a:r>
          </a:p>
          <a:p>
            <a:pPr>
              <a:defRPr lang="pt-PT" sz="1000"/>
            </a:pPr>
            <a:r>
              <a:rPr lang="en-US" sz="1000"/>
              <a:t>Zones</a:t>
            </a:r>
            <a:r>
              <a:rPr lang="en-US" sz="1000" baseline="0"/>
              <a:t> A+ B  2015</a:t>
            </a:r>
            <a:endParaRPr lang="en-US" sz="10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8006560647935725E-2"/>
          <c:y val="0.14146525226710677"/>
          <c:w val="0.87299343706860932"/>
          <c:h val="0.67108302993178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'Tab&amp;Fig4.5.1a, b, c'!$AB$4</c:f>
              <c:strCache>
                <c:ptCount val="1"/>
                <c:pt idx="0">
                  <c:v>% A+B</c:v>
                </c:pt>
              </c:strCache>
            </c:strRef>
          </c:tx>
          <c:spPr>
            <a:solidFill>
              <a:prstClr val="white">
                <a:lumMod val="50000"/>
              </a:prstClr>
            </a:solidFill>
            <a:ln w="28575">
              <a:solidFill>
                <a:prstClr val="black">
                  <a:lumMod val="65000"/>
                  <a:lumOff val="35000"/>
                </a:prstClr>
              </a:solidFill>
            </a:ln>
          </c:spPr>
          <c:invertIfNegative val="0"/>
          <c:cat>
            <c:numRef>
              <c:f>'Tab&amp;Fig4.5.1a, b, c'!$S$5:$S$44</c:f>
              <c:numCache>
                <c:formatCode>General</c:formatCode>
                <c:ptCount val="40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  <c:pt idx="25">
                  <c:v>31</c:v>
                </c:pt>
                <c:pt idx="26">
                  <c:v>32</c:v>
                </c:pt>
                <c:pt idx="27">
                  <c:v>33</c:v>
                </c:pt>
                <c:pt idx="28">
                  <c:v>34</c:v>
                </c:pt>
                <c:pt idx="29">
                  <c:v>35</c:v>
                </c:pt>
                <c:pt idx="30">
                  <c:v>36</c:v>
                </c:pt>
                <c:pt idx="31">
                  <c:v>37</c:v>
                </c:pt>
                <c:pt idx="32">
                  <c:v>38</c:v>
                </c:pt>
                <c:pt idx="33">
                  <c:v>39</c:v>
                </c:pt>
                <c:pt idx="34">
                  <c:v>40</c:v>
                </c:pt>
                <c:pt idx="35">
                  <c:v>41</c:v>
                </c:pt>
                <c:pt idx="36">
                  <c:v>42</c:v>
                </c:pt>
                <c:pt idx="37">
                  <c:v>43</c:v>
                </c:pt>
                <c:pt idx="38">
                  <c:v>44</c:v>
                </c:pt>
                <c:pt idx="39">
                  <c:v>45</c:v>
                </c:pt>
              </c:numCache>
            </c:numRef>
          </c:cat>
          <c:val>
            <c:numRef>
              <c:f>'Tab&amp;Fig4.5.1a, b, c'!$AB$5:$AB$44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0.94228429449605622</c:v>
                </c:pt>
                <c:pt idx="5">
                  <c:v>1.3576737158670924</c:v>
                </c:pt>
                <c:pt idx="6">
                  <c:v>0.18338399311615391</c:v>
                </c:pt>
                <c:pt idx="7">
                  <c:v>1.0357936497926545E-3</c:v>
                </c:pt>
                <c:pt idx="8">
                  <c:v>1.5787055855728743E-2</c:v>
                </c:pt>
                <c:pt idx="9">
                  <c:v>0.11531368173212479</c:v>
                </c:pt>
                <c:pt idx="10">
                  <c:v>0.18243667573884825</c:v>
                </c:pt>
                <c:pt idx="11">
                  <c:v>7.8854616861995672E-2</c:v>
                </c:pt>
                <c:pt idx="12">
                  <c:v>8.9685975242925018E-3</c:v>
                </c:pt>
                <c:pt idx="13">
                  <c:v>3.7055679439108584E-2</c:v>
                </c:pt>
                <c:pt idx="14">
                  <c:v>0.16332519761799064</c:v>
                </c:pt>
                <c:pt idx="15">
                  <c:v>0.15389202539665697</c:v>
                </c:pt>
                <c:pt idx="16">
                  <c:v>0.83894513404187965</c:v>
                </c:pt>
                <c:pt idx="17">
                  <c:v>0.64370581023153761</c:v>
                </c:pt>
                <c:pt idx="18">
                  <c:v>0.37594615532004544</c:v>
                </c:pt>
                <c:pt idx="19">
                  <c:v>0.45603479662586288</c:v>
                </c:pt>
                <c:pt idx="20">
                  <c:v>0.46511304794379715</c:v>
                </c:pt>
                <c:pt idx="21">
                  <c:v>0.56916759465608802</c:v>
                </c:pt>
                <c:pt idx="22">
                  <c:v>1.4100137711449638</c:v>
                </c:pt>
                <c:pt idx="23">
                  <c:v>1.4783242980965163</c:v>
                </c:pt>
                <c:pt idx="24">
                  <c:v>1.2362005431671446</c:v>
                </c:pt>
                <c:pt idx="25">
                  <c:v>0.87236009764276745</c:v>
                </c:pt>
                <c:pt idx="26">
                  <c:v>0.80091486990655392</c:v>
                </c:pt>
                <c:pt idx="27">
                  <c:v>0.87819386208679173</c:v>
                </c:pt>
                <c:pt idx="28">
                  <c:v>1.1644506228715656</c:v>
                </c:pt>
                <c:pt idx="29">
                  <c:v>1.3343904077930331</c:v>
                </c:pt>
                <c:pt idx="30">
                  <c:v>0.94405372549401756</c:v>
                </c:pt>
                <c:pt idx="31">
                  <c:v>0.93678935301399757</c:v>
                </c:pt>
                <c:pt idx="32">
                  <c:v>0.51158020612928523</c:v>
                </c:pt>
                <c:pt idx="33">
                  <c:v>0.4310763503961989</c:v>
                </c:pt>
                <c:pt idx="34">
                  <c:v>6.0642278531177644E-2</c:v>
                </c:pt>
                <c:pt idx="35">
                  <c:v>4.5459756205917093E-2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D-134E-90B2-0C2429C5D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5673472"/>
        <c:axId val="85675392"/>
      </c:barChart>
      <c:catAx>
        <c:axId val="85673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85675392"/>
        <c:crosses val="autoZero"/>
        <c:auto val="1"/>
        <c:lblAlgn val="ctr"/>
        <c:lblOffset val="100"/>
        <c:noMultiLvlLbl val="0"/>
      </c:catAx>
      <c:valAx>
        <c:axId val="8567539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8567347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en-US" sz="1000" i="1"/>
              <a:t>Trachurus trachurus </a:t>
            </a:r>
          </a:p>
          <a:p>
            <a:pPr>
              <a:defRPr lang="pt-PT" sz="1000"/>
            </a:pPr>
            <a:r>
              <a:rPr lang="en-US" sz="1000"/>
              <a:t>Zone C</a:t>
            </a:r>
            <a:r>
              <a:rPr lang="en-US" sz="1000" baseline="0"/>
              <a:t> South Blanc 2015</a:t>
            </a:r>
            <a:endParaRPr lang="en-US" sz="10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8006560647935725E-2"/>
          <c:y val="0.14146525226710677"/>
          <c:w val="0.87299343706860932"/>
          <c:h val="0.67108302993178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'Tab&amp;Fig4.5.1a, b, c'!$AE$4</c:f>
              <c:strCache>
                <c:ptCount val="1"/>
                <c:pt idx="0">
                  <c:v>% Tot S C Blanc</c:v>
                </c:pt>
              </c:strCache>
            </c:strRef>
          </c:tx>
          <c:spPr>
            <a:solidFill>
              <a:prstClr val="white">
                <a:lumMod val="50000"/>
              </a:prstClr>
            </a:solidFill>
            <a:ln w="28575">
              <a:solidFill>
                <a:prstClr val="black">
                  <a:lumMod val="65000"/>
                  <a:lumOff val="35000"/>
                </a:prstClr>
              </a:solidFill>
            </a:ln>
          </c:spPr>
          <c:invertIfNegative val="0"/>
          <c:cat>
            <c:numRef>
              <c:f>'Tab&amp;Fig4.5.1a, b, c'!$S$5:$S$44</c:f>
              <c:numCache>
                <c:formatCode>General</c:formatCode>
                <c:ptCount val="40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  <c:pt idx="25">
                  <c:v>31</c:v>
                </c:pt>
                <c:pt idx="26">
                  <c:v>32</c:v>
                </c:pt>
                <c:pt idx="27">
                  <c:v>33</c:v>
                </c:pt>
                <c:pt idx="28">
                  <c:v>34</c:v>
                </c:pt>
                <c:pt idx="29">
                  <c:v>35</c:v>
                </c:pt>
                <c:pt idx="30">
                  <c:v>36</c:v>
                </c:pt>
                <c:pt idx="31">
                  <c:v>37</c:v>
                </c:pt>
                <c:pt idx="32">
                  <c:v>38</c:v>
                </c:pt>
                <c:pt idx="33">
                  <c:v>39</c:v>
                </c:pt>
                <c:pt idx="34">
                  <c:v>40</c:v>
                </c:pt>
                <c:pt idx="35">
                  <c:v>41</c:v>
                </c:pt>
                <c:pt idx="36">
                  <c:v>42</c:v>
                </c:pt>
                <c:pt idx="37">
                  <c:v>43</c:v>
                </c:pt>
                <c:pt idx="38">
                  <c:v>44</c:v>
                </c:pt>
                <c:pt idx="39">
                  <c:v>45</c:v>
                </c:pt>
              </c:numCache>
            </c:numRef>
          </c:cat>
          <c:val>
            <c:numRef>
              <c:f>'Tab&amp;Fig4.5.1a, b, c'!$AE$5:$AE$44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1.8339299502802362</c:v>
                </c:pt>
                <c:pt idx="14">
                  <c:v>13.635950000362415</c:v>
                </c:pt>
                <c:pt idx="15">
                  <c:v>30.009201631154408</c:v>
                </c:pt>
                <c:pt idx="16">
                  <c:v>17.570180846498825</c:v>
                </c:pt>
                <c:pt idx="17">
                  <c:v>4.3126779999103899</c:v>
                </c:pt>
                <c:pt idx="18">
                  <c:v>1.8476107252274554</c:v>
                </c:pt>
                <c:pt idx="19">
                  <c:v>2.8103199482940697</c:v>
                </c:pt>
                <c:pt idx="20">
                  <c:v>2.7611152230960307</c:v>
                </c:pt>
                <c:pt idx="21">
                  <c:v>3.3512578255113064</c:v>
                </c:pt>
                <c:pt idx="22">
                  <c:v>2.9263338669572487</c:v>
                </c:pt>
                <c:pt idx="23">
                  <c:v>1.9524969783940787</c:v>
                </c:pt>
                <c:pt idx="24">
                  <c:v>1.7545870920391713</c:v>
                </c:pt>
                <c:pt idx="25">
                  <c:v>2.0351687781101488</c:v>
                </c:pt>
                <c:pt idx="26">
                  <c:v>2.2284177796715592</c:v>
                </c:pt>
                <c:pt idx="27">
                  <c:v>2.5573882047761858</c:v>
                </c:pt>
                <c:pt idx="28">
                  <c:v>2.2109953928824484</c:v>
                </c:pt>
                <c:pt idx="29">
                  <c:v>2.7955398273476142</c:v>
                </c:pt>
                <c:pt idx="30">
                  <c:v>1.2464268133885668</c:v>
                </c:pt>
                <c:pt idx="31">
                  <c:v>1.0177315808902192</c:v>
                </c:pt>
                <c:pt idx="32">
                  <c:v>1.1426695352075862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7-CA4E-A7BC-8E35F0437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47"/>
        <c:axId val="85708160"/>
        <c:axId val="85800448"/>
      </c:barChart>
      <c:catAx>
        <c:axId val="85708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85800448"/>
        <c:crosses val="autoZero"/>
        <c:auto val="1"/>
        <c:lblAlgn val="ctr"/>
        <c:lblOffset val="100"/>
        <c:noMultiLvlLbl val="0"/>
      </c:catAx>
      <c:valAx>
        <c:axId val="8580044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8570816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en-US" sz="1000" i="1"/>
              <a:t>Trachurus trachurus </a:t>
            </a:r>
          </a:p>
          <a:p>
            <a:pPr>
              <a:defRPr lang="pt-PT" sz="1000"/>
            </a:pPr>
            <a:r>
              <a:rPr lang="en-US" sz="1000"/>
              <a:t>Zone A+B  2016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8006560647935725E-2"/>
          <c:y val="0.14146525226710677"/>
          <c:w val="0.87299343706860932"/>
          <c:h val="0.67108302993178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'Tab&amp;Fig4.5.1a, b, c'!$AD$4</c:f>
              <c:strCache>
                <c:ptCount val="1"/>
                <c:pt idx="0">
                  <c:v>% Tot N C Blanc</c:v>
                </c:pt>
              </c:strCache>
            </c:strRef>
          </c:tx>
          <c:spPr>
            <a:solidFill>
              <a:prstClr val="white">
                <a:lumMod val="50000"/>
              </a:prstClr>
            </a:solidFill>
            <a:ln w="28575">
              <a:solidFill>
                <a:prstClr val="black">
                  <a:lumMod val="65000"/>
                  <a:lumOff val="35000"/>
                </a:prstClr>
              </a:solidFill>
            </a:ln>
          </c:spPr>
          <c:invertIfNegative val="0"/>
          <c:cat>
            <c:numRef>
              <c:f>'Tab&amp;Fig4.5.1a, b, c'!$AU$5:$AU$45</c:f>
              <c:numCache>
                <c:formatCode>General</c:formatCode>
                <c:ptCount val="4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</c:numCache>
            </c:numRef>
          </c:cat>
          <c:val>
            <c:numRef>
              <c:f>'Tab&amp;Fig4.5.1a, b, c'!$BD$5:$BD$45</c:f>
              <c:numCache>
                <c:formatCode>General</c:formatCode>
                <c:ptCount val="41"/>
                <c:pt idx="0">
                  <c:v>0</c:v>
                </c:pt>
                <c:pt idx="1">
                  <c:v>8.1230724682057637E-2</c:v>
                </c:pt>
                <c:pt idx="2">
                  <c:v>0.17329221265505632</c:v>
                </c:pt>
                <c:pt idx="3">
                  <c:v>2.0445305225505382E-2</c:v>
                </c:pt>
                <c:pt idx="4">
                  <c:v>3.271248836080861E-2</c:v>
                </c:pt>
                <c:pt idx="5">
                  <c:v>5.724685463141508E-2</c:v>
                </c:pt>
                <c:pt idx="6">
                  <c:v>2.4534366270606459E-2</c:v>
                </c:pt>
                <c:pt idx="7">
                  <c:v>4.0890610451010763E-3</c:v>
                </c:pt>
                <c:pt idx="8">
                  <c:v>4.0890610451010763E-3</c:v>
                </c:pt>
                <c:pt idx="9">
                  <c:v>1.2302874514399459E-4</c:v>
                </c:pt>
                <c:pt idx="10">
                  <c:v>9.8422996115195673E-4</c:v>
                </c:pt>
                <c:pt idx="11">
                  <c:v>4.9211498057597841E-3</c:v>
                </c:pt>
                <c:pt idx="12">
                  <c:v>1.4763449417279351E-3</c:v>
                </c:pt>
                <c:pt idx="13">
                  <c:v>3.1860842948286698E-3</c:v>
                </c:pt>
                <c:pt idx="14">
                  <c:v>5.3715250494758785E-3</c:v>
                </c:pt>
                <c:pt idx="15">
                  <c:v>1.1430396368894103E-2</c:v>
                </c:pt>
                <c:pt idx="16">
                  <c:v>7.1812079124536502E-3</c:v>
                </c:pt>
                <c:pt idx="17">
                  <c:v>5.0732288525901928E-3</c:v>
                </c:pt>
                <c:pt idx="18">
                  <c:v>4.7512916304442727E-3</c:v>
                </c:pt>
                <c:pt idx="19">
                  <c:v>4.2133490974485481E-2</c:v>
                </c:pt>
                <c:pt idx="20">
                  <c:v>4.9381504688729767E-2</c:v>
                </c:pt>
                <c:pt idx="21">
                  <c:v>5.2644571034525016E-2</c:v>
                </c:pt>
                <c:pt idx="22">
                  <c:v>9.0591851759178499E-2</c:v>
                </c:pt>
                <c:pt idx="23">
                  <c:v>8.639670156313578E-2</c:v>
                </c:pt>
                <c:pt idx="24">
                  <c:v>8.4980465118277657E-2</c:v>
                </c:pt>
                <c:pt idx="25">
                  <c:v>6.1450681642871104E-2</c:v>
                </c:pt>
                <c:pt idx="26">
                  <c:v>2.5300074148560937E-2</c:v>
                </c:pt>
                <c:pt idx="27">
                  <c:v>2.4248715411842838E-2</c:v>
                </c:pt>
                <c:pt idx="28">
                  <c:v>2.0116206935622865E-2</c:v>
                </c:pt>
                <c:pt idx="29">
                  <c:v>1.1644314208334988E-2</c:v>
                </c:pt>
                <c:pt idx="30">
                  <c:v>5.8542178908452466E-3</c:v>
                </c:pt>
                <c:pt idx="31">
                  <c:v>2.6096804718810426E-3</c:v>
                </c:pt>
                <c:pt idx="32">
                  <c:v>5.0896267358696448E-4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C-EF4D-99CB-DD3BD3F45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5833984"/>
        <c:axId val="90308992"/>
      </c:barChart>
      <c:catAx>
        <c:axId val="85833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0308992"/>
        <c:crosses val="autoZero"/>
        <c:auto val="1"/>
        <c:lblAlgn val="ctr"/>
        <c:lblOffset val="100"/>
        <c:noMultiLvlLbl val="0"/>
      </c:catAx>
      <c:valAx>
        <c:axId val="9030899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8583398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en-US" sz="1000" i="1"/>
              <a:t>Trachurus trachurus </a:t>
            </a:r>
          </a:p>
          <a:p>
            <a:pPr>
              <a:defRPr lang="pt-PT" sz="1000"/>
            </a:pPr>
            <a:r>
              <a:rPr lang="en-US" sz="1000"/>
              <a:t>Zone N orth  Cap Blanc</a:t>
            </a:r>
            <a:r>
              <a:rPr lang="en-US" sz="1000" baseline="0"/>
              <a:t> </a:t>
            </a:r>
            <a:r>
              <a:rPr lang="en-US" sz="1000"/>
              <a:t>2016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8006560647935725E-2"/>
          <c:y val="0.14146525226710688"/>
          <c:w val="0.87299343706860977"/>
          <c:h val="0.67108302993178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'Tab&amp;Fig4.5.1a, b, c'!$AD$4</c:f>
              <c:strCache>
                <c:ptCount val="1"/>
                <c:pt idx="0">
                  <c:v>% Tot N C Blanc</c:v>
                </c:pt>
              </c:strCache>
            </c:strRef>
          </c:tx>
          <c:spPr>
            <a:solidFill>
              <a:prstClr val="white">
                <a:lumMod val="50000"/>
              </a:prstClr>
            </a:solidFill>
            <a:ln w="28575">
              <a:solidFill>
                <a:prstClr val="black">
                  <a:lumMod val="65000"/>
                  <a:lumOff val="35000"/>
                </a:prstClr>
              </a:solidFill>
            </a:ln>
          </c:spPr>
          <c:invertIfNegative val="0"/>
          <c:cat>
            <c:numRef>
              <c:f>'Tab&amp;Fig4.5.1a, b, c'!$AU$5:$AU$45</c:f>
              <c:numCache>
                <c:formatCode>General</c:formatCode>
                <c:ptCount val="4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</c:numCache>
            </c:numRef>
          </c:cat>
          <c:val>
            <c:numRef>
              <c:f>'Tab&amp;Fig4.5.1a, b, c'!$BE$5:$BE$45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8.3333333333333343E-2</c:v>
                </c:pt>
                <c:pt idx="15">
                  <c:v>0.1388888888888889</c:v>
                </c:pt>
                <c:pt idx="16">
                  <c:v>0.25</c:v>
                </c:pt>
                <c:pt idx="17">
                  <c:v>0.30555555555555558</c:v>
                </c:pt>
                <c:pt idx="18">
                  <c:v>0.11111111111111112</c:v>
                </c:pt>
                <c:pt idx="19">
                  <c:v>8.3333333333333343E-2</c:v>
                </c:pt>
                <c:pt idx="20">
                  <c:v>2.777777777777778E-2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B-2340-A1B4-AC3573C9D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0338432"/>
        <c:axId val="90340352"/>
      </c:barChart>
      <c:catAx>
        <c:axId val="90338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0340352"/>
        <c:crosses val="autoZero"/>
        <c:auto val="1"/>
        <c:lblAlgn val="ctr"/>
        <c:lblOffset val="100"/>
        <c:noMultiLvlLbl val="0"/>
      </c:catAx>
      <c:valAx>
        <c:axId val="9034035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033843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en-US" sz="1000" i="1"/>
              <a:t>Trachurus trachurus </a:t>
            </a:r>
          </a:p>
          <a:p>
            <a:pPr>
              <a:defRPr lang="pt-PT" sz="1000"/>
            </a:pPr>
            <a:r>
              <a:rPr lang="en-US" sz="1000"/>
              <a:t>Zone Sou th Cap Blanc 2016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8006560647935725E-2"/>
          <c:y val="0.14146525226710696"/>
          <c:w val="0.87299343706861021"/>
          <c:h val="0.67108302993178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'Tab&amp;Fig4.5.1a, b, c'!$AD$4</c:f>
              <c:strCache>
                <c:ptCount val="1"/>
                <c:pt idx="0">
                  <c:v>% Tot N C Blanc</c:v>
                </c:pt>
              </c:strCache>
            </c:strRef>
          </c:tx>
          <c:spPr>
            <a:solidFill>
              <a:prstClr val="white">
                <a:lumMod val="50000"/>
              </a:prstClr>
            </a:solidFill>
            <a:ln w="28575">
              <a:solidFill>
                <a:prstClr val="black">
                  <a:lumMod val="65000"/>
                  <a:lumOff val="35000"/>
                </a:prstClr>
              </a:solidFill>
            </a:ln>
          </c:spPr>
          <c:invertIfNegative val="0"/>
          <c:cat>
            <c:numRef>
              <c:f>'Tab&amp;Fig4.5.1a, b, c'!$AU$5:$AU$45</c:f>
              <c:numCache>
                <c:formatCode>General</c:formatCode>
                <c:ptCount val="4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</c:numCache>
            </c:numRef>
          </c:cat>
          <c:val>
            <c:numRef>
              <c:f>'Tab&amp;Fig4.5.1a, b, c'!$BF$5:$BF$45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1.1718705414825599E-5</c:v>
                </c:pt>
                <c:pt idx="10">
                  <c:v>7.7135896868064772E-5</c:v>
                </c:pt>
                <c:pt idx="11">
                  <c:v>6.3215063365137578E-4</c:v>
                </c:pt>
                <c:pt idx="12">
                  <c:v>5.3032635024663228E-3</c:v>
                </c:pt>
                <c:pt idx="13">
                  <c:v>3.1574589120962622E-2</c:v>
                </c:pt>
                <c:pt idx="14">
                  <c:v>8.9754211578659579E-2</c:v>
                </c:pt>
                <c:pt idx="15">
                  <c:v>0.15391103876661086</c:v>
                </c:pt>
                <c:pt idx="16">
                  <c:v>0.14420216272386219</c:v>
                </c:pt>
                <c:pt idx="17">
                  <c:v>9.9835673282776899E-2</c:v>
                </c:pt>
                <c:pt idx="18">
                  <c:v>5.9123556643505375E-2</c:v>
                </c:pt>
                <c:pt idx="19">
                  <c:v>4.036078030219957E-2</c:v>
                </c:pt>
                <c:pt idx="20">
                  <c:v>4.4035559314411173E-2</c:v>
                </c:pt>
                <c:pt idx="21">
                  <c:v>4.3013673020376356E-2</c:v>
                </c:pt>
                <c:pt idx="22">
                  <c:v>3.9684692660045526E-2</c:v>
                </c:pt>
                <c:pt idx="23">
                  <c:v>2.917570356107459E-2</c:v>
                </c:pt>
                <c:pt idx="24">
                  <c:v>2.5432830968090681E-2</c:v>
                </c:pt>
                <c:pt idx="25">
                  <c:v>3.0475229019304519E-2</c:v>
                </c:pt>
                <c:pt idx="26">
                  <c:v>3.1071384337099342E-2</c:v>
                </c:pt>
                <c:pt idx="27">
                  <c:v>3.3357883846977493E-2</c:v>
                </c:pt>
                <c:pt idx="28">
                  <c:v>2.9031578590008916E-2</c:v>
                </c:pt>
                <c:pt idx="29">
                  <c:v>2.8223734616276103E-2</c:v>
                </c:pt>
                <c:pt idx="30">
                  <c:v>2.1968849279325384E-2</c:v>
                </c:pt>
                <c:pt idx="31">
                  <c:v>1.1698867655154306E-2</c:v>
                </c:pt>
                <c:pt idx="32">
                  <c:v>5.4124471208141694E-3</c:v>
                </c:pt>
                <c:pt idx="33">
                  <c:v>1.7481604903684641E-3</c:v>
                </c:pt>
                <c:pt idx="34">
                  <c:v>6.2178088409467892E-4</c:v>
                </c:pt>
                <c:pt idx="35">
                  <c:v>2.5197274947790768E-4</c:v>
                </c:pt>
                <c:pt idx="36">
                  <c:v>9.3707301227158298E-6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E-A948-983D-C912C65FB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0382336"/>
        <c:axId val="90384256"/>
      </c:barChart>
      <c:catAx>
        <c:axId val="90382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0384256"/>
        <c:crosses val="autoZero"/>
        <c:auto val="1"/>
        <c:lblAlgn val="ctr"/>
        <c:lblOffset val="100"/>
        <c:noMultiLvlLbl val="0"/>
      </c:catAx>
      <c:valAx>
        <c:axId val="9038425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038233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en-US" sz="1000" i="1"/>
              <a:t>Trachurus trachurus </a:t>
            </a:r>
          </a:p>
          <a:p>
            <a:pPr>
              <a:defRPr lang="pt-PT" sz="1000"/>
            </a:pPr>
            <a:r>
              <a:rPr lang="en-US" sz="1000"/>
              <a:t>Zone A+B  2017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8006560647935725E-2"/>
          <c:y val="0.14146525226710677"/>
          <c:w val="0.87299343706860932"/>
          <c:h val="0.67108302993178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'Tab&amp;Fig4.5.1a, b, c'!$AD$4</c:f>
              <c:strCache>
                <c:ptCount val="1"/>
                <c:pt idx="0">
                  <c:v>% Tot N C Blanc</c:v>
                </c:pt>
              </c:strCache>
            </c:strRef>
          </c:tx>
          <c:spPr>
            <a:solidFill>
              <a:prstClr val="white">
                <a:lumMod val="50000"/>
              </a:prstClr>
            </a:solidFill>
            <a:ln w="28575">
              <a:solidFill>
                <a:prstClr val="black">
                  <a:lumMod val="65000"/>
                  <a:lumOff val="35000"/>
                </a:prstClr>
              </a:solidFill>
            </a:ln>
          </c:spPr>
          <c:invertIfNegative val="0"/>
          <c:cat>
            <c:numRef>
              <c:f>'Tab&amp;Fig4.5.1a, b, c'!$AU$5:$AU$45</c:f>
              <c:numCache>
                <c:formatCode>General</c:formatCode>
                <c:ptCount val="4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</c:numCache>
            </c:numRef>
          </c:cat>
          <c:val>
            <c:numRef>
              <c:f>'Tab&amp;Fig4.5.1a, b, c'!$BW$5:$BW$45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3.1767360644391349E-3</c:v>
                </c:pt>
                <c:pt idx="9">
                  <c:v>6.3534721288782698E-3</c:v>
                </c:pt>
                <c:pt idx="10">
                  <c:v>5.5676435009909056E-3</c:v>
                </c:pt>
                <c:pt idx="11">
                  <c:v>1.2668708567885704E-2</c:v>
                </c:pt>
                <c:pt idx="12">
                  <c:v>1.8611043595152407E-2</c:v>
                </c:pt>
                <c:pt idx="13">
                  <c:v>4.5873547442252506E-2</c:v>
                </c:pt>
                <c:pt idx="14">
                  <c:v>4.3767320679757901E-2</c:v>
                </c:pt>
                <c:pt idx="15">
                  <c:v>5.6108468635149601E-2</c:v>
                </c:pt>
                <c:pt idx="16">
                  <c:v>6.8045823582995602E-2</c:v>
                </c:pt>
                <c:pt idx="17">
                  <c:v>7.1551422515109334E-2</c:v>
                </c:pt>
                <c:pt idx="18">
                  <c:v>5.6320867305260869E-2</c:v>
                </c:pt>
                <c:pt idx="19">
                  <c:v>4.3730108121486595E-2</c:v>
                </c:pt>
                <c:pt idx="20">
                  <c:v>2.5569516369372762E-2</c:v>
                </c:pt>
                <c:pt idx="21">
                  <c:v>2.8157858860139929E-2</c:v>
                </c:pt>
                <c:pt idx="22">
                  <c:v>5.6163316403924274E-2</c:v>
                </c:pt>
                <c:pt idx="23">
                  <c:v>0.13066369455721974</c:v>
                </c:pt>
                <c:pt idx="24">
                  <c:v>7.8608179455000149E-2</c:v>
                </c:pt>
                <c:pt idx="25">
                  <c:v>0.15112640257533169</c:v>
                </c:pt>
                <c:pt idx="26">
                  <c:v>3.8465686426407963E-2</c:v>
                </c:pt>
                <c:pt idx="27">
                  <c:v>3.380657697552765E-2</c:v>
                </c:pt>
                <c:pt idx="28">
                  <c:v>1.729629692278958E-2</c:v>
                </c:pt>
                <c:pt idx="29">
                  <c:v>7.1599887373756119E-3</c:v>
                </c:pt>
                <c:pt idx="30">
                  <c:v>1.2073205775519822E-3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4-EE46-A983-A1A554A7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0405504"/>
        <c:axId val="90432256"/>
      </c:barChart>
      <c:catAx>
        <c:axId val="90405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0432256"/>
        <c:crosses val="autoZero"/>
        <c:auto val="1"/>
        <c:lblAlgn val="ctr"/>
        <c:lblOffset val="100"/>
        <c:noMultiLvlLbl val="0"/>
      </c:catAx>
      <c:valAx>
        <c:axId val="9043225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040550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en-US" sz="1000" i="1"/>
              <a:t>Trachurus trachurus </a:t>
            </a:r>
          </a:p>
          <a:p>
            <a:pPr>
              <a:defRPr lang="pt-PT" sz="1000"/>
            </a:pPr>
            <a:r>
              <a:rPr lang="en-US" sz="1000"/>
              <a:t>Zone North  Cap Blanc</a:t>
            </a:r>
            <a:r>
              <a:rPr lang="en-US" sz="1000" baseline="0"/>
              <a:t> </a:t>
            </a:r>
            <a:r>
              <a:rPr lang="en-US" sz="1000"/>
              <a:t>2017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8006560647935725E-2"/>
          <c:y val="0.14146525226710688"/>
          <c:w val="0.87299343706860977"/>
          <c:h val="0.67108302993178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'Tab&amp;Fig4.5.1a, b, c'!$AD$4</c:f>
              <c:strCache>
                <c:ptCount val="1"/>
                <c:pt idx="0">
                  <c:v>% Tot N C Blanc</c:v>
                </c:pt>
              </c:strCache>
            </c:strRef>
          </c:tx>
          <c:spPr>
            <a:solidFill>
              <a:prstClr val="white">
                <a:lumMod val="50000"/>
              </a:prstClr>
            </a:solidFill>
            <a:ln w="28575">
              <a:solidFill>
                <a:prstClr val="black">
                  <a:lumMod val="65000"/>
                  <a:lumOff val="35000"/>
                </a:prstClr>
              </a:solidFill>
            </a:ln>
          </c:spPr>
          <c:invertIfNegative val="0"/>
          <c:cat>
            <c:numRef>
              <c:f>'Tab&amp;Fig4.5.1a, b, c'!$AU$5:$AU$45</c:f>
              <c:numCache>
                <c:formatCode>General</c:formatCode>
                <c:ptCount val="4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</c:numCache>
            </c:numRef>
          </c:cat>
          <c:val>
            <c:numRef>
              <c:f>'Tab&amp;Fig4.5.1a, b, c'!$BX$5:$BX$45</c:f>
              <c:numCache>
                <c:formatCode>General</c:formatCode>
                <c:ptCount val="41"/>
                <c:pt idx="0">
                  <c:v>1.9181981298632994E-5</c:v>
                </c:pt>
                <c:pt idx="1">
                  <c:v>4.6474413178819267E-4</c:v>
                </c:pt>
                <c:pt idx="2">
                  <c:v>1.3547386763755516E-3</c:v>
                </c:pt>
                <c:pt idx="3">
                  <c:v>3.1684740459129728E-3</c:v>
                </c:pt>
                <c:pt idx="4">
                  <c:v>4.6118948410845051E-3</c:v>
                </c:pt>
                <c:pt idx="5">
                  <c:v>8.0179533690698055E-3</c:v>
                </c:pt>
                <c:pt idx="6">
                  <c:v>8.5396363947775212E-3</c:v>
                </c:pt>
                <c:pt idx="7">
                  <c:v>1.2832552466852918E-2</c:v>
                </c:pt>
                <c:pt idx="8">
                  <c:v>1.5047985520270958E-2</c:v>
                </c:pt>
                <c:pt idx="9">
                  <c:v>1.7134649127374439E-2</c:v>
                </c:pt>
                <c:pt idx="10">
                  <c:v>3.0085820688421767E-2</c:v>
                </c:pt>
                <c:pt idx="11">
                  <c:v>4.7869339035388959E-2</c:v>
                </c:pt>
                <c:pt idx="12">
                  <c:v>9.0265811987446473E-2</c:v>
                </c:pt>
                <c:pt idx="13">
                  <c:v>0.12582588113897691</c:v>
                </c:pt>
                <c:pt idx="14">
                  <c:v>0.12953919841675385</c:v>
                </c:pt>
                <c:pt idx="15">
                  <c:v>0.13486351157967613</c:v>
                </c:pt>
                <c:pt idx="16">
                  <c:v>0.12390088302478974</c:v>
                </c:pt>
                <c:pt idx="17">
                  <c:v>9.8511986905600701E-2</c:v>
                </c:pt>
                <c:pt idx="18">
                  <c:v>6.4090481415008296E-2</c:v>
                </c:pt>
                <c:pt idx="19">
                  <c:v>3.8988239550027656E-2</c:v>
                </c:pt>
                <c:pt idx="20">
                  <c:v>1.7738716391362035E-2</c:v>
                </c:pt>
                <c:pt idx="21">
                  <c:v>1.3900252584943236E-2</c:v>
                </c:pt>
                <c:pt idx="22">
                  <c:v>7.224069673522098E-3</c:v>
                </c:pt>
                <c:pt idx="23">
                  <c:v>2.3121327094910247E-3</c:v>
                </c:pt>
                <c:pt idx="24">
                  <c:v>1.2281397655288023E-3</c:v>
                </c:pt>
                <c:pt idx="25">
                  <c:v>9.793222943862475E-4</c:v>
                </c:pt>
                <c:pt idx="26">
                  <c:v>5.9203355418021826E-4</c:v>
                </c:pt>
                <c:pt idx="27">
                  <c:v>2.9346840376934941E-4</c:v>
                </c:pt>
                <c:pt idx="28">
                  <c:v>4.3568718469459906E-4</c:v>
                </c:pt>
                <c:pt idx="29">
                  <c:v>1.3455894370376212E-4</c:v>
                </c:pt>
                <c:pt idx="30">
                  <c:v>2.8654197522795273E-5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F-BD4B-9A38-603117DED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0465792"/>
        <c:axId val="90467712"/>
      </c:barChart>
      <c:catAx>
        <c:axId val="90465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0467712"/>
        <c:crosses val="autoZero"/>
        <c:auto val="1"/>
        <c:lblAlgn val="ctr"/>
        <c:lblOffset val="100"/>
        <c:noMultiLvlLbl val="0"/>
      </c:catAx>
      <c:valAx>
        <c:axId val="9046771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046579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en-US" sz="1000" i="1"/>
              <a:t>Trachurus trachurus </a:t>
            </a:r>
          </a:p>
          <a:p>
            <a:pPr>
              <a:defRPr lang="pt-PT" sz="1000"/>
            </a:pPr>
            <a:r>
              <a:rPr lang="en-US" sz="1000"/>
              <a:t>Zone South Cap Blanc 2017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8006560647935725E-2"/>
          <c:y val="0.14146525226710696"/>
          <c:w val="0.87299343706861021"/>
          <c:h val="0.67108302993178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'Tab&amp;Fig4.5.1a, b, c'!$AD$4</c:f>
              <c:strCache>
                <c:ptCount val="1"/>
                <c:pt idx="0">
                  <c:v>% Tot N C Blanc</c:v>
                </c:pt>
              </c:strCache>
            </c:strRef>
          </c:tx>
          <c:spPr>
            <a:solidFill>
              <a:prstClr val="white">
                <a:lumMod val="50000"/>
              </a:prstClr>
            </a:solidFill>
            <a:ln w="28575">
              <a:solidFill>
                <a:prstClr val="black">
                  <a:lumMod val="65000"/>
                  <a:lumOff val="35000"/>
                </a:prstClr>
              </a:solidFill>
            </a:ln>
          </c:spPr>
          <c:invertIfNegative val="0"/>
          <c:cat>
            <c:numRef>
              <c:f>'Tab&amp;Fig4.5.1a, b, c'!$AU$5:$AU$45</c:f>
              <c:numCache>
                <c:formatCode>General</c:formatCode>
                <c:ptCount val="4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</c:numCache>
            </c:numRef>
          </c:cat>
          <c:val>
            <c:numRef>
              <c:f>'Tab&amp;Fig4.5.1a, b, c'!$BY$5:$BY$45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1.5348277309697965E-3</c:v>
                </c:pt>
                <c:pt idx="11">
                  <c:v>1.5939777023547382E-2</c:v>
                </c:pt>
                <c:pt idx="12">
                  <c:v>9.3276448039667628E-2</c:v>
                </c:pt>
                <c:pt idx="13">
                  <c:v>0.14829679265406523</c:v>
                </c:pt>
                <c:pt idx="14">
                  <c:v>0.1079488648681653</c:v>
                </c:pt>
                <c:pt idx="15">
                  <c:v>9.4143620640512043E-2</c:v>
                </c:pt>
                <c:pt idx="16">
                  <c:v>9.0518705884738523E-2</c:v>
                </c:pt>
                <c:pt idx="17">
                  <c:v>0.12416404596786511</c:v>
                </c:pt>
                <c:pt idx="18">
                  <c:v>0.10637821181512655</c:v>
                </c:pt>
                <c:pt idx="19">
                  <c:v>7.7292586261444182E-2</c:v>
                </c:pt>
                <c:pt idx="20">
                  <c:v>5.8239721222744893E-2</c:v>
                </c:pt>
                <c:pt idx="21">
                  <c:v>4.6870367585174336E-2</c:v>
                </c:pt>
                <c:pt idx="22">
                  <c:v>2.0003633067617828E-2</c:v>
                </c:pt>
                <c:pt idx="23">
                  <c:v>1.0553787372961941E-2</c:v>
                </c:pt>
                <c:pt idx="24">
                  <c:v>3.432394414758096E-3</c:v>
                </c:pt>
                <c:pt idx="25">
                  <c:v>1.4062154506411628E-3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B-7F4B-A29F-6C94A32BC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0579328"/>
        <c:axId val="90581248"/>
      </c:barChart>
      <c:catAx>
        <c:axId val="90579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0581248"/>
        <c:crosses val="autoZero"/>
        <c:auto val="1"/>
        <c:lblAlgn val="ctr"/>
        <c:lblOffset val="100"/>
        <c:noMultiLvlLbl val="0"/>
      </c:catAx>
      <c:valAx>
        <c:axId val="9058124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057932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en-US" sz="1000" i="1"/>
              <a:t>Trachurus trachurus </a:t>
            </a:r>
          </a:p>
          <a:p>
            <a:pPr>
              <a:defRPr lang="pt-PT" sz="1000"/>
            </a:pPr>
            <a:r>
              <a:rPr lang="en-US" sz="1000"/>
              <a:t>Zone A+B  2018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8006560647935725E-2"/>
          <c:y val="0.14146525226710677"/>
          <c:w val="0.87299343706860932"/>
          <c:h val="0.67108302993178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'Tab&amp;Fig4.5.1a, b, c'!$AD$4</c:f>
              <c:strCache>
                <c:ptCount val="1"/>
                <c:pt idx="0">
                  <c:v>% Tot N C Blanc</c:v>
                </c:pt>
              </c:strCache>
            </c:strRef>
          </c:tx>
          <c:spPr>
            <a:solidFill>
              <a:prstClr val="white">
                <a:lumMod val="50000"/>
              </a:prstClr>
            </a:solidFill>
            <a:ln w="28575">
              <a:solidFill>
                <a:prstClr val="black">
                  <a:lumMod val="65000"/>
                  <a:lumOff val="35000"/>
                </a:prstClr>
              </a:solidFill>
            </a:ln>
          </c:spPr>
          <c:invertIfNegative val="0"/>
          <c:cat>
            <c:numRef>
              <c:f>'Tab&amp;Fig4.5.1a, b, c'!$CH$5:$CH$50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'Tab&amp;Fig4.5.1a, b, c'!$CL$5:$CL$50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2.8889303753322423E-3</c:v>
                </c:pt>
                <c:pt idx="6">
                  <c:v>3.0707580468898013E-3</c:v>
                </c:pt>
                <c:pt idx="7">
                  <c:v>0.22044772784822494</c:v>
                </c:pt>
                <c:pt idx="8">
                  <c:v>0.47178966669900319</c:v>
                </c:pt>
                <c:pt idx="9">
                  <c:v>3.7772775410799792E-2</c:v>
                </c:pt>
                <c:pt idx="10">
                  <c:v>1.1092428617233845E-2</c:v>
                </c:pt>
                <c:pt idx="11">
                  <c:v>4.7641383869157072E-3</c:v>
                </c:pt>
                <c:pt idx="12">
                  <c:v>2.8659415145476083E-4</c:v>
                </c:pt>
                <c:pt idx="13">
                  <c:v>0</c:v>
                </c:pt>
                <c:pt idx="14">
                  <c:v>3.9052329536256062E-4</c:v>
                </c:pt>
                <c:pt idx="15">
                  <c:v>8.873323628882957E-4</c:v>
                </c:pt>
                <c:pt idx="16">
                  <c:v>1.6170123712178747E-3</c:v>
                </c:pt>
                <c:pt idx="17">
                  <c:v>6.7996619657695557E-3</c:v>
                </c:pt>
                <c:pt idx="18">
                  <c:v>7.5978982340000455E-3</c:v>
                </c:pt>
                <c:pt idx="19">
                  <c:v>4.3130898234864067E-3</c:v>
                </c:pt>
                <c:pt idx="20">
                  <c:v>1.2712740576884258E-2</c:v>
                </c:pt>
                <c:pt idx="21">
                  <c:v>3.9103099507582992E-3</c:v>
                </c:pt>
                <c:pt idx="22">
                  <c:v>2.0416274904858582E-2</c:v>
                </c:pt>
                <c:pt idx="23">
                  <c:v>1.4715576859497441E-2</c:v>
                </c:pt>
                <c:pt idx="24">
                  <c:v>1.5207701022710848E-2</c:v>
                </c:pt>
                <c:pt idx="25">
                  <c:v>2.8217941234542038E-2</c:v>
                </c:pt>
                <c:pt idx="26">
                  <c:v>3.7743366944667095E-2</c:v>
                </c:pt>
                <c:pt idx="27">
                  <c:v>1.22894638927795E-2</c:v>
                </c:pt>
                <c:pt idx="28">
                  <c:v>1.8041159204305976E-2</c:v>
                </c:pt>
                <c:pt idx="29">
                  <c:v>1.2937831223950525E-2</c:v>
                </c:pt>
                <c:pt idx="30">
                  <c:v>1.008604564460225E-2</c:v>
                </c:pt>
                <c:pt idx="31">
                  <c:v>8.4387323494383767E-3</c:v>
                </c:pt>
                <c:pt idx="32">
                  <c:v>9.5700550737743365E-3</c:v>
                </c:pt>
                <c:pt idx="33">
                  <c:v>1.0572921359943506E-2</c:v>
                </c:pt>
                <c:pt idx="34">
                  <c:v>7.2550203277298537E-3</c:v>
                </c:pt>
                <c:pt idx="35">
                  <c:v>3.2534561402163958E-3</c:v>
                </c:pt>
                <c:pt idx="36">
                  <c:v>9.1286570076161856E-4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4-EE46-A983-A1A554A7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0602496"/>
        <c:axId val="90616960"/>
      </c:barChart>
      <c:catAx>
        <c:axId val="90602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0616960"/>
        <c:crosses val="autoZero"/>
        <c:auto val="1"/>
        <c:lblAlgn val="ctr"/>
        <c:lblOffset val="100"/>
        <c:noMultiLvlLbl val="0"/>
      </c:catAx>
      <c:valAx>
        <c:axId val="9061696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060249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en-US" sz="1000" i="1"/>
              <a:t>Trachurus trachurus </a:t>
            </a:r>
          </a:p>
          <a:p>
            <a:pPr>
              <a:defRPr lang="pt-PT" sz="1000"/>
            </a:pPr>
            <a:r>
              <a:rPr lang="en-US" sz="1000"/>
              <a:t>Zone North  Cap Blanc</a:t>
            </a:r>
            <a:r>
              <a:rPr lang="en-US" sz="1000" baseline="0"/>
              <a:t> </a:t>
            </a:r>
            <a:r>
              <a:rPr lang="en-US" sz="1000"/>
              <a:t>2018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8006560647935725E-2"/>
          <c:y val="0.14146525226710688"/>
          <c:w val="0.87299343706860977"/>
          <c:h val="0.67108302993178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'Tab&amp;Fig4.5.1a, b, c'!$AD$4</c:f>
              <c:strCache>
                <c:ptCount val="1"/>
                <c:pt idx="0">
                  <c:v>% Tot N C Blanc</c:v>
                </c:pt>
              </c:strCache>
            </c:strRef>
          </c:tx>
          <c:spPr>
            <a:solidFill>
              <a:prstClr val="white">
                <a:lumMod val="50000"/>
              </a:prstClr>
            </a:solidFill>
            <a:ln w="28575">
              <a:solidFill>
                <a:prstClr val="black">
                  <a:lumMod val="65000"/>
                  <a:lumOff val="35000"/>
                </a:prstClr>
              </a:solidFill>
            </a:ln>
          </c:spPr>
          <c:invertIfNegative val="0"/>
          <c:cat>
            <c:numRef>
              <c:f>'Tab&amp;Fig4.5.1a, b, c'!$CH$5:$CH$50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'Tab&amp;Fig4.5.1a, b, c'!$CM$5:$CM$50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1.3875669677866936E-5</c:v>
                </c:pt>
                <c:pt idx="7">
                  <c:v>2.3272960111147892E-2</c:v>
                </c:pt>
                <c:pt idx="8">
                  <c:v>0.42332758817727117</c:v>
                </c:pt>
                <c:pt idx="9">
                  <c:v>0.19867418162630904</c:v>
                </c:pt>
                <c:pt idx="10">
                  <c:v>8.0451084129200909E-3</c:v>
                </c:pt>
                <c:pt idx="11">
                  <c:v>1.0810015192492315E-2</c:v>
                </c:pt>
                <c:pt idx="12">
                  <c:v>8.1318977966710337E-3</c:v>
                </c:pt>
                <c:pt idx="13">
                  <c:v>1.1785799983639985E-2</c:v>
                </c:pt>
                <c:pt idx="14">
                  <c:v>3.3343635350366531E-2</c:v>
                </c:pt>
                <c:pt idx="15">
                  <c:v>6.6451419271335535E-2</c:v>
                </c:pt>
                <c:pt idx="16">
                  <c:v>4.1193626117090369E-2</c:v>
                </c:pt>
                <c:pt idx="17">
                  <c:v>5.4460187355614489E-2</c:v>
                </c:pt>
                <c:pt idx="18">
                  <c:v>2.8901722807210598E-2</c:v>
                </c:pt>
                <c:pt idx="19">
                  <c:v>3.809265934672168E-2</c:v>
                </c:pt>
                <c:pt idx="20">
                  <c:v>2.1781180282615751E-2</c:v>
                </c:pt>
                <c:pt idx="21">
                  <c:v>1.5123901528307558E-2</c:v>
                </c:pt>
                <c:pt idx="22">
                  <c:v>6.8844048741350554E-3</c:v>
                </c:pt>
                <c:pt idx="23">
                  <c:v>2.6235054791881366E-3</c:v>
                </c:pt>
                <c:pt idx="24">
                  <c:v>1.8378931819668513E-3</c:v>
                </c:pt>
                <c:pt idx="25">
                  <c:v>8.6062183045188944E-4</c:v>
                </c:pt>
                <c:pt idx="26">
                  <c:v>8.0244529576355031E-4</c:v>
                </c:pt>
                <c:pt idx="27">
                  <c:v>9.3895101708373215E-4</c:v>
                </c:pt>
                <c:pt idx="28">
                  <c:v>1.2242461964618175E-3</c:v>
                </c:pt>
                <c:pt idx="29">
                  <c:v>8.7151897818444214E-4</c:v>
                </c:pt>
                <c:pt idx="30">
                  <c:v>3.7465460471384533E-4</c:v>
                </c:pt>
                <c:pt idx="31">
                  <c:v>1.1466634177258367E-4</c:v>
                </c:pt>
                <c:pt idx="32">
                  <c:v>2.8666585443145927E-5</c:v>
                </c:pt>
                <c:pt idx="33">
                  <c:v>0</c:v>
                </c:pt>
                <c:pt idx="34">
                  <c:v>2.8666585443145917E-5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F-BD4B-9A38-603117DED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0511616"/>
        <c:axId val="90534272"/>
      </c:barChart>
      <c:catAx>
        <c:axId val="90511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0534272"/>
        <c:crosses val="autoZero"/>
        <c:auto val="1"/>
        <c:lblAlgn val="ctr"/>
        <c:lblOffset val="100"/>
        <c:noMultiLvlLbl val="0"/>
      </c:catAx>
      <c:valAx>
        <c:axId val="9053427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051161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en-US" sz="1000" i="1"/>
              <a:t>Trachurus trachurus </a:t>
            </a:r>
          </a:p>
          <a:p>
            <a:pPr>
              <a:defRPr lang="pt-PT" sz="1000"/>
            </a:pPr>
            <a:r>
              <a:rPr lang="en-US" sz="1000"/>
              <a:t>Zone South Cap Blanc 2018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8006560647935725E-2"/>
          <c:y val="0.14146525226710696"/>
          <c:w val="0.87299343706861021"/>
          <c:h val="0.67108302993178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'Tab&amp;Fig4.5.1a, b, c'!$AD$4</c:f>
              <c:strCache>
                <c:ptCount val="1"/>
                <c:pt idx="0">
                  <c:v>% Tot N C Blanc</c:v>
                </c:pt>
              </c:strCache>
            </c:strRef>
          </c:tx>
          <c:spPr>
            <a:solidFill>
              <a:prstClr val="white">
                <a:lumMod val="50000"/>
              </a:prstClr>
            </a:solidFill>
            <a:ln w="28575">
              <a:solidFill>
                <a:prstClr val="black">
                  <a:lumMod val="65000"/>
                  <a:lumOff val="35000"/>
                </a:prstClr>
              </a:solidFill>
            </a:ln>
          </c:spPr>
          <c:invertIfNegative val="0"/>
          <c:cat>
            <c:numRef>
              <c:f>'Tab&amp;Fig4.5.1a, b, c'!$CH$5:$CH$50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'Tab&amp;Fig4.5.1a, b, c'!$CN$5:$CN$50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1.3459710683184174E-3</c:v>
                </c:pt>
                <c:pt idx="15">
                  <c:v>1.2188718458393571E-2</c:v>
                </c:pt>
                <c:pt idx="16">
                  <c:v>2.240829894596259E-2</c:v>
                </c:pt>
                <c:pt idx="17">
                  <c:v>6.558299643048246E-2</c:v>
                </c:pt>
                <c:pt idx="18">
                  <c:v>0.11816518919272687</c:v>
                </c:pt>
                <c:pt idx="19">
                  <c:v>0.1033490369113773</c:v>
                </c:pt>
                <c:pt idx="20">
                  <c:v>8.1522723198749467E-2</c:v>
                </c:pt>
                <c:pt idx="21">
                  <c:v>9.2281053714714845E-2</c:v>
                </c:pt>
                <c:pt idx="22">
                  <c:v>0.11869038739159209</c:v>
                </c:pt>
                <c:pt idx="23">
                  <c:v>7.4743217462292608E-2</c:v>
                </c:pt>
                <c:pt idx="24">
                  <c:v>5.7291234945100668E-2</c:v>
                </c:pt>
                <c:pt idx="25">
                  <c:v>5.2305266132491916E-2</c:v>
                </c:pt>
                <c:pt idx="26">
                  <c:v>5.4217874922015678E-2</c:v>
                </c:pt>
                <c:pt idx="27">
                  <c:v>5.2040853445866342E-2</c:v>
                </c:pt>
                <c:pt idx="28">
                  <c:v>4.7418487355033935E-2</c:v>
                </c:pt>
                <c:pt idx="29">
                  <c:v>2.5441997933232263E-2</c:v>
                </c:pt>
                <c:pt idx="30">
                  <c:v>9.4912129907017469E-3</c:v>
                </c:pt>
                <c:pt idx="31">
                  <c:v>5.0473167740911103E-3</c:v>
                </c:pt>
                <c:pt idx="32">
                  <c:v>3.2128888831836153E-3</c:v>
                </c:pt>
                <c:pt idx="33">
                  <c:v>8.8502700917489482E-4</c:v>
                </c:pt>
                <c:pt idx="34">
                  <c:v>1.285155553273446E-3</c:v>
                </c:pt>
                <c:pt idx="35">
                  <c:v>1.0850912812241705E-3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B-7F4B-A29F-6C94A32BC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0637440"/>
        <c:axId val="90639360"/>
      </c:barChart>
      <c:catAx>
        <c:axId val="90637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0639360"/>
        <c:crosses val="autoZero"/>
        <c:auto val="1"/>
        <c:lblAlgn val="ctr"/>
        <c:lblOffset val="100"/>
        <c:noMultiLvlLbl val="0"/>
      </c:catAx>
      <c:valAx>
        <c:axId val="9063936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063744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i="1"/>
              <a:t>Trachurus trachurus </a:t>
            </a:r>
          </a:p>
          <a:p>
            <a:pPr>
              <a:defRPr lang="pt-PT" sz="1000"/>
            </a:pPr>
            <a:r>
              <a:rPr lang="en-US" sz="1000"/>
              <a:t>Zone South Cap Blanc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PT"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numRef>
              <c:f>'Tab&amp;Fig4.5.1a, b, c'!$CX$5:$CX$50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'Tab&amp;Fig4.5.1a, b, c'!$DG$5:$DG$50</c:f>
              <c:numCache>
                <c:formatCode>General</c:formatCode>
                <c:ptCount val="46"/>
                <c:pt idx="15">
                  <c:v>2.4581910676336823E-3</c:v>
                </c:pt>
                <c:pt idx="16">
                  <c:v>5.7981697277364262E-2</c:v>
                </c:pt>
                <c:pt idx="17">
                  <c:v>0.18266876467142351</c:v>
                </c:pt>
                <c:pt idx="18">
                  <c:v>0.18348485727318425</c:v>
                </c:pt>
                <c:pt idx="19">
                  <c:v>0.14488118019908078</c:v>
                </c:pt>
                <c:pt idx="20">
                  <c:v>0.13644700808386473</c:v>
                </c:pt>
                <c:pt idx="21">
                  <c:v>0.1243308843033322</c:v>
                </c:pt>
                <c:pt idx="22">
                  <c:v>6.5870374084116876E-2</c:v>
                </c:pt>
                <c:pt idx="23">
                  <c:v>4.3289539801044372E-2</c:v>
                </c:pt>
                <c:pt idx="24">
                  <c:v>3.3762761092171342E-2</c:v>
                </c:pt>
                <c:pt idx="25">
                  <c:v>1.1410515313876936E-2</c:v>
                </c:pt>
                <c:pt idx="26">
                  <c:v>4.5821336725488477E-3</c:v>
                </c:pt>
                <c:pt idx="27">
                  <c:v>3.798664546139861E-3</c:v>
                </c:pt>
                <c:pt idx="28">
                  <c:v>1.7833452740122038E-3</c:v>
                </c:pt>
                <c:pt idx="29">
                  <c:v>8.0171106848677656E-4</c:v>
                </c:pt>
                <c:pt idx="30">
                  <c:v>7.2119664607926215E-4</c:v>
                </c:pt>
                <c:pt idx="31">
                  <c:v>4.634512438741305E-4</c:v>
                </c:pt>
                <c:pt idx="32">
                  <c:v>6.6522662063231224E-4</c:v>
                </c:pt>
                <c:pt idx="33">
                  <c:v>0</c:v>
                </c:pt>
                <c:pt idx="34">
                  <c:v>1.4382571928885709E-4</c:v>
                </c:pt>
                <c:pt idx="35">
                  <c:v>4.3276836133150865E-4</c:v>
                </c:pt>
                <c:pt idx="36">
                  <c:v>2.1903680513382353E-5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E4-4AD0-A5B1-BAD268B08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0697728"/>
        <c:axId val="90699648"/>
      </c:barChart>
      <c:catAx>
        <c:axId val="9069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pt-PT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699648"/>
        <c:crosses val="autoZero"/>
        <c:auto val="1"/>
        <c:lblAlgn val="ctr"/>
        <c:lblOffset val="100"/>
        <c:noMultiLvlLbl val="0"/>
      </c:catAx>
      <c:valAx>
        <c:axId val="90699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pt-PT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69772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i="1"/>
              <a:t>Trachurus trachurus </a:t>
            </a:r>
          </a:p>
          <a:p>
            <a:pPr>
              <a:defRPr lang="pt-PT" sz="1000"/>
            </a:pPr>
            <a:r>
              <a:rPr lang="en-US" sz="1000"/>
              <a:t>Zone North  Cap Blanc</a:t>
            </a:r>
            <a:r>
              <a:rPr lang="en-US" sz="1000" baseline="0"/>
              <a:t> </a:t>
            </a:r>
            <a:r>
              <a:rPr lang="en-US" sz="1000"/>
              <a:t>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PT"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532174103237096E-2"/>
          <c:y val="0.19557226783691956"/>
          <c:w val="0.81394028871391078"/>
          <c:h val="0.5920268261608157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numRef>
              <c:f>'Tab&amp;Fig4.5.1a, b, c'!$CX$5:$CX$50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'Tab&amp;Fig4.5.1a, b, c'!$DF$5:$DF$50</c:f>
              <c:numCache>
                <c:formatCode>General</c:formatCode>
                <c:ptCount val="46"/>
                <c:pt idx="8">
                  <c:v>1.0112176318355693E-3</c:v>
                </c:pt>
                <c:pt idx="9">
                  <c:v>4.3005769425410872E-3</c:v>
                </c:pt>
                <c:pt idx="10">
                  <c:v>9.6665391300358363E-3</c:v>
                </c:pt>
                <c:pt idx="11">
                  <c:v>1.1223518762210904E-2</c:v>
                </c:pt>
                <c:pt idx="12">
                  <c:v>9.4051431739689845E-3</c:v>
                </c:pt>
                <c:pt idx="13">
                  <c:v>9.5805771207459096E-3</c:v>
                </c:pt>
                <c:pt idx="14">
                  <c:v>9.9366180656712492E-3</c:v>
                </c:pt>
                <c:pt idx="15">
                  <c:v>1.2289760051745136E-2</c:v>
                </c:pt>
                <c:pt idx="16">
                  <c:v>4.8193553800526534E-2</c:v>
                </c:pt>
                <c:pt idx="17">
                  <c:v>0.12957972851263055</c:v>
                </c:pt>
                <c:pt idx="18">
                  <c:v>0.17258095421671252</c:v>
                </c:pt>
                <c:pt idx="19">
                  <c:v>0.15537169331876796</c:v>
                </c:pt>
                <c:pt idx="20">
                  <c:v>0.11949745885155413</c:v>
                </c:pt>
                <c:pt idx="21">
                  <c:v>0.10046403794819769</c:v>
                </c:pt>
                <c:pt idx="22">
                  <c:v>7.3364246943410497E-2</c:v>
                </c:pt>
                <c:pt idx="23">
                  <c:v>4.7169804120067785E-2</c:v>
                </c:pt>
                <c:pt idx="24">
                  <c:v>2.7990374181021554E-2</c:v>
                </c:pt>
                <c:pt idx="25">
                  <c:v>1.7288496988487775E-2</c:v>
                </c:pt>
                <c:pt idx="26">
                  <c:v>1.0575957098289724E-2</c:v>
                </c:pt>
                <c:pt idx="27">
                  <c:v>9.0033765570097669E-3</c:v>
                </c:pt>
                <c:pt idx="28">
                  <c:v>6.0595359197644178E-3</c:v>
                </c:pt>
                <c:pt idx="29">
                  <c:v>5.5855170346746077E-3</c:v>
                </c:pt>
                <c:pt idx="30">
                  <c:v>2.9684839232510499E-3</c:v>
                </c:pt>
                <c:pt idx="31">
                  <c:v>3.0419457460789945E-3</c:v>
                </c:pt>
                <c:pt idx="32">
                  <c:v>1.60785943561419E-3</c:v>
                </c:pt>
                <c:pt idx="33">
                  <c:v>7.7000739508016592E-4</c:v>
                </c:pt>
                <c:pt idx="34">
                  <c:v>8.5274622438349099E-4</c:v>
                </c:pt>
                <c:pt idx="35">
                  <c:v>5.0356190906812441E-4</c:v>
                </c:pt>
                <c:pt idx="36">
                  <c:v>4.0029647268633181E-5</c:v>
                </c:pt>
                <c:pt idx="37">
                  <c:v>7.6679349385236145E-5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E9-4B0F-B500-D0868922F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0720896"/>
        <c:axId val="90743552"/>
      </c:barChart>
      <c:catAx>
        <c:axId val="90720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pt-PT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743552"/>
        <c:crosses val="autoZero"/>
        <c:auto val="1"/>
        <c:lblAlgn val="ctr"/>
        <c:lblOffset val="100"/>
        <c:noMultiLvlLbl val="0"/>
      </c:catAx>
      <c:valAx>
        <c:axId val="90743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pt-PT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72089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i="1"/>
              <a:t>Trachurus trachurus </a:t>
            </a:r>
          </a:p>
          <a:p>
            <a:pPr>
              <a:defRPr lang="pt-PT" sz="1000"/>
            </a:pPr>
            <a:r>
              <a:rPr lang="en-US" sz="1000"/>
              <a:t>Zone A+B 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PT"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numRef>
              <c:f>'Tab&amp;Fig4.5.1a, b, c'!$CX$5:$CX$50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'Tab&amp;Fig4.5.1a, b, c'!$DE$5:$DE$36</c:f>
              <c:numCache>
                <c:formatCode>General</c:formatCode>
                <c:ptCount val="32"/>
                <c:pt idx="1">
                  <c:v>0</c:v>
                </c:pt>
                <c:pt idx="2">
                  <c:v>9.9108908342018284E-2</c:v>
                </c:pt>
                <c:pt idx="3">
                  <c:v>9.4425964772709911E-2</c:v>
                </c:pt>
                <c:pt idx="4">
                  <c:v>0.12790931898126195</c:v>
                </c:pt>
                <c:pt idx="5">
                  <c:v>0.1366503312680355</c:v>
                </c:pt>
                <c:pt idx="6">
                  <c:v>6.1745720855760702E-2</c:v>
                </c:pt>
                <c:pt idx="7">
                  <c:v>3.9451373396562774E-2</c:v>
                </c:pt>
                <c:pt idx="8">
                  <c:v>2.750504984098923E-2</c:v>
                </c:pt>
                <c:pt idx="9">
                  <c:v>2.8987926100540757E-2</c:v>
                </c:pt>
                <c:pt idx="10">
                  <c:v>5.7777016248623213E-2</c:v>
                </c:pt>
                <c:pt idx="11">
                  <c:v>7.2859264992200967E-2</c:v>
                </c:pt>
                <c:pt idx="12">
                  <c:v>8.4185263201229765E-2</c:v>
                </c:pt>
                <c:pt idx="13">
                  <c:v>6.1354342831961652E-2</c:v>
                </c:pt>
                <c:pt idx="14">
                  <c:v>5.4747261722031038E-2</c:v>
                </c:pt>
                <c:pt idx="15">
                  <c:v>1.920016053463295E-2</c:v>
                </c:pt>
                <c:pt idx="16">
                  <c:v>6.7206420895964012E-3</c:v>
                </c:pt>
                <c:pt idx="17">
                  <c:v>1.380269097933786E-3</c:v>
                </c:pt>
                <c:pt idx="18">
                  <c:v>5.5879940741098283E-3</c:v>
                </c:pt>
                <c:pt idx="19">
                  <c:v>6.6492268500734902E-3</c:v>
                </c:pt>
                <c:pt idx="20">
                  <c:v>2.231029521437668E-3</c:v>
                </c:pt>
                <c:pt idx="21">
                  <c:v>1.2639498449608692E-3</c:v>
                </c:pt>
                <c:pt idx="22">
                  <c:v>1.8910936419279829E-3</c:v>
                </c:pt>
                <c:pt idx="23">
                  <c:v>2.6171454938330881E-3</c:v>
                </c:pt>
                <c:pt idx="24">
                  <c:v>2.5199489797907248E-3</c:v>
                </c:pt>
                <c:pt idx="25">
                  <c:v>1.2607253790465241E-3</c:v>
                </c:pt>
                <c:pt idx="26">
                  <c:v>1.4970269594015487E-3</c:v>
                </c:pt>
                <c:pt idx="27">
                  <c:v>2.3609181776171806E-4</c:v>
                </c:pt>
                <c:pt idx="28">
                  <c:v>2.3609181776171803E-4</c:v>
                </c:pt>
                <c:pt idx="29">
                  <c:v>4.3067190300551424E-7</c:v>
                </c:pt>
                <c:pt idx="30">
                  <c:v>0</c:v>
                </c:pt>
                <c:pt idx="31">
                  <c:v>4.3067190300551424E-7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8D-4B39-AA36-E47A21B03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2881664"/>
        <c:axId val="92883584"/>
      </c:barChart>
      <c:catAx>
        <c:axId val="92881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pt-PT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883584"/>
        <c:crosses val="autoZero"/>
        <c:auto val="1"/>
        <c:lblAlgn val="ctr"/>
        <c:lblOffset val="100"/>
        <c:noMultiLvlLbl val="0"/>
      </c:catAx>
      <c:valAx>
        <c:axId val="928835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pt-PT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88166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i="1"/>
              <a:t>Trachurus trachurus </a:t>
            </a:r>
          </a:p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Zone A+B  2020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087729658792666"/>
          <c:y val="0.21996536891221943"/>
          <c:w val="0.8146776027996504"/>
          <c:h val="0.5797721638961796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'Tab&amp;Fig4.5.1a, b, c'!$DQ$8:$DQ$50</c:f>
              <c:numCache>
                <c:formatCode>General</c:formatCode>
                <c:ptCount val="43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30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  <c:pt idx="32">
                  <c:v>39</c:v>
                </c:pt>
                <c:pt idx="33">
                  <c:v>40</c:v>
                </c:pt>
                <c:pt idx="34">
                  <c:v>41</c:v>
                </c:pt>
                <c:pt idx="35">
                  <c:v>42</c:v>
                </c:pt>
                <c:pt idx="36">
                  <c:v>43</c:v>
                </c:pt>
                <c:pt idx="37">
                  <c:v>44</c:v>
                </c:pt>
                <c:pt idx="38">
                  <c:v>45</c:v>
                </c:pt>
                <c:pt idx="39">
                  <c:v>46</c:v>
                </c:pt>
                <c:pt idx="40">
                  <c:v>47</c:v>
                </c:pt>
                <c:pt idx="41">
                  <c:v>48</c:v>
                </c:pt>
                <c:pt idx="42">
                  <c:v>49</c:v>
                </c:pt>
              </c:numCache>
            </c:numRef>
          </c:cat>
          <c:val>
            <c:numRef>
              <c:f>'Tab&amp;Fig4.5.1a, b, c'!$EA$8:$EA$50</c:f>
              <c:numCache>
                <c:formatCode>General</c:formatCode>
                <c:ptCount val="43"/>
                <c:pt idx="0">
                  <c:v>0</c:v>
                </c:pt>
                <c:pt idx="1">
                  <c:v>1.8018007950364845</c:v>
                </c:pt>
                <c:pt idx="2">
                  <c:v>15.596437995208682</c:v>
                </c:pt>
                <c:pt idx="3">
                  <c:v>12.713929862800576</c:v>
                </c:pt>
                <c:pt idx="4">
                  <c:v>9.5225116828035272</c:v>
                </c:pt>
                <c:pt idx="5">
                  <c:v>5.1413635916725138</c:v>
                </c:pt>
                <c:pt idx="6">
                  <c:v>6.3818730184275667</c:v>
                </c:pt>
                <c:pt idx="7">
                  <c:v>5.9778496725788104</c:v>
                </c:pt>
                <c:pt idx="8">
                  <c:v>5.4590150470199941</c:v>
                </c:pt>
                <c:pt idx="9">
                  <c:v>3.1309149280227455</c:v>
                </c:pt>
                <c:pt idx="10">
                  <c:v>2.9151811517300703</c:v>
                </c:pt>
                <c:pt idx="11">
                  <c:v>4.0847174608302321</c:v>
                </c:pt>
                <c:pt idx="12">
                  <c:v>6.5157454646324471</c:v>
                </c:pt>
                <c:pt idx="13">
                  <c:v>6.1988078460187683</c:v>
                </c:pt>
                <c:pt idx="14">
                  <c:v>3.1057429177689739</c:v>
                </c:pt>
                <c:pt idx="15">
                  <c:v>1.6053182344094772</c:v>
                </c:pt>
                <c:pt idx="16">
                  <c:v>0.99157612462419475</c:v>
                </c:pt>
                <c:pt idx="17">
                  <c:v>1.1959164562628182</c:v>
                </c:pt>
                <c:pt idx="18">
                  <c:v>1.6628273991794169</c:v>
                </c:pt>
                <c:pt idx="19">
                  <c:v>1.3257219736270327</c:v>
                </c:pt>
                <c:pt idx="20">
                  <c:v>0.93662973352521828</c:v>
                </c:pt>
                <c:pt idx="21">
                  <c:v>0.7040502951090688</c:v>
                </c:pt>
                <c:pt idx="22">
                  <c:v>0.44742497265489151</c:v>
                </c:pt>
                <c:pt idx="23">
                  <c:v>0.46734926255684456</c:v>
                </c:pt>
                <c:pt idx="24">
                  <c:v>0.66799283612491334</c:v>
                </c:pt>
                <c:pt idx="25">
                  <c:v>0.59061278993098987</c:v>
                </c:pt>
                <c:pt idx="26">
                  <c:v>0.45693368301945442</c:v>
                </c:pt>
                <c:pt idx="27">
                  <c:v>0.19739023211848089</c:v>
                </c:pt>
                <c:pt idx="28">
                  <c:v>0.14532373192108844</c:v>
                </c:pt>
                <c:pt idx="29">
                  <c:v>1.8314733876100695E-2</c:v>
                </c:pt>
                <c:pt idx="30">
                  <c:v>2.4588225650788973E-2</c:v>
                </c:pt>
                <c:pt idx="31">
                  <c:v>1.6137880857824957E-2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E-4A32-A4AF-9171BEFEE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2916736"/>
        <c:axId val="92927104"/>
      </c:barChart>
      <c:catAx>
        <c:axId val="92916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927104"/>
        <c:crosses val="autoZero"/>
        <c:auto val="1"/>
        <c:lblAlgn val="ctr"/>
        <c:lblOffset val="100"/>
        <c:noMultiLvlLbl val="0"/>
      </c:catAx>
      <c:valAx>
        <c:axId val="929271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91673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i="1"/>
              <a:t>Trachurus trachurus </a:t>
            </a:r>
          </a:p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Zone North  Cap Blanc</a:t>
            </a:r>
            <a:r>
              <a:rPr lang="en-US" sz="1000" baseline="0"/>
              <a:t> </a:t>
            </a:r>
            <a:r>
              <a:rPr lang="en-US" sz="1000"/>
              <a:t>2020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143285214348211"/>
          <c:y val="0.19557232429279672"/>
          <c:w val="0.81394028871391078"/>
          <c:h val="0.592026826160815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'Tab&amp;Fig4.5.1a, b, c'!$DQ$8:$DQ$50</c:f>
              <c:numCache>
                <c:formatCode>General</c:formatCode>
                <c:ptCount val="43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30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  <c:pt idx="32">
                  <c:v>39</c:v>
                </c:pt>
                <c:pt idx="33">
                  <c:v>40</c:v>
                </c:pt>
                <c:pt idx="34">
                  <c:v>41</c:v>
                </c:pt>
                <c:pt idx="35">
                  <c:v>42</c:v>
                </c:pt>
                <c:pt idx="36">
                  <c:v>43</c:v>
                </c:pt>
                <c:pt idx="37">
                  <c:v>44</c:v>
                </c:pt>
                <c:pt idx="38">
                  <c:v>45</c:v>
                </c:pt>
                <c:pt idx="39">
                  <c:v>46</c:v>
                </c:pt>
                <c:pt idx="40">
                  <c:v>47</c:v>
                </c:pt>
                <c:pt idx="41">
                  <c:v>48</c:v>
                </c:pt>
                <c:pt idx="42">
                  <c:v>49</c:v>
                </c:pt>
              </c:numCache>
            </c:numRef>
          </c:cat>
          <c:val>
            <c:numRef>
              <c:f>'Tab&amp;Fig4.5.1a, b, c'!$EB$8:$EB$50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2.1987797028964175E-2</c:v>
                </c:pt>
                <c:pt idx="7">
                  <c:v>0.14829631289698153</c:v>
                </c:pt>
                <c:pt idx="8">
                  <c:v>0.8926742297635244</c:v>
                </c:pt>
                <c:pt idx="9">
                  <c:v>2.9205200950632753</c:v>
                </c:pt>
                <c:pt idx="10">
                  <c:v>3.9491490874355599</c:v>
                </c:pt>
                <c:pt idx="11">
                  <c:v>3.283535925452171</c:v>
                </c:pt>
                <c:pt idx="12">
                  <c:v>2.2170891454336434</c:v>
                </c:pt>
                <c:pt idx="13">
                  <c:v>1.4756400119600181</c:v>
                </c:pt>
                <c:pt idx="14">
                  <c:v>2.9765914688753701</c:v>
                </c:pt>
                <c:pt idx="15">
                  <c:v>12.176474994085353</c:v>
                </c:pt>
                <c:pt idx="16">
                  <c:v>18.449585106458514</c:v>
                </c:pt>
                <c:pt idx="17">
                  <c:v>17.34048637886033</c:v>
                </c:pt>
                <c:pt idx="18">
                  <c:v>13.321346551594997</c:v>
                </c:pt>
                <c:pt idx="19">
                  <c:v>7.5389884712803346</c:v>
                </c:pt>
                <c:pt idx="20">
                  <c:v>3.7355434141622275</c:v>
                </c:pt>
                <c:pt idx="21">
                  <c:v>1.9046041746778299</c:v>
                </c:pt>
                <c:pt idx="22">
                  <c:v>1.0756023155848198</c:v>
                </c:pt>
                <c:pt idx="23">
                  <c:v>1.0950359815804445</c:v>
                </c:pt>
                <c:pt idx="24">
                  <c:v>1.1981246786801802</c:v>
                </c:pt>
                <c:pt idx="25">
                  <c:v>1.1495275647789889</c:v>
                </c:pt>
                <c:pt idx="26">
                  <c:v>0.9487088379440215</c:v>
                </c:pt>
                <c:pt idx="27">
                  <c:v>0.87110359236602275</c:v>
                </c:pt>
                <c:pt idx="28">
                  <c:v>0.58645399424029176</c:v>
                </c:pt>
                <c:pt idx="29">
                  <c:v>0.3194263720352713</c:v>
                </c:pt>
                <c:pt idx="30">
                  <c:v>0.14365482348205258</c:v>
                </c:pt>
                <c:pt idx="31">
                  <c:v>0.1574826878483149</c:v>
                </c:pt>
                <c:pt idx="32">
                  <c:v>5.3991156651213901E-2</c:v>
                </c:pt>
                <c:pt idx="33">
                  <c:v>2.849388602632081E-2</c:v>
                </c:pt>
                <c:pt idx="34">
                  <c:v>1.4978964578473244E-2</c:v>
                </c:pt>
                <c:pt idx="35">
                  <c:v>3.5773492547425839E-3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4.4176657633184847E-4</c:v>
                </c:pt>
                <c:pt idx="40">
                  <c:v>4.4176657633184847E-4</c:v>
                </c:pt>
                <c:pt idx="41">
                  <c:v>4.4109676705089701E-4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F-4236-82BB-51C575381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3912192"/>
        <c:axId val="83914112"/>
      </c:barChart>
      <c:catAx>
        <c:axId val="83912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4112"/>
        <c:crosses val="autoZero"/>
        <c:auto val="1"/>
        <c:lblAlgn val="ctr"/>
        <c:lblOffset val="100"/>
        <c:noMultiLvlLbl val="0"/>
      </c:catAx>
      <c:valAx>
        <c:axId val="83914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219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i="1"/>
              <a:t>Trachurus trachurus </a:t>
            </a:r>
          </a:p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Zone South Cap Blanc 2020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404527559055121"/>
          <c:y val="0.15733577316919894"/>
          <c:w val="0.8146776027996504"/>
          <c:h val="0.57385346197922438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'Tab&amp;Fig4.5.1a, b, c'!$DQ$8:$DQ$50</c:f>
              <c:numCache>
                <c:formatCode>General</c:formatCode>
                <c:ptCount val="43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30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  <c:pt idx="32">
                  <c:v>39</c:v>
                </c:pt>
                <c:pt idx="33">
                  <c:v>40</c:v>
                </c:pt>
                <c:pt idx="34">
                  <c:v>41</c:v>
                </c:pt>
                <c:pt idx="35">
                  <c:v>42</c:v>
                </c:pt>
                <c:pt idx="36">
                  <c:v>43</c:v>
                </c:pt>
                <c:pt idx="37">
                  <c:v>44</c:v>
                </c:pt>
                <c:pt idx="38">
                  <c:v>45</c:v>
                </c:pt>
                <c:pt idx="39">
                  <c:v>46</c:v>
                </c:pt>
                <c:pt idx="40">
                  <c:v>47</c:v>
                </c:pt>
                <c:pt idx="41">
                  <c:v>48</c:v>
                </c:pt>
                <c:pt idx="42">
                  <c:v>49</c:v>
                </c:pt>
              </c:numCache>
            </c:numRef>
          </c:cat>
          <c:val>
            <c:numRef>
              <c:f>'Tab&amp;Fig4.5.1a, b, c'!$EC$8:$EC$50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0.47552251710668003</c:v>
                </c:pt>
                <c:pt idx="12">
                  <c:v>0.82535135173392749</c:v>
                </c:pt>
                <c:pt idx="13">
                  <c:v>1.0771643709785705</c:v>
                </c:pt>
                <c:pt idx="14">
                  <c:v>1.0801455937914435</c:v>
                </c:pt>
                <c:pt idx="15">
                  <c:v>1.3666893339524797</c:v>
                </c:pt>
                <c:pt idx="16">
                  <c:v>10.18490518732524</c:v>
                </c:pt>
                <c:pt idx="17">
                  <c:v>17.340702016941449</c:v>
                </c:pt>
                <c:pt idx="18">
                  <c:v>22.121937013634881</c:v>
                </c:pt>
                <c:pt idx="19">
                  <c:v>19.211950807740884</c:v>
                </c:pt>
                <c:pt idx="20">
                  <c:v>10.768754477297223</c:v>
                </c:pt>
                <c:pt idx="21">
                  <c:v>4.4701535578152898</c:v>
                </c:pt>
                <c:pt idx="22">
                  <c:v>1.8037083292096425</c:v>
                </c:pt>
                <c:pt idx="23">
                  <c:v>1.5978815429762805</c:v>
                </c:pt>
                <c:pt idx="24">
                  <c:v>1.4587518274540412</c:v>
                </c:pt>
                <c:pt idx="25">
                  <c:v>1.2556105304318035</c:v>
                </c:pt>
                <c:pt idx="26">
                  <c:v>1.0747871958110209</c:v>
                </c:pt>
                <c:pt idx="27">
                  <c:v>0.9755941049954272</c:v>
                </c:pt>
                <c:pt idx="28">
                  <c:v>0.7452303424536223</c:v>
                </c:pt>
                <c:pt idx="29">
                  <c:v>0.69723693405807208</c:v>
                </c:pt>
                <c:pt idx="30">
                  <c:v>0.50106092858696494</c:v>
                </c:pt>
                <c:pt idx="31">
                  <c:v>0.36395754602244423</c:v>
                </c:pt>
                <c:pt idx="32">
                  <c:v>0.31240013441848641</c:v>
                </c:pt>
                <c:pt idx="33">
                  <c:v>0.1538845536622252</c:v>
                </c:pt>
                <c:pt idx="34">
                  <c:v>8.1212724550217788E-2</c:v>
                </c:pt>
                <c:pt idx="35">
                  <c:v>4.269275602616325E-2</c:v>
                </c:pt>
                <c:pt idx="36">
                  <c:v>1.019609186956693E-2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1.2591145779831596E-3</c:v>
                </c:pt>
                <c:pt idx="41">
                  <c:v>1.2591145779831596E-3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5-4EC8-8379-61CFAA558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3003776"/>
        <c:axId val="93005696"/>
      </c:barChart>
      <c:catAx>
        <c:axId val="9300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005696"/>
        <c:crosses val="autoZero"/>
        <c:auto val="1"/>
        <c:lblAlgn val="ctr"/>
        <c:lblOffset val="100"/>
        <c:noMultiLvlLbl val="0"/>
      </c:catAx>
      <c:valAx>
        <c:axId val="930056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00377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i="1"/>
              <a:t>Trachurus trachurus </a:t>
            </a:r>
          </a:p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Zone North  Cap Blanc</a:t>
            </a:r>
            <a:r>
              <a:rPr lang="en-US" sz="1000" baseline="0"/>
              <a:t> </a:t>
            </a:r>
            <a:r>
              <a:rPr lang="en-US" sz="1000"/>
              <a:t>2021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143285214348211"/>
          <c:y val="0.19557232429279672"/>
          <c:w val="0.81394028871391078"/>
          <c:h val="0.5920268261608157"/>
        </c:manualLayout>
      </c:layout>
      <c:barChart>
        <c:barDir val="col"/>
        <c:grouping val="clustered"/>
        <c:varyColors val="0"/>
        <c:ser>
          <c:idx val="1"/>
          <c:order val="0"/>
          <c:invertIfNegative val="0"/>
          <c:cat>
            <c:numRef>
              <c:f>'Tab&amp;Fig4.5.1a, b, c'!$EM$8:$EM$50</c:f>
              <c:numCache>
                <c:formatCode>General</c:formatCode>
                <c:ptCount val="43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30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  <c:pt idx="32">
                  <c:v>39</c:v>
                </c:pt>
                <c:pt idx="33">
                  <c:v>40</c:v>
                </c:pt>
                <c:pt idx="34">
                  <c:v>41</c:v>
                </c:pt>
                <c:pt idx="35">
                  <c:v>42</c:v>
                </c:pt>
                <c:pt idx="36">
                  <c:v>43</c:v>
                </c:pt>
                <c:pt idx="37">
                  <c:v>44</c:v>
                </c:pt>
                <c:pt idx="38">
                  <c:v>45</c:v>
                </c:pt>
                <c:pt idx="39">
                  <c:v>46</c:v>
                </c:pt>
                <c:pt idx="40">
                  <c:v>47</c:v>
                </c:pt>
                <c:pt idx="41">
                  <c:v>48</c:v>
                </c:pt>
                <c:pt idx="42">
                  <c:v>49</c:v>
                </c:pt>
              </c:numCache>
            </c:numRef>
          </c:cat>
          <c:val>
            <c:numRef>
              <c:f>'Tab&amp;Fig4.5.1a, b, c'!$EZ$8:$EZ$49</c:f>
              <c:numCache>
                <c:formatCode>General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0.47441588848541433</c:v>
                </c:pt>
                <c:pt idx="5">
                  <c:v>0</c:v>
                </c:pt>
                <c:pt idx="6">
                  <c:v>2.948103054961825</c:v>
                </c:pt>
                <c:pt idx="7">
                  <c:v>14.63881521305121</c:v>
                </c:pt>
                <c:pt idx="8">
                  <c:v>16.500994191335931</c:v>
                </c:pt>
                <c:pt idx="9">
                  <c:v>13.95041736515005</c:v>
                </c:pt>
                <c:pt idx="10">
                  <c:v>2.6063164404297328</c:v>
                </c:pt>
                <c:pt idx="11">
                  <c:v>0.7939782618672887</c:v>
                </c:pt>
                <c:pt idx="12">
                  <c:v>1.3950600344155399</c:v>
                </c:pt>
                <c:pt idx="13">
                  <c:v>2.8066685879208366</c:v>
                </c:pt>
                <c:pt idx="14">
                  <c:v>2.103849529212348</c:v>
                </c:pt>
                <c:pt idx="15">
                  <c:v>3.4796631543699892</c:v>
                </c:pt>
                <c:pt idx="16">
                  <c:v>8.625477048836002</c:v>
                </c:pt>
                <c:pt idx="17">
                  <c:v>9.2919616319030194</c:v>
                </c:pt>
                <c:pt idx="18">
                  <c:v>5.8991500069921941</c:v>
                </c:pt>
                <c:pt idx="19">
                  <c:v>5.2488949032313208</c:v>
                </c:pt>
                <c:pt idx="20">
                  <c:v>3.8737157218290998</c:v>
                </c:pt>
                <c:pt idx="21">
                  <c:v>2.0664438181475577</c:v>
                </c:pt>
                <c:pt idx="22">
                  <c:v>1.235818217353992</c:v>
                </c:pt>
                <c:pt idx="23">
                  <c:v>0.52566969453624546</c:v>
                </c:pt>
                <c:pt idx="24">
                  <c:v>0.63493510673851761</c:v>
                </c:pt>
                <c:pt idx="25">
                  <c:v>0.190551450837219</c:v>
                </c:pt>
                <c:pt idx="26">
                  <c:v>0.17555187032504105</c:v>
                </c:pt>
                <c:pt idx="27">
                  <c:v>0.15348733042527549</c:v>
                </c:pt>
                <c:pt idx="28">
                  <c:v>0.11561357472499316</c:v>
                </c:pt>
                <c:pt idx="29">
                  <c:v>0.13631704486258492</c:v>
                </c:pt>
                <c:pt idx="30">
                  <c:v>6.6724569631708405E-2</c:v>
                </c:pt>
                <c:pt idx="31">
                  <c:v>3.3904113316563858E-2</c:v>
                </c:pt>
                <c:pt idx="32">
                  <c:v>1.3561532327980975E-2</c:v>
                </c:pt>
                <c:pt idx="33">
                  <c:v>1.0903804207711736E-2</c:v>
                </c:pt>
                <c:pt idx="34">
                  <c:v>1.7599538891663849E-3</c:v>
                </c:pt>
                <c:pt idx="35">
                  <c:v>1.2768846836327544E-3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BB-4D8B-A62E-A67DE08D2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3912192"/>
        <c:axId val="83914112"/>
      </c:barChart>
      <c:catAx>
        <c:axId val="83912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4112"/>
        <c:crosses val="autoZero"/>
        <c:auto val="1"/>
        <c:lblAlgn val="ctr"/>
        <c:lblOffset val="100"/>
        <c:noMultiLvlLbl val="0"/>
      </c:catAx>
      <c:valAx>
        <c:axId val="83914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219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i="1"/>
              <a:t>Trachurus trachurus </a:t>
            </a:r>
          </a:p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Zone A+B  2021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087729658792666"/>
          <c:y val="0.21996536891221943"/>
          <c:w val="0.8146776027996504"/>
          <c:h val="0.57977216389617969"/>
        </c:manualLayout>
      </c:layout>
      <c:barChart>
        <c:barDir val="col"/>
        <c:grouping val="clustered"/>
        <c:varyColors val="0"/>
        <c:ser>
          <c:idx val="1"/>
          <c:order val="0"/>
          <c:invertIfNegative val="0"/>
          <c:cat>
            <c:numRef>
              <c:f>'Tab&amp;Fig4.5.1a, b, c'!$EM$8:$EM$50</c:f>
              <c:numCache>
                <c:formatCode>General</c:formatCode>
                <c:ptCount val="43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30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  <c:pt idx="32">
                  <c:v>39</c:v>
                </c:pt>
                <c:pt idx="33">
                  <c:v>40</c:v>
                </c:pt>
                <c:pt idx="34">
                  <c:v>41</c:v>
                </c:pt>
                <c:pt idx="35">
                  <c:v>42</c:v>
                </c:pt>
                <c:pt idx="36">
                  <c:v>43</c:v>
                </c:pt>
                <c:pt idx="37">
                  <c:v>44</c:v>
                </c:pt>
                <c:pt idx="38">
                  <c:v>45</c:v>
                </c:pt>
                <c:pt idx="39">
                  <c:v>46</c:v>
                </c:pt>
                <c:pt idx="40">
                  <c:v>47</c:v>
                </c:pt>
                <c:pt idx="41">
                  <c:v>48</c:v>
                </c:pt>
                <c:pt idx="42">
                  <c:v>49</c:v>
                </c:pt>
              </c:numCache>
            </c:numRef>
          </c:cat>
          <c:val>
            <c:numRef>
              <c:f>'Tab&amp;Fig4.5.1a, b, c'!$EY$8:$EY$49</c:f>
              <c:numCache>
                <c:formatCode>General</c:formatCode>
                <c:ptCount val="42"/>
                <c:pt idx="0">
                  <c:v>5.1020795118629218E-2</c:v>
                </c:pt>
                <c:pt idx="1">
                  <c:v>0.5170060836091398</c:v>
                </c:pt>
                <c:pt idx="2">
                  <c:v>1.2214936771245095</c:v>
                </c:pt>
                <c:pt idx="3">
                  <c:v>2.1815728323007337</c:v>
                </c:pt>
                <c:pt idx="4">
                  <c:v>4.7274305552408604</c:v>
                </c:pt>
                <c:pt idx="5">
                  <c:v>15.371242942875178</c:v>
                </c:pt>
                <c:pt idx="6">
                  <c:v>6.4064055920333205</c:v>
                </c:pt>
                <c:pt idx="7">
                  <c:v>4.5140532978266421</c:v>
                </c:pt>
                <c:pt idx="8">
                  <c:v>5.7674590673803943</c:v>
                </c:pt>
                <c:pt idx="9">
                  <c:v>5.7981961329787222</c:v>
                </c:pt>
                <c:pt idx="10">
                  <c:v>8.6202896124514279</c:v>
                </c:pt>
                <c:pt idx="11">
                  <c:v>9.4624447689754554</c:v>
                </c:pt>
                <c:pt idx="12">
                  <c:v>11.589767375763024</c:v>
                </c:pt>
                <c:pt idx="13">
                  <c:v>7.8311177923481727</c:v>
                </c:pt>
                <c:pt idx="14">
                  <c:v>3.6418155468186457</c:v>
                </c:pt>
                <c:pt idx="15">
                  <c:v>2.3845512595378469</c:v>
                </c:pt>
                <c:pt idx="16">
                  <c:v>1.9165411216895201</c:v>
                </c:pt>
                <c:pt idx="17">
                  <c:v>2.3746083880371809</c:v>
                </c:pt>
                <c:pt idx="18">
                  <c:v>1.2067271234331998</c:v>
                </c:pt>
                <c:pt idx="19">
                  <c:v>0.6654964024757104</c:v>
                </c:pt>
                <c:pt idx="20">
                  <c:v>0.75367780895270364</c:v>
                </c:pt>
                <c:pt idx="21">
                  <c:v>1.256523594538498</c:v>
                </c:pt>
                <c:pt idx="22">
                  <c:v>0.44095964112572</c:v>
                </c:pt>
                <c:pt idx="23">
                  <c:v>0.58327524875643388</c:v>
                </c:pt>
                <c:pt idx="24">
                  <c:v>0.26926543822251081</c:v>
                </c:pt>
                <c:pt idx="25">
                  <c:v>1.7825793124740221E-2</c:v>
                </c:pt>
                <c:pt idx="26">
                  <c:v>0.24928803549763351</c:v>
                </c:pt>
                <c:pt idx="27">
                  <c:v>1.8518589823186694E-2</c:v>
                </c:pt>
                <c:pt idx="28">
                  <c:v>0.15592828476117407</c:v>
                </c:pt>
                <c:pt idx="29">
                  <c:v>5.4971971790640341E-3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75-4F51-A0EA-8337FFE1D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2916736"/>
        <c:axId val="92927104"/>
      </c:barChart>
      <c:catAx>
        <c:axId val="92916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927104"/>
        <c:crosses val="autoZero"/>
        <c:auto val="1"/>
        <c:lblAlgn val="ctr"/>
        <c:lblOffset val="100"/>
        <c:noMultiLvlLbl val="0"/>
      </c:catAx>
      <c:valAx>
        <c:axId val="929271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91673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i="1"/>
              <a:t>Trachurus trachurus </a:t>
            </a:r>
          </a:p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Zone South Cap Blanc 2021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404527559055121"/>
          <c:y val="0.15733577316919894"/>
          <c:w val="0.8146776027996504"/>
          <c:h val="0.57385346197922438"/>
        </c:manualLayout>
      </c:layout>
      <c:barChart>
        <c:barDir val="col"/>
        <c:grouping val="clustered"/>
        <c:varyColors val="0"/>
        <c:ser>
          <c:idx val="1"/>
          <c:order val="0"/>
          <c:invertIfNegative val="0"/>
          <c:cat>
            <c:numRef>
              <c:f>'Tab&amp;Fig4.5.1a, b, c'!$EM$8:$EM$50</c:f>
              <c:numCache>
                <c:formatCode>General</c:formatCode>
                <c:ptCount val="43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30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  <c:pt idx="32">
                  <c:v>39</c:v>
                </c:pt>
                <c:pt idx="33">
                  <c:v>40</c:v>
                </c:pt>
                <c:pt idx="34">
                  <c:v>41</c:v>
                </c:pt>
                <c:pt idx="35">
                  <c:v>42</c:v>
                </c:pt>
                <c:pt idx="36">
                  <c:v>43</c:v>
                </c:pt>
                <c:pt idx="37">
                  <c:v>44</c:v>
                </c:pt>
                <c:pt idx="38">
                  <c:v>45</c:v>
                </c:pt>
                <c:pt idx="39">
                  <c:v>46</c:v>
                </c:pt>
                <c:pt idx="40">
                  <c:v>47</c:v>
                </c:pt>
                <c:pt idx="41">
                  <c:v>48</c:v>
                </c:pt>
                <c:pt idx="42">
                  <c:v>49</c:v>
                </c:pt>
              </c:numCache>
            </c:numRef>
          </c:cat>
          <c:val>
            <c:numRef>
              <c:f>'Tab&amp;Fig4.5.1a, b, c'!$FA$8:$FA$49</c:f>
              <c:numCache>
                <c:formatCode>General</c:formatCode>
                <c:ptCount val="42"/>
                <c:pt idx="0">
                  <c:v>0</c:v>
                </c:pt>
                <c:pt idx="1">
                  <c:v>2.1311058807174238E-2</c:v>
                </c:pt>
                <c:pt idx="2">
                  <c:v>2.2774723876226251E-2</c:v>
                </c:pt>
                <c:pt idx="3">
                  <c:v>8.7655834261024149E-2</c:v>
                </c:pt>
                <c:pt idx="4">
                  <c:v>0.11754714564390097</c:v>
                </c:pt>
                <c:pt idx="5">
                  <c:v>0.17857124695016444</c:v>
                </c:pt>
                <c:pt idx="6">
                  <c:v>0.22453930255962604</c:v>
                </c:pt>
                <c:pt idx="7">
                  <c:v>0.22437540387626667</c:v>
                </c:pt>
                <c:pt idx="8">
                  <c:v>0.19179952926456817</c:v>
                </c:pt>
                <c:pt idx="9">
                  <c:v>0.23442164687891665</c:v>
                </c:pt>
                <c:pt idx="10">
                  <c:v>0.4049101173363106</c:v>
                </c:pt>
                <c:pt idx="11">
                  <c:v>0.6606428230224014</c:v>
                </c:pt>
                <c:pt idx="12">
                  <c:v>1.0868639991658862</c:v>
                </c:pt>
                <c:pt idx="13">
                  <c:v>1.2370139466196564</c:v>
                </c:pt>
                <c:pt idx="14">
                  <c:v>3.1387103874923294</c:v>
                </c:pt>
                <c:pt idx="15">
                  <c:v>6.9597484062827437</c:v>
                </c:pt>
                <c:pt idx="16">
                  <c:v>9.7391850609868804</c:v>
                </c:pt>
                <c:pt idx="17">
                  <c:v>9.7232986733927405</c:v>
                </c:pt>
                <c:pt idx="18">
                  <c:v>10.958470519281125</c:v>
                </c:pt>
                <c:pt idx="19">
                  <c:v>14.843879643701733</c:v>
                </c:pt>
                <c:pt idx="20">
                  <c:v>13.071731980810664</c:v>
                </c:pt>
                <c:pt idx="21">
                  <c:v>7.5352384833482162</c:v>
                </c:pt>
                <c:pt idx="22">
                  <c:v>5.1067136395160126</c:v>
                </c:pt>
                <c:pt idx="23">
                  <c:v>3.1020556149359435</c:v>
                </c:pt>
                <c:pt idx="24">
                  <c:v>2.9393944429057801</c:v>
                </c:pt>
                <c:pt idx="25">
                  <c:v>2.3244468562957663</c:v>
                </c:pt>
                <c:pt idx="26">
                  <c:v>1.5329342910236421</c:v>
                </c:pt>
                <c:pt idx="27">
                  <c:v>1.1228708806593459</c:v>
                </c:pt>
                <c:pt idx="28">
                  <c:v>0.92915055056712537</c:v>
                </c:pt>
                <c:pt idx="29">
                  <c:v>0.80847575885059586</c:v>
                </c:pt>
                <c:pt idx="30">
                  <c:v>0.48064287820428514</c:v>
                </c:pt>
                <c:pt idx="31">
                  <c:v>0.34834209796662235</c:v>
                </c:pt>
                <c:pt idx="32">
                  <c:v>0.17432571052702672</c:v>
                </c:pt>
                <c:pt idx="33">
                  <c:v>0.15331420354545885</c:v>
                </c:pt>
                <c:pt idx="34">
                  <c:v>0.18735937220526769</c:v>
                </c:pt>
                <c:pt idx="35">
                  <c:v>4.755794836714991E-2</c:v>
                </c:pt>
                <c:pt idx="36">
                  <c:v>3.4171111516369271E-2</c:v>
                </c:pt>
                <c:pt idx="37">
                  <c:v>2.1967706232050754E-2</c:v>
                </c:pt>
                <c:pt idx="38">
                  <c:v>2.2218479170701216E-2</c:v>
                </c:pt>
                <c:pt idx="39">
                  <c:v>1.3685239522820559E-3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4C-46CF-A4D1-3DC7CDE2F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3003776"/>
        <c:axId val="93005696"/>
      </c:barChart>
      <c:catAx>
        <c:axId val="9300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005696"/>
        <c:crosses val="autoZero"/>
        <c:auto val="1"/>
        <c:lblAlgn val="ctr"/>
        <c:lblOffset val="100"/>
        <c:noMultiLvlLbl val="0"/>
      </c:catAx>
      <c:valAx>
        <c:axId val="930056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00377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i="1"/>
              <a:t>Trachurus trachurus </a:t>
            </a:r>
          </a:p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Zone North  Cap Blanc</a:t>
            </a:r>
            <a:r>
              <a:rPr lang="en-US" sz="1000" baseline="0"/>
              <a:t> </a:t>
            </a:r>
            <a:r>
              <a:rPr lang="en-US" sz="1000"/>
              <a:t>2022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143285214348211"/>
          <c:y val="0.19557232429279672"/>
          <c:w val="0.81394028871391078"/>
          <c:h val="0.592026826160815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'Tab&amp;Fig4.5.1a, b, c'!$FL$11:$FL$37</c:f>
              <c:numCache>
                <c:formatCode>General</c:formatCode>
                <c:ptCount val="27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</c:numCache>
            </c:numRef>
          </c:cat>
          <c:val>
            <c:numRef>
              <c:f>'Tab&amp;Fig4.5.1a, b, c'!$FY$11:$FY$37</c:f>
              <c:numCache>
                <c:formatCode>General</c:formatCode>
                <c:ptCount val="27"/>
                <c:pt idx="0">
                  <c:v>0</c:v>
                </c:pt>
                <c:pt idx="1">
                  <c:v>1.9134972920250321E-3</c:v>
                </c:pt>
                <c:pt idx="2">
                  <c:v>0</c:v>
                </c:pt>
                <c:pt idx="3">
                  <c:v>1.6617433862393456E-2</c:v>
                </c:pt>
                <c:pt idx="4">
                  <c:v>0.11420579549805472</c:v>
                </c:pt>
                <c:pt idx="5">
                  <c:v>0.87769703126039711</c:v>
                </c:pt>
                <c:pt idx="6">
                  <c:v>3.3155761503689956</c:v>
                </c:pt>
                <c:pt idx="7">
                  <c:v>8.3404717828680166</c:v>
                </c:pt>
                <c:pt idx="8">
                  <c:v>13.535261810688857</c:v>
                </c:pt>
                <c:pt idx="9">
                  <c:v>16.452100521884208</c:v>
                </c:pt>
                <c:pt idx="10">
                  <c:v>14.90722923153443</c:v>
                </c:pt>
                <c:pt idx="11">
                  <c:v>10.616949491643778</c:v>
                </c:pt>
                <c:pt idx="12">
                  <c:v>8.1567721814668417</c:v>
                </c:pt>
                <c:pt idx="13">
                  <c:v>5.2046683790498376</c:v>
                </c:pt>
                <c:pt idx="14">
                  <c:v>4.5618717602793888</c:v>
                </c:pt>
                <c:pt idx="15">
                  <c:v>3.0231535062410715</c:v>
                </c:pt>
                <c:pt idx="16">
                  <c:v>2.8739322464031583</c:v>
                </c:pt>
                <c:pt idx="17">
                  <c:v>2.8093782133630327</c:v>
                </c:pt>
                <c:pt idx="18">
                  <c:v>2.6038740940076708</c:v>
                </c:pt>
                <c:pt idx="19">
                  <c:v>1.4884129894827305</c:v>
                </c:pt>
                <c:pt idx="20">
                  <c:v>0.71803595770413853</c:v>
                </c:pt>
                <c:pt idx="21">
                  <c:v>0.30419222173273641</c:v>
                </c:pt>
                <c:pt idx="22">
                  <c:v>5.5085746019903264E-2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2.2599957348331163E-2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BA-4241-B40F-CE5CF697C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3912192"/>
        <c:axId val="83914112"/>
      </c:barChart>
      <c:catAx>
        <c:axId val="83912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4112"/>
        <c:crosses val="autoZero"/>
        <c:auto val="1"/>
        <c:lblAlgn val="ctr"/>
        <c:lblOffset val="100"/>
        <c:noMultiLvlLbl val="0"/>
      </c:catAx>
      <c:valAx>
        <c:axId val="83914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219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i="1"/>
              <a:t>Trachurus trachurus </a:t>
            </a:r>
          </a:p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Zone South Cap Blanc 2022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8703099198692884E-2"/>
          <c:y val="0.15293538802699166"/>
          <c:w val="0.8146776027996504"/>
          <c:h val="0.57385346197922438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'Tab&amp;Fig4.5.1a, b, c'!$FL$11:$FL$45</c:f>
              <c:numCache>
                <c:formatCode>General</c:formatCode>
                <c:ptCount val="3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</c:numCache>
            </c:numRef>
          </c:cat>
          <c:val>
            <c:numRef>
              <c:f>'Tab&amp;Fig4.5.1a, b, c'!$FZ$18:$FZ$45</c:f>
              <c:numCache>
                <c:formatCode>General</c:formatCode>
                <c:ptCount val="28"/>
                <c:pt idx="0">
                  <c:v>7.158951362212309E-3</c:v>
                </c:pt>
                <c:pt idx="1">
                  <c:v>3.6500184417440663E-2</c:v>
                </c:pt>
                <c:pt idx="2">
                  <c:v>7.8735625853006461E-2</c:v>
                </c:pt>
                <c:pt idx="3">
                  <c:v>0.11209235944111295</c:v>
                </c:pt>
                <c:pt idx="4">
                  <c:v>5.7025200845487616E-2</c:v>
                </c:pt>
                <c:pt idx="5">
                  <c:v>0.18719390212086376</c:v>
                </c:pt>
                <c:pt idx="6">
                  <c:v>1.064012355096051</c:v>
                </c:pt>
                <c:pt idx="7">
                  <c:v>4.3951936262747324</c:v>
                </c:pt>
                <c:pt idx="8">
                  <c:v>8.5774593241107038</c:v>
                </c:pt>
                <c:pt idx="9">
                  <c:v>11.842543111457738</c:v>
                </c:pt>
                <c:pt idx="10">
                  <c:v>13.238827061214966</c:v>
                </c:pt>
                <c:pt idx="11">
                  <c:v>12.960831453707048</c:v>
                </c:pt>
                <c:pt idx="12">
                  <c:v>10.809694203218081</c:v>
                </c:pt>
                <c:pt idx="13">
                  <c:v>9.0670202901080543</c:v>
                </c:pt>
                <c:pt idx="14">
                  <c:v>7.1355558497990499</c:v>
                </c:pt>
                <c:pt idx="15">
                  <c:v>5.7893661875561513</c:v>
                </c:pt>
                <c:pt idx="16">
                  <c:v>4.5956172051693365</c:v>
                </c:pt>
                <c:pt idx="17">
                  <c:v>3.4695167486297911</c:v>
                </c:pt>
                <c:pt idx="18">
                  <c:v>2.2806579014813306</c:v>
                </c:pt>
                <c:pt idx="19">
                  <c:v>1.454671497036595</c:v>
                </c:pt>
                <c:pt idx="20">
                  <c:v>1.0296743007241655</c:v>
                </c:pt>
                <c:pt idx="21">
                  <c:v>0.73222476254712854</c:v>
                </c:pt>
                <c:pt idx="22">
                  <c:v>0.53751265046083185</c:v>
                </c:pt>
                <c:pt idx="23">
                  <c:v>0.27080160177448975</c:v>
                </c:pt>
                <c:pt idx="24">
                  <c:v>0.12827403868714124</c:v>
                </c:pt>
                <c:pt idx="25">
                  <c:v>0.10001789125777705</c:v>
                </c:pt>
                <c:pt idx="26">
                  <c:v>3.6320259602142586E-2</c:v>
                </c:pt>
                <c:pt idx="27">
                  <c:v>5.5014560465665163E-3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55-4908-8515-D951590EC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3003776"/>
        <c:axId val="93005696"/>
      </c:barChart>
      <c:catAx>
        <c:axId val="9300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005696"/>
        <c:crosses val="autoZero"/>
        <c:auto val="1"/>
        <c:lblAlgn val="ctr"/>
        <c:lblOffset val="100"/>
        <c:noMultiLvlLbl val="0"/>
      </c:catAx>
      <c:valAx>
        <c:axId val="930056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00377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i="1"/>
              <a:t>Trachurus trachurus </a:t>
            </a:r>
          </a:p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Zone A+B  2023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087729658792666"/>
          <c:y val="0.21996536891221943"/>
          <c:w val="0.8146776027996504"/>
          <c:h val="0.57977216389617969"/>
        </c:manualLayout>
      </c:layout>
      <c:barChart>
        <c:barDir val="col"/>
        <c:grouping val="clustered"/>
        <c:varyColors val="0"/>
        <c:ser>
          <c:idx val="1"/>
          <c:order val="0"/>
          <c:invertIfNegative val="0"/>
          <c:cat>
            <c:numRef>
              <c:f>'Tab&amp;Fig4.5.1a, b, c'!$GL$12:$GL$37</c:f>
              <c:numCache>
                <c:formatCode>General</c:formatCode>
                <c:ptCount val="2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  <c:pt idx="24">
                  <c:v>35</c:v>
                </c:pt>
                <c:pt idx="25">
                  <c:v>36</c:v>
                </c:pt>
              </c:numCache>
            </c:numRef>
          </c:cat>
          <c:val>
            <c:numRef>
              <c:f>'Tab&amp;Fig4.5.1a, b, c'!$GW$12:$GW$35</c:f>
              <c:numCache>
                <c:formatCode>General</c:formatCode>
                <c:ptCount val="24"/>
                <c:pt idx="0">
                  <c:v>6.1325803112523822E-2</c:v>
                </c:pt>
                <c:pt idx="1">
                  <c:v>0.68987448946853969</c:v>
                </c:pt>
                <c:pt idx="2">
                  <c:v>0.66205244524910911</c:v>
                </c:pt>
                <c:pt idx="3">
                  <c:v>4.6420197805535581</c:v>
                </c:pt>
                <c:pt idx="4">
                  <c:v>10.743908074901457</c:v>
                </c:pt>
                <c:pt idx="5">
                  <c:v>5.2456517284871236</c:v>
                </c:pt>
                <c:pt idx="6">
                  <c:v>1.7346026617023569</c:v>
                </c:pt>
                <c:pt idx="7">
                  <c:v>0.8660356146393563</c:v>
                </c:pt>
                <c:pt idx="8">
                  <c:v>1.3446677666356359</c:v>
                </c:pt>
                <c:pt idx="9">
                  <c:v>2.7655558419984545</c:v>
                </c:pt>
                <c:pt idx="10">
                  <c:v>6.7389455665170006</c:v>
                </c:pt>
                <c:pt idx="11">
                  <c:v>5.5388439630566815</c:v>
                </c:pt>
                <c:pt idx="12">
                  <c:v>6.7717070686544742</c:v>
                </c:pt>
                <c:pt idx="13">
                  <c:v>4.9087991933936763</c:v>
                </c:pt>
                <c:pt idx="14">
                  <c:v>4.4078210844276375</c:v>
                </c:pt>
                <c:pt idx="15">
                  <c:v>4.8320664976300574</c:v>
                </c:pt>
                <c:pt idx="16">
                  <c:v>8.4797195003333794</c:v>
                </c:pt>
                <c:pt idx="17">
                  <c:v>6.4624247082197215</c:v>
                </c:pt>
                <c:pt idx="18">
                  <c:v>8.0472972745545039</c:v>
                </c:pt>
                <c:pt idx="19">
                  <c:v>9.1144176571347622</c:v>
                </c:pt>
                <c:pt idx="20">
                  <c:v>2.809409546652712</c:v>
                </c:pt>
                <c:pt idx="21">
                  <c:v>1.2290640793495247</c:v>
                </c:pt>
                <c:pt idx="22">
                  <c:v>1.9037896533277729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54-48E9-A435-F11726A04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2916736"/>
        <c:axId val="92927104"/>
      </c:barChart>
      <c:catAx>
        <c:axId val="92916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927104"/>
        <c:crosses val="autoZero"/>
        <c:auto val="1"/>
        <c:lblAlgn val="ctr"/>
        <c:lblOffset val="100"/>
        <c:noMultiLvlLbl val="0"/>
      </c:catAx>
      <c:valAx>
        <c:axId val="929271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91673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i="1"/>
              <a:t>Trachurus trachurus </a:t>
            </a:r>
          </a:p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Zone North  Cap Blanc</a:t>
            </a:r>
            <a:r>
              <a:rPr lang="en-US" sz="1000" baseline="0"/>
              <a:t> </a:t>
            </a:r>
            <a:r>
              <a:rPr lang="en-US" sz="1000"/>
              <a:t>2023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143285214348211"/>
          <c:y val="0.19557232429279672"/>
          <c:w val="0.81394028871391078"/>
          <c:h val="0.5920268261608157"/>
        </c:manualLayout>
      </c:layout>
      <c:barChart>
        <c:barDir val="col"/>
        <c:grouping val="clustered"/>
        <c:varyColors val="0"/>
        <c:ser>
          <c:idx val="1"/>
          <c:order val="0"/>
          <c:invertIfNegative val="0"/>
          <c:cat>
            <c:numRef>
              <c:f>'Tab&amp;Fig4.5.1a, b, c'!$GL$12:$GL$39</c:f>
              <c:numCache>
                <c:formatCode>General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  <c:pt idx="24">
                  <c:v>35</c:v>
                </c:pt>
                <c:pt idx="25">
                  <c:v>36</c:v>
                </c:pt>
                <c:pt idx="26">
                  <c:v>37</c:v>
                </c:pt>
                <c:pt idx="27">
                  <c:v>38</c:v>
                </c:pt>
              </c:numCache>
            </c:numRef>
          </c:cat>
          <c:val>
            <c:numRef>
              <c:f>'Tab&amp;Fig4.5.1a, b, c'!$GX$12:$GX$41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1.5618889529180731E-2</c:v>
                </c:pt>
                <c:pt idx="3">
                  <c:v>0.10734315046760183</c:v>
                </c:pt>
                <c:pt idx="4">
                  <c:v>0.98796691557213778</c:v>
                </c:pt>
                <c:pt idx="5">
                  <c:v>3.4346965793622979</c:v>
                </c:pt>
                <c:pt idx="6">
                  <c:v>8.6673892314875527</c:v>
                </c:pt>
                <c:pt idx="7">
                  <c:v>14.841053710507465</c:v>
                </c:pt>
                <c:pt idx="8">
                  <c:v>19.094586586877668</c:v>
                </c:pt>
                <c:pt idx="9">
                  <c:v>21.705858237167377</c:v>
                </c:pt>
                <c:pt idx="10">
                  <c:v>24.724599335592281</c:v>
                </c:pt>
                <c:pt idx="11">
                  <c:v>21.446770326048771</c:v>
                </c:pt>
                <c:pt idx="12">
                  <c:v>17.468539555065167</c:v>
                </c:pt>
                <c:pt idx="13">
                  <c:v>15.259214427739556</c:v>
                </c:pt>
                <c:pt idx="14">
                  <c:v>8.9904198092391621</c:v>
                </c:pt>
                <c:pt idx="15">
                  <c:v>5.1147673420394666</c:v>
                </c:pt>
                <c:pt idx="16">
                  <c:v>2.6823555265971253</c:v>
                </c:pt>
                <c:pt idx="17">
                  <c:v>1.3707185235680692</c:v>
                </c:pt>
                <c:pt idx="18">
                  <c:v>0.89907424961486804</c:v>
                </c:pt>
                <c:pt idx="19">
                  <c:v>0.68816001727547393</c:v>
                </c:pt>
                <c:pt idx="20">
                  <c:v>0.59166435495063041</c:v>
                </c:pt>
                <c:pt idx="21">
                  <c:v>0.38373231849489042</c:v>
                </c:pt>
                <c:pt idx="22">
                  <c:v>0.21702074548195358</c:v>
                </c:pt>
                <c:pt idx="23">
                  <c:v>0.12602798844024468</c:v>
                </c:pt>
                <c:pt idx="24">
                  <c:v>2.8448649999888196E-2</c:v>
                </c:pt>
                <c:pt idx="25">
                  <c:v>4.2434149262304795E-3</c:v>
                </c:pt>
                <c:pt idx="26">
                  <c:v>4.2434149262304795E-3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E3-4776-85A2-640A64111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3912192"/>
        <c:axId val="83914112"/>
      </c:barChart>
      <c:catAx>
        <c:axId val="83912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4112"/>
        <c:crosses val="autoZero"/>
        <c:auto val="1"/>
        <c:lblAlgn val="ctr"/>
        <c:lblOffset val="100"/>
        <c:noMultiLvlLbl val="0"/>
      </c:catAx>
      <c:valAx>
        <c:axId val="83914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219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i="1"/>
              <a:t>Trachurus trachurus </a:t>
            </a:r>
          </a:p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Zone South Cap Blanc 2023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7322332767853996E-2"/>
          <c:y val="0.21391425686301879"/>
          <c:w val="0.8146776027996504"/>
          <c:h val="0.57385346197922438"/>
        </c:manualLayout>
      </c:layout>
      <c:barChart>
        <c:barDir val="col"/>
        <c:grouping val="clustered"/>
        <c:varyColors val="0"/>
        <c:ser>
          <c:idx val="1"/>
          <c:order val="0"/>
          <c:invertIfNegative val="0"/>
          <c:cat>
            <c:numRef>
              <c:f>'Tab&amp;Fig4.5.1a, b, c'!$GL$21:$GL$48</c:f>
              <c:numCache>
                <c:formatCode>General</c:formatCode>
                <c:ptCount val="28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</c:numCache>
            </c:numRef>
          </c:cat>
          <c:val>
            <c:numRef>
              <c:f>'Tab&amp;Fig4.5.1a, b, c'!$GY$21:$GY$44</c:f>
              <c:numCache>
                <c:formatCode>0</c:formatCode>
                <c:ptCount val="24"/>
                <c:pt idx="0">
                  <c:v>0.2636489598399025</c:v>
                </c:pt>
                <c:pt idx="1">
                  <c:v>1.602215307068076</c:v>
                </c:pt>
                <c:pt idx="2">
                  <c:v>4.8499891974732794</c:v>
                </c:pt>
                <c:pt idx="3">
                  <c:v>11.518404655664579</c:v>
                </c:pt>
                <c:pt idx="4">
                  <c:v>18.008945475062539</c:v>
                </c:pt>
                <c:pt idx="5">
                  <c:v>13.505924772438332</c:v>
                </c:pt>
                <c:pt idx="6">
                  <c:v>10.278189302625007</c:v>
                </c:pt>
                <c:pt idx="7">
                  <c:v>5.1014600298153701</c:v>
                </c:pt>
                <c:pt idx="8">
                  <c:v>2.6993446925219313</c:v>
                </c:pt>
                <c:pt idx="9">
                  <c:v>2.2113718607958992</c:v>
                </c:pt>
                <c:pt idx="10">
                  <c:v>2.2654674291028081</c:v>
                </c:pt>
                <c:pt idx="11">
                  <c:v>3.1497493606067066</c:v>
                </c:pt>
                <c:pt idx="12">
                  <c:v>2.8534132192541151</c:v>
                </c:pt>
                <c:pt idx="13">
                  <c:v>2.0762641925643628</c:v>
                </c:pt>
                <c:pt idx="14">
                  <c:v>2.9769299799619895</c:v>
                </c:pt>
                <c:pt idx="15">
                  <c:v>2.8836555553267025</c:v>
                </c:pt>
                <c:pt idx="16">
                  <c:v>2.4497715106995148</c:v>
                </c:pt>
                <c:pt idx="17">
                  <c:v>2.1281508090918675</c:v>
                </c:pt>
                <c:pt idx="18">
                  <c:v>1.5617863301627184</c:v>
                </c:pt>
                <c:pt idx="19">
                  <c:v>2.5757913006464261</c:v>
                </c:pt>
                <c:pt idx="20">
                  <c:v>2.7743020371728497</c:v>
                </c:pt>
                <c:pt idx="21">
                  <c:v>1.5035027433754233</c:v>
                </c:pt>
                <c:pt idx="22">
                  <c:v>0.50101118737590733</c:v>
                </c:pt>
                <c:pt idx="23">
                  <c:v>0.25027100306410277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8E-462C-8F63-D371D6718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3003776"/>
        <c:axId val="93005696"/>
      </c:barChart>
      <c:catAx>
        <c:axId val="9300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005696"/>
        <c:crosses val="autoZero"/>
        <c:auto val="1"/>
        <c:lblAlgn val="ctr"/>
        <c:lblOffset val="100"/>
        <c:noMultiLvlLbl val="0"/>
      </c:catAx>
      <c:valAx>
        <c:axId val="930056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00377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i="1"/>
              <a:t>Trachurus trachurus </a:t>
            </a:r>
          </a:p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Zone A+B  2024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087729658792666"/>
          <c:y val="0.21996536891221943"/>
          <c:w val="0.8146776027996504"/>
          <c:h val="0.5797721638961796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'Tab&amp;Fig4.5.1a, b, c'!$HI$11:$HI$41</c:f>
              <c:numCache>
                <c:formatCode>General</c:formatCode>
                <c:ptCount val="3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</c:numCache>
            </c:numRef>
          </c:cat>
          <c:val>
            <c:numRef>
              <c:f>'Tab&amp;Fig4.5.1a, b, c'!$HU$11:$HU$41</c:f>
              <c:numCache>
                <c:formatCode>General</c:formatCode>
                <c:ptCount val="31"/>
                <c:pt idx="0">
                  <c:v>4.3463364427426603</c:v>
                </c:pt>
                <c:pt idx="1">
                  <c:v>3.6269984075765893</c:v>
                </c:pt>
                <c:pt idx="2">
                  <c:v>5.3580016210677224</c:v>
                </c:pt>
                <c:pt idx="3">
                  <c:v>4.2524124272393369</c:v>
                </c:pt>
                <c:pt idx="4">
                  <c:v>10.509145935850999</c:v>
                </c:pt>
                <c:pt idx="5">
                  <c:v>8.4098639635857406</c:v>
                </c:pt>
                <c:pt idx="6">
                  <c:v>2.3329483670802125</c:v>
                </c:pt>
                <c:pt idx="7">
                  <c:v>0.39944277736271555</c:v>
                </c:pt>
                <c:pt idx="8">
                  <c:v>1.5103938909951831</c:v>
                </c:pt>
                <c:pt idx="9">
                  <c:v>3.7725252165667458</c:v>
                </c:pt>
                <c:pt idx="10">
                  <c:v>9.3605053143361268</c:v>
                </c:pt>
                <c:pt idx="11">
                  <c:v>8.0034727360923785</c:v>
                </c:pt>
                <c:pt idx="12">
                  <c:v>11.364945893684277</c:v>
                </c:pt>
                <c:pt idx="13">
                  <c:v>12.477651284294437</c:v>
                </c:pt>
                <c:pt idx="14">
                  <c:v>7.8971066088735835</c:v>
                </c:pt>
                <c:pt idx="15">
                  <c:v>3.1868083862630021</c:v>
                </c:pt>
                <c:pt idx="16">
                  <c:v>0.45516660356518773</c:v>
                </c:pt>
                <c:pt idx="17">
                  <c:v>1.6913396627238861</c:v>
                </c:pt>
                <c:pt idx="18">
                  <c:v>0.1215386880437505</c:v>
                </c:pt>
                <c:pt idx="19">
                  <c:v>0.25972172666875709</c:v>
                </c:pt>
                <c:pt idx="20">
                  <c:v>0.28295200163942125</c:v>
                </c:pt>
                <c:pt idx="21">
                  <c:v>0.19190293632293134</c:v>
                </c:pt>
                <c:pt idx="22">
                  <c:v>0.10916947987978415</c:v>
                </c:pt>
                <c:pt idx="23">
                  <c:v>5.6330743894165154E-2</c:v>
                </c:pt>
                <c:pt idx="24">
                  <c:v>6.5454793119525531E-3</c:v>
                </c:pt>
                <c:pt idx="25">
                  <c:v>6.5454793119525531E-3</c:v>
                </c:pt>
                <c:pt idx="26">
                  <c:v>8.7343804300077724E-3</c:v>
                </c:pt>
                <c:pt idx="27">
                  <c:v>7.4677229827283616E-4</c:v>
                </c:pt>
                <c:pt idx="28">
                  <c:v>0</c:v>
                </c:pt>
                <c:pt idx="29">
                  <c:v>7.4677229827283613E-6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62-45A3-A0C8-85AA6AB30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2916736"/>
        <c:axId val="92927104"/>
      </c:barChart>
      <c:catAx>
        <c:axId val="92916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927104"/>
        <c:crosses val="autoZero"/>
        <c:auto val="1"/>
        <c:lblAlgn val="ctr"/>
        <c:lblOffset val="100"/>
        <c:noMultiLvlLbl val="0"/>
      </c:catAx>
      <c:valAx>
        <c:axId val="929271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91673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i="1"/>
              <a:t>Trachurus trachurus </a:t>
            </a:r>
          </a:p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Zone North  Cap Blanc</a:t>
            </a:r>
            <a:r>
              <a:rPr lang="en-US" sz="1000" baseline="0"/>
              <a:t> </a:t>
            </a:r>
            <a:r>
              <a:rPr lang="en-US" sz="1000"/>
              <a:t>2024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143285214348211"/>
          <c:y val="0.19557232429279672"/>
          <c:w val="0.81394028871391078"/>
          <c:h val="0.592026826160815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'Tab&amp;Fig4.5.1a, b, c'!$HI$11:$HI$46</c:f>
              <c:numCache>
                <c:formatCode>General</c:formatCode>
                <c:ptCount val="3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</c:numCache>
            </c:numRef>
          </c:cat>
          <c:val>
            <c:numRef>
              <c:f>'Tab&amp;Fig4.5.1a, b, c'!$HV$11:$HV$46</c:f>
              <c:numCache>
                <c:formatCode>General</c:formatCode>
                <c:ptCount val="36"/>
                <c:pt idx="0">
                  <c:v>1.3228867893692458</c:v>
                </c:pt>
                <c:pt idx="1">
                  <c:v>1.5349965465499507</c:v>
                </c:pt>
                <c:pt idx="2">
                  <c:v>3.2236259626449395</c:v>
                </c:pt>
                <c:pt idx="3">
                  <c:v>2.7423377822424522</c:v>
                </c:pt>
                <c:pt idx="4">
                  <c:v>4.7726864476443049</c:v>
                </c:pt>
                <c:pt idx="5">
                  <c:v>5.9552872972761914</c:v>
                </c:pt>
                <c:pt idx="6">
                  <c:v>5.005024304049166</c:v>
                </c:pt>
                <c:pt idx="7">
                  <c:v>4.4785748066660096</c:v>
                </c:pt>
                <c:pt idx="8">
                  <c:v>3.6188407086862449</c:v>
                </c:pt>
                <c:pt idx="9">
                  <c:v>4.1242692437497546</c:v>
                </c:pt>
                <c:pt idx="10">
                  <c:v>6.2977670037114217</c:v>
                </c:pt>
                <c:pt idx="11">
                  <c:v>6.6041834126180987</c:v>
                </c:pt>
                <c:pt idx="12">
                  <c:v>8.7912780052711756</c:v>
                </c:pt>
                <c:pt idx="13">
                  <c:v>10.89111635526411</c:v>
                </c:pt>
                <c:pt idx="14">
                  <c:v>7.5845098182247108</c:v>
                </c:pt>
                <c:pt idx="15">
                  <c:v>4.9531751384652472</c:v>
                </c:pt>
                <c:pt idx="16">
                  <c:v>2.9977371546834779</c:v>
                </c:pt>
                <c:pt idx="17">
                  <c:v>2.1098488073821939</c:v>
                </c:pt>
                <c:pt idx="18">
                  <c:v>1.5806200202072078</c:v>
                </c:pt>
                <c:pt idx="19">
                  <c:v>1.711784086969121</c:v>
                </c:pt>
                <c:pt idx="20">
                  <c:v>1.7292386769262635</c:v>
                </c:pt>
                <c:pt idx="21">
                  <c:v>1.6974945893807343</c:v>
                </c:pt>
                <c:pt idx="22">
                  <c:v>1.6977509713283288</c:v>
                </c:pt>
                <c:pt idx="23">
                  <c:v>1.3302810631553723</c:v>
                </c:pt>
                <c:pt idx="24">
                  <c:v>1.049126833274945</c:v>
                </c:pt>
                <c:pt idx="25">
                  <c:v>0.76893611815320329</c:v>
                </c:pt>
                <c:pt idx="26">
                  <c:v>0.3948652294780341</c:v>
                </c:pt>
                <c:pt idx="27">
                  <c:v>0.3538462727007094</c:v>
                </c:pt>
                <c:pt idx="28">
                  <c:v>0.24157214543578587</c:v>
                </c:pt>
                <c:pt idx="29">
                  <c:v>0.18022678983882515</c:v>
                </c:pt>
                <c:pt idx="30">
                  <c:v>0.10814913993181695</c:v>
                </c:pt>
                <c:pt idx="31">
                  <c:v>8.1691995744189852E-2</c:v>
                </c:pt>
                <c:pt idx="32">
                  <c:v>4.1222514818013117E-2</c:v>
                </c:pt>
                <c:pt idx="33">
                  <c:v>2.2395006423912067E-2</c:v>
                </c:pt>
                <c:pt idx="34">
                  <c:v>1.5635232598775945E-3</c:v>
                </c:pt>
                <c:pt idx="35">
                  <c:v>1.0894384749590299E-3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51-4C5B-8383-DAA28A1EA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3912192"/>
        <c:axId val="83914112"/>
      </c:barChart>
      <c:catAx>
        <c:axId val="83912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4112"/>
        <c:crosses val="autoZero"/>
        <c:auto val="1"/>
        <c:lblAlgn val="ctr"/>
        <c:lblOffset val="100"/>
        <c:noMultiLvlLbl val="0"/>
      </c:catAx>
      <c:valAx>
        <c:axId val="83914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219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i="1"/>
              <a:t>Trachurus trachurus </a:t>
            </a:r>
          </a:p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Zone South Cap Blanc 2024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7322332767853996E-2"/>
          <c:y val="0.21391425686301879"/>
          <c:w val="0.8146776027996504"/>
          <c:h val="0.57385346197922438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'Tab&amp;Fig4.5.1a, b, c'!$HI$16:$HI$48</c:f>
              <c:numCache>
                <c:formatCode>General</c:formatCode>
                <c:ptCount val="33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</c:numCache>
            </c:numRef>
          </c:cat>
          <c:val>
            <c:numRef>
              <c:f>'Tab&amp;Fig4.5.1a, b, c'!$HW$16:$HW$48</c:f>
              <c:numCache>
                <c:formatCode>General</c:formatCode>
                <c:ptCount val="33"/>
                <c:pt idx="0">
                  <c:v>5.1254536597396885E-3</c:v>
                </c:pt>
                <c:pt idx="1">
                  <c:v>4.6129082937657197E-2</c:v>
                </c:pt>
                <c:pt idx="2">
                  <c:v>7.6881804896095335E-2</c:v>
                </c:pt>
                <c:pt idx="3">
                  <c:v>0.15864049701672636</c:v>
                </c:pt>
                <c:pt idx="4">
                  <c:v>0.23520266092291794</c:v>
                </c:pt>
                <c:pt idx="5">
                  <c:v>0.47702296588586812</c:v>
                </c:pt>
                <c:pt idx="6">
                  <c:v>1.1221869476636159</c:v>
                </c:pt>
                <c:pt idx="7">
                  <c:v>4.6482534299621125</c:v>
                </c:pt>
                <c:pt idx="8">
                  <c:v>6.8110646105034576</c:v>
                </c:pt>
                <c:pt idx="9">
                  <c:v>10.339601210705931</c:v>
                </c:pt>
                <c:pt idx="10">
                  <c:v>12.898456893630822</c:v>
                </c:pt>
                <c:pt idx="11">
                  <c:v>10.930655341576104</c:v>
                </c:pt>
                <c:pt idx="12">
                  <c:v>8.4150574025647362</c:v>
                </c:pt>
                <c:pt idx="13">
                  <c:v>6.0419003605176087</c:v>
                </c:pt>
                <c:pt idx="14">
                  <c:v>5.7536907213389048</c:v>
                </c:pt>
                <c:pt idx="15">
                  <c:v>6.0583714229781167</c:v>
                </c:pt>
                <c:pt idx="16">
                  <c:v>5.8882554670419296</c:v>
                </c:pt>
                <c:pt idx="17">
                  <c:v>5.0199888127007508</c:v>
                </c:pt>
                <c:pt idx="18">
                  <c:v>4.0295529390737279</c:v>
                </c:pt>
                <c:pt idx="19">
                  <c:v>3.2349773788185834</c:v>
                </c:pt>
                <c:pt idx="20">
                  <c:v>2.4414475406506817</c:v>
                </c:pt>
                <c:pt idx="21">
                  <c:v>1.8445314261661849</c:v>
                </c:pt>
                <c:pt idx="22">
                  <c:v>1.2544609258419526</c:v>
                </c:pt>
                <c:pt idx="23">
                  <c:v>0.96625861579338079</c:v>
                </c:pt>
                <c:pt idx="24">
                  <c:v>0.58466638722167197</c:v>
                </c:pt>
                <c:pt idx="25">
                  <c:v>0.46363692748714336</c:v>
                </c:pt>
                <c:pt idx="26">
                  <c:v>0.11551995712715808</c:v>
                </c:pt>
                <c:pt idx="27">
                  <c:v>8.8986967521635055E-2</c:v>
                </c:pt>
                <c:pt idx="28">
                  <c:v>4.9187483113350534E-2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2.8836468144460598E-4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D1-4603-9384-BFF086B8B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3003776"/>
        <c:axId val="93005696"/>
      </c:barChart>
      <c:catAx>
        <c:axId val="9300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005696"/>
        <c:crosses val="autoZero"/>
        <c:auto val="1"/>
        <c:lblAlgn val="ctr"/>
        <c:lblOffset val="100"/>
        <c:noMultiLvlLbl val="0"/>
      </c:catAx>
      <c:valAx>
        <c:axId val="930056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00377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'Tab&amp;Fig4.5.1a, b, c'!$IR$11:$IR$37</c:f>
              <c:numCache>
                <c:formatCode>General</c:formatCode>
                <c:ptCount val="27"/>
                <c:pt idx="0">
                  <c:v>2.4916852740668634</c:v>
                </c:pt>
                <c:pt idx="1">
                  <c:v>6.3727108519388036</c:v>
                </c:pt>
                <c:pt idx="2">
                  <c:v>4.2101201061107787</c:v>
                </c:pt>
                <c:pt idx="3">
                  <c:v>0.80788021795071829</c:v>
                </c:pt>
                <c:pt idx="4">
                  <c:v>2.2264206075910211</c:v>
                </c:pt>
                <c:pt idx="5">
                  <c:v>7.8682417752029155</c:v>
                </c:pt>
                <c:pt idx="6">
                  <c:v>19.549948652759383</c:v>
                </c:pt>
                <c:pt idx="7">
                  <c:v>15.664839714742291</c:v>
                </c:pt>
                <c:pt idx="8">
                  <c:v>7.4629885239384128</c:v>
                </c:pt>
                <c:pt idx="9">
                  <c:v>5.4986577017083667</c:v>
                </c:pt>
                <c:pt idx="10">
                  <c:v>12.008280471860246</c:v>
                </c:pt>
                <c:pt idx="11">
                  <c:v>5.2260687373364103</c:v>
                </c:pt>
                <c:pt idx="12">
                  <c:v>3.1545086387555918</c:v>
                </c:pt>
                <c:pt idx="13">
                  <c:v>1.7438252568800141</c:v>
                </c:pt>
                <c:pt idx="14">
                  <c:v>1.7428861031397667</c:v>
                </c:pt>
                <c:pt idx="15">
                  <c:v>0.71166473554905163</c:v>
                </c:pt>
                <c:pt idx="16">
                  <c:v>0.40735158435930591</c:v>
                </c:pt>
                <c:pt idx="17">
                  <c:v>0.44026670737506146</c:v>
                </c:pt>
                <c:pt idx="18">
                  <c:v>0.82646851737432492</c:v>
                </c:pt>
                <c:pt idx="19">
                  <c:v>0.4132342586871624</c:v>
                </c:pt>
                <c:pt idx="20">
                  <c:v>0.26419763689344306</c:v>
                </c:pt>
                <c:pt idx="21">
                  <c:v>0.45162126372040362</c:v>
                </c:pt>
                <c:pt idx="22">
                  <c:v>0.22581063186020181</c:v>
                </c:pt>
                <c:pt idx="23">
                  <c:v>0.11516101509972367</c:v>
                </c:pt>
                <c:pt idx="24">
                  <c:v>0.11516101509972367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8A-4552-9A01-D014A9690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0729704"/>
        <c:axId val="510730360"/>
      </c:barChart>
      <c:catAx>
        <c:axId val="510729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0730360"/>
        <c:crosses val="autoZero"/>
        <c:auto val="1"/>
        <c:lblAlgn val="ctr"/>
        <c:lblOffset val="100"/>
        <c:noMultiLvlLbl val="0"/>
      </c:catAx>
      <c:valAx>
        <c:axId val="510730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0729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i="1"/>
              <a:t>Trachurus trachurus </a:t>
            </a:r>
          </a:p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Zone A+B  2025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087729658792666"/>
          <c:y val="0.21996536891221943"/>
          <c:w val="0.8146776027996504"/>
          <c:h val="0.57977216389617969"/>
        </c:manualLayout>
      </c:layout>
      <c:barChart>
        <c:barDir val="col"/>
        <c:grouping val="clustered"/>
        <c:varyColors val="0"/>
        <c:ser>
          <c:idx val="1"/>
          <c:order val="0"/>
          <c:invertIfNegative val="0"/>
          <c:cat>
            <c:numRef>
              <c:f>'Tab&amp;Fig4.5.1a, b, c'!$HI$11:$HI$50</c:f>
              <c:numCache>
                <c:formatCode>General</c:formatCode>
                <c:ptCount val="4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</c:numCache>
            </c:numRef>
          </c:cat>
          <c:val>
            <c:numRef>
              <c:f>'Tab&amp;Fig4.5.1a, b, c'!$IR$11:$IR$36</c:f>
              <c:numCache>
                <c:formatCode>General</c:formatCode>
                <c:ptCount val="26"/>
                <c:pt idx="0">
                  <c:v>2.4916852740668634</c:v>
                </c:pt>
                <c:pt idx="1">
                  <c:v>6.3727108519388036</c:v>
                </c:pt>
                <c:pt idx="2">
                  <c:v>4.2101201061107787</c:v>
                </c:pt>
                <c:pt idx="3">
                  <c:v>0.80788021795071829</c:v>
                </c:pt>
                <c:pt idx="4">
                  <c:v>2.2264206075910211</c:v>
                </c:pt>
                <c:pt idx="5">
                  <c:v>7.8682417752029155</c:v>
                </c:pt>
                <c:pt idx="6">
                  <c:v>19.549948652759383</c:v>
                </c:pt>
                <c:pt idx="7">
                  <c:v>15.664839714742291</c:v>
                </c:pt>
                <c:pt idx="8">
                  <c:v>7.4629885239384128</c:v>
                </c:pt>
                <c:pt idx="9">
                  <c:v>5.4986577017083667</c:v>
                </c:pt>
                <c:pt idx="10">
                  <c:v>12.008280471860246</c:v>
                </c:pt>
                <c:pt idx="11">
                  <c:v>5.2260687373364103</c:v>
                </c:pt>
                <c:pt idx="12">
                  <c:v>3.1545086387555918</c:v>
                </c:pt>
                <c:pt idx="13">
                  <c:v>1.7438252568800141</c:v>
                </c:pt>
                <c:pt idx="14">
                  <c:v>1.7428861031397667</c:v>
                </c:pt>
                <c:pt idx="15">
                  <c:v>0.71166473554905163</c:v>
                </c:pt>
                <c:pt idx="16">
                  <c:v>0.40735158435930591</c:v>
                </c:pt>
                <c:pt idx="17">
                  <c:v>0.44026670737506146</c:v>
                </c:pt>
                <c:pt idx="18">
                  <c:v>0.82646851737432492</c:v>
                </c:pt>
                <c:pt idx="19">
                  <c:v>0.4132342586871624</c:v>
                </c:pt>
                <c:pt idx="20">
                  <c:v>0.26419763689344306</c:v>
                </c:pt>
                <c:pt idx="21">
                  <c:v>0.45162126372040362</c:v>
                </c:pt>
                <c:pt idx="22">
                  <c:v>0.22581063186020181</c:v>
                </c:pt>
                <c:pt idx="23">
                  <c:v>0.11516101509972367</c:v>
                </c:pt>
                <c:pt idx="24">
                  <c:v>0.11516101509972367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C7-4A13-AE9C-2F6152FC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2916736"/>
        <c:axId val="92927104"/>
      </c:barChart>
      <c:catAx>
        <c:axId val="92916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927104"/>
        <c:crosses val="autoZero"/>
        <c:auto val="1"/>
        <c:lblAlgn val="ctr"/>
        <c:lblOffset val="100"/>
        <c:noMultiLvlLbl val="0"/>
      </c:catAx>
      <c:valAx>
        <c:axId val="929271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91673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i="1"/>
              <a:t>Trachurus trachurus </a:t>
            </a:r>
          </a:p>
          <a:p>
            <a:pPr>
              <a:defRPr lang="pt-PT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Zone North  Cap Blanc</a:t>
            </a:r>
            <a:r>
              <a:rPr lang="en-US" sz="1000" baseline="0"/>
              <a:t> </a:t>
            </a:r>
            <a:r>
              <a:rPr lang="en-US" sz="1000"/>
              <a:t>2025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143285214348211"/>
          <c:y val="0.19557232429279672"/>
          <c:w val="0.81394028871391078"/>
          <c:h val="0.5920268261608157"/>
        </c:manualLayout>
      </c:layout>
      <c:barChart>
        <c:barDir val="col"/>
        <c:grouping val="clustered"/>
        <c:varyColors val="0"/>
        <c:ser>
          <c:idx val="1"/>
          <c:order val="0"/>
          <c:invertIfNegative val="0"/>
          <c:val>
            <c:numRef>
              <c:f>'Tab&amp;Fig4.5.1a, b, c'!$IS$14:$IS$42</c:f>
              <c:numCache>
                <c:formatCode>General</c:formatCode>
                <c:ptCount val="29"/>
                <c:pt idx="0">
                  <c:v>0.53081406140839993</c:v>
                </c:pt>
                <c:pt idx="1">
                  <c:v>5.149875587065492</c:v>
                </c:pt>
                <c:pt idx="2">
                  <c:v>14.683754084481251</c:v>
                </c:pt>
                <c:pt idx="3">
                  <c:v>5.8150984968281199</c:v>
                </c:pt>
                <c:pt idx="4">
                  <c:v>1.0651609243259752</c:v>
                </c:pt>
                <c:pt idx="5">
                  <c:v>0.61966470643897853</c:v>
                </c:pt>
                <c:pt idx="6">
                  <c:v>1.3156963028715789</c:v>
                </c:pt>
                <c:pt idx="7">
                  <c:v>4.4256858380238064</c:v>
                </c:pt>
                <c:pt idx="8">
                  <c:v>1.9771073538398651</c:v>
                </c:pt>
                <c:pt idx="9">
                  <c:v>2.2236371263233314</c:v>
                </c:pt>
                <c:pt idx="10">
                  <c:v>4.1555077117042138</c:v>
                </c:pt>
                <c:pt idx="11">
                  <c:v>3.002842201929925</c:v>
                </c:pt>
                <c:pt idx="12">
                  <c:v>5.236975506824364</c:v>
                </c:pt>
                <c:pt idx="13">
                  <c:v>6.3871977082037779</c:v>
                </c:pt>
                <c:pt idx="14">
                  <c:v>7.2093551647829841</c:v>
                </c:pt>
                <c:pt idx="15">
                  <c:v>6.3914332387248276</c:v>
                </c:pt>
                <c:pt idx="16">
                  <c:v>3.7205170869277868</c:v>
                </c:pt>
                <c:pt idx="17">
                  <c:v>6.8239960882057336</c:v>
                </c:pt>
                <c:pt idx="18">
                  <c:v>5.4914378378091229</c:v>
                </c:pt>
                <c:pt idx="19">
                  <c:v>6.0620375578526211</c:v>
                </c:pt>
                <c:pt idx="20">
                  <c:v>3.801699287129872</c:v>
                </c:pt>
                <c:pt idx="21">
                  <c:v>1.8704207396309724</c:v>
                </c:pt>
                <c:pt idx="22">
                  <c:v>1.0610552922537178</c:v>
                </c:pt>
                <c:pt idx="23">
                  <c:v>0.24722764067923786</c:v>
                </c:pt>
                <c:pt idx="24">
                  <c:v>0.21506724517152492</c:v>
                </c:pt>
                <c:pt idx="25">
                  <c:v>0.18643943099456289</c:v>
                </c:pt>
                <c:pt idx="26">
                  <c:v>0.20111197692735278</c:v>
                </c:pt>
                <c:pt idx="27">
                  <c:v>9.3219715497281405E-2</c:v>
                </c:pt>
                <c:pt idx="28">
                  <c:v>3.5964087143357137E-2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70-437D-93FB-4F80292AB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3912192"/>
        <c:axId val="83914112"/>
      </c:barChart>
      <c:catAx>
        <c:axId val="83912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4112"/>
        <c:crosses val="autoZero"/>
        <c:auto val="1"/>
        <c:lblAlgn val="ctr"/>
        <c:lblOffset val="100"/>
        <c:noMultiLvlLbl val="0"/>
      </c:catAx>
      <c:valAx>
        <c:axId val="83914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219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50"/>
            </a:pPr>
            <a:r>
              <a:rPr lang="fr-FR" sz="1050" i="1"/>
              <a:t>Trachurus</a:t>
            </a:r>
            <a:r>
              <a:rPr lang="fr-FR" sz="1050" i="1" baseline="0"/>
              <a:t> treace </a:t>
            </a:r>
          </a:p>
          <a:p>
            <a:pPr>
              <a:defRPr lang="pt-PT" sz="1050"/>
            </a:pPr>
            <a:r>
              <a:rPr lang="fr-FR" sz="1050" baseline="0"/>
              <a:t>Zone C South Cap Blanc 2013</a:t>
            </a:r>
            <a:endParaRPr lang="fr-FR" sz="105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50218722659672"/>
          <c:y val="8.6837939602704473E-2"/>
          <c:w val="0.87310017497812775"/>
          <c:h val="0.76267154259833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'Tab&amp;Fig4.5.1b  et c'!$L$3</c:f>
              <c:strCache>
                <c:ptCount val="1"/>
                <c:pt idx="0">
                  <c:v>% South Cap B</c:v>
                </c:pt>
              </c:strCache>
            </c:strRef>
          </c:tx>
          <c:spPr>
            <a:solidFill>
              <a:prstClr val="white">
                <a:lumMod val="50000"/>
              </a:prstClr>
            </a:solidFill>
            <a:ln w="12700">
              <a:solidFill>
                <a:prstClr val="black">
                  <a:lumMod val="65000"/>
                  <a:lumOff val="35000"/>
                </a:prstClr>
              </a:solidFill>
            </a:ln>
          </c:spPr>
          <c:invertIfNegative val="0"/>
          <c:cat>
            <c:numRef>
              <c:f>'Tab&amp;Fig4.5.1b  et c'!$A$4:$A$49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'Tab&amp;Fig4.5.1b  et c'!$L$4:$L$49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1.7516152319318597E-4</c:v>
                </c:pt>
                <c:pt idx="9">
                  <c:v>5.25484569579558E-4</c:v>
                </c:pt>
                <c:pt idx="10">
                  <c:v>0</c:v>
                </c:pt>
                <c:pt idx="11">
                  <c:v>4.5077489199394955E-9</c:v>
                </c:pt>
                <c:pt idx="12">
                  <c:v>1.126937229984874E-8</c:v>
                </c:pt>
                <c:pt idx="13">
                  <c:v>3.1554242439576473E-8</c:v>
                </c:pt>
                <c:pt idx="14">
                  <c:v>1.0593209961857816E-7</c:v>
                </c:pt>
                <c:pt idx="15">
                  <c:v>5.2562205592161608E-4</c:v>
                </c:pt>
                <c:pt idx="16">
                  <c:v>2.1020847801581301E-3</c:v>
                </c:pt>
                <c:pt idx="17">
                  <c:v>1.9268355812484508E-2</c:v>
                </c:pt>
                <c:pt idx="18">
                  <c:v>6.9189721242088123E-2</c:v>
                </c:pt>
                <c:pt idx="19">
                  <c:v>9.441322850809751E-2</c:v>
                </c:pt>
                <c:pt idx="20">
                  <c:v>0.10544827374454954</c:v>
                </c:pt>
                <c:pt idx="21">
                  <c:v>0.10737528490261843</c:v>
                </c:pt>
                <c:pt idx="22">
                  <c:v>9.4063036186429805E-2</c:v>
                </c:pt>
                <c:pt idx="23">
                  <c:v>8.6355624892877528E-2</c:v>
                </c:pt>
                <c:pt idx="24">
                  <c:v>6.6912511000728175E-2</c:v>
                </c:pt>
                <c:pt idx="25">
                  <c:v>5.6227545392220829E-2</c:v>
                </c:pt>
                <c:pt idx="26">
                  <c:v>3.6959899550191209E-2</c:v>
                </c:pt>
                <c:pt idx="27">
                  <c:v>2.837671670266436E-2</c:v>
                </c:pt>
                <c:pt idx="28">
                  <c:v>2.399766059183903E-2</c:v>
                </c:pt>
                <c:pt idx="29">
                  <c:v>1.8742778834052093E-2</c:v>
                </c:pt>
                <c:pt idx="30">
                  <c:v>2.1895532988066162E-2</c:v>
                </c:pt>
                <c:pt idx="31">
                  <c:v>2.5223536566377359E-2</c:v>
                </c:pt>
                <c:pt idx="32">
                  <c:v>1.7341236468441549E-2</c:v>
                </c:pt>
                <c:pt idx="33">
                  <c:v>1.646530939712924E-2</c:v>
                </c:pt>
                <c:pt idx="34">
                  <c:v>7.1816990826522641E-3</c:v>
                </c:pt>
                <c:pt idx="35">
                  <c:v>4.7294152192030601E-3</c:v>
                </c:pt>
                <c:pt idx="36">
                  <c:v>7.0067764701518354E-4</c:v>
                </c:pt>
                <c:pt idx="37">
                  <c:v>3.5035685450327149E-4</c:v>
                </c:pt>
                <c:pt idx="38">
                  <c:v>3.5033431575867181E-4</c:v>
                </c:pt>
                <c:pt idx="39">
                  <c:v>1.2261464394735216E-3</c:v>
                </c:pt>
                <c:pt idx="40">
                  <c:v>7.006528543961238E-4</c:v>
                </c:pt>
                <c:pt idx="41">
                  <c:v>7.0065736214504381E-4</c:v>
                </c:pt>
                <c:pt idx="42">
                  <c:v>7.0064834664720389E-4</c:v>
                </c:pt>
                <c:pt idx="43">
                  <c:v>1.0509759007824959E-3</c:v>
                </c:pt>
                <c:pt idx="44">
                  <c:v>7.0064834664720389E-4</c:v>
                </c:pt>
                <c:pt idx="45">
                  <c:v>3.5033206188421186E-4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2B-8548-8C65-B67D753F0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axId val="92945792"/>
        <c:axId val="92984832"/>
      </c:barChart>
      <c:catAx>
        <c:axId val="92945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2984832"/>
        <c:crosses val="autoZero"/>
        <c:auto val="1"/>
        <c:lblAlgn val="ctr"/>
        <c:lblOffset val="100"/>
        <c:noMultiLvlLbl val="0"/>
      </c:catAx>
      <c:valAx>
        <c:axId val="929848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2945792"/>
        <c:crosses val="autoZero"/>
        <c:crossBetween val="between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1066" l="0.70000000000000062" r="0.70000000000000062" t="0.75000000000001066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50"/>
            </a:pPr>
            <a:r>
              <a:rPr lang="fr-FR" sz="1050" i="1"/>
              <a:t>Trachurus</a:t>
            </a:r>
            <a:r>
              <a:rPr lang="fr-FR" sz="1050" i="1" baseline="0"/>
              <a:t> treace </a:t>
            </a:r>
          </a:p>
          <a:p>
            <a:pPr>
              <a:defRPr lang="pt-PT" sz="1050"/>
            </a:pPr>
            <a:r>
              <a:rPr lang="fr-FR" sz="1050" baseline="0"/>
              <a:t>Zone C North Cap Blanc 2013</a:t>
            </a:r>
            <a:endParaRPr lang="fr-FR" sz="105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50212195007691"/>
          <c:y val="0.10991486612110625"/>
          <c:w val="0.87413620271688663"/>
          <c:h val="0.730363714200778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'Tab&amp;Fig4.5.1b  et c'!$M$3</c:f>
              <c:strCache>
                <c:ptCount val="1"/>
                <c:pt idx="0">
                  <c:v>% North Cap B</c:v>
                </c:pt>
              </c:strCache>
            </c:strRef>
          </c:tx>
          <c:spPr>
            <a:solidFill>
              <a:prstClr val="white">
                <a:lumMod val="50000"/>
              </a:prstClr>
            </a:solidFill>
            <a:ln w="12700">
              <a:solidFill>
                <a:prstClr val="black">
                  <a:lumMod val="65000"/>
                  <a:lumOff val="35000"/>
                </a:prstClr>
              </a:solidFill>
            </a:ln>
          </c:spPr>
          <c:invertIfNegative val="0"/>
          <c:cat>
            <c:numRef>
              <c:f>'Tab&amp;Fig4.5.1b  et c'!$A$4:$A$49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'Tab&amp;Fig4.5.1b  et c'!$M$4:$M$49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1.2883915161279182E-4</c:v>
                </c:pt>
                <c:pt idx="13">
                  <c:v>2.1397417761973305E-3</c:v>
                </c:pt>
                <c:pt idx="14">
                  <c:v>1.969683422516836E-2</c:v>
                </c:pt>
                <c:pt idx="15">
                  <c:v>7.7818578220182011E-2</c:v>
                </c:pt>
                <c:pt idx="16">
                  <c:v>0.11121949612950972</c:v>
                </c:pt>
                <c:pt idx="17">
                  <c:v>0.12787327901002324</c:v>
                </c:pt>
                <c:pt idx="18">
                  <c:v>0.11362810982106433</c:v>
                </c:pt>
                <c:pt idx="19">
                  <c:v>8.3576575561586097E-2</c:v>
                </c:pt>
                <c:pt idx="20">
                  <c:v>6.0811633555623135E-2</c:v>
                </c:pt>
                <c:pt idx="21">
                  <c:v>5.5080204364292187E-2</c:v>
                </c:pt>
                <c:pt idx="22">
                  <c:v>5.6381159124143904E-2</c:v>
                </c:pt>
                <c:pt idx="23">
                  <c:v>4.5179110139776067E-2</c:v>
                </c:pt>
                <c:pt idx="24">
                  <c:v>3.863149450091128E-2</c:v>
                </c:pt>
                <c:pt idx="25">
                  <c:v>3.6749716943294167E-2</c:v>
                </c:pt>
                <c:pt idx="26">
                  <c:v>2.9758283544198433E-2</c:v>
                </c:pt>
                <c:pt idx="27">
                  <c:v>2.8715726509787824E-2</c:v>
                </c:pt>
                <c:pt idx="28">
                  <c:v>3.1066582487362483E-2</c:v>
                </c:pt>
                <c:pt idx="29">
                  <c:v>2.6894446368038463E-2</c:v>
                </c:pt>
                <c:pt idx="30">
                  <c:v>2.1132724092749623E-2</c:v>
                </c:pt>
                <c:pt idx="31">
                  <c:v>1.2952248317563258E-2</c:v>
                </c:pt>
                <c:pt idx="32">
                  <c:v>9.2192561484956571E-3</c:v>
                </c:pt>
                <c:pt idx="33">
                  <c:v>5.7723797743317908E-3</c:v>
                </c:pt>
                <c:pt idx="34">
                  <c:v>3.2613489557848196E-3</c:v>
                </c:pt>
                <c:pt idx="35">
                  <c:v>1.0733060560344846E-3</c:v>
                </c:pt>
                <c:pt idx="36">
                  <c:v>8.0233927174067261E-4</c:v>
                </c:pt>
                <c:pt idx="37">
                  <c:v>3.6507236904610371E-4</c:v>
                </c:pt>
                <c:pt idx="38">
                  <c:v>4.2846212367935021E-5</c:v>
                </c:pt>
                <c:pt idx="39">
                  <c:v>0</c:v>
                </c:pt>
                <c:pt idx="40">
                  <c:v>0</c:v>
                </c:pt>
                <c:pt idx="41">
                  <c:v>2.8667369113559516E-5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7-0343-A935-502BD2350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axId val="93202688"/>
        <c:axId val="93217152"/>
      </c:barChart>
      <c:catAx>
        <c:axId val="93202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3217152"/>
        <c:crosses val="autoZero"/>
        <c:auto val="1"/>
        <c:lblAlgn val="ctr"/>
        <c:lblOffset val="100"/>
        <c:noMultiLvlLbl val="0"/>
      </c:catAx>
      <c:valAx>
        <c:axId val="9321715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320268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1088" l="0.70000000000000062" r="0.70000000000000062" t="0.75000000000001088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en-US" sz="1000" i="1"/>
              <a:t>Caranx </a:t>
            </a:r>
            <a:r>
              <a:rPr lang="en-US" sz="1000" i="1" baseline="0"/>
              <a:t>rhonchus </a:t>
            </a:r>
          </a:p>
          <a:p>
            <a:pPr>
              <a:defRPr lang="pt-PT" sz="1000"/>
            </a:pPr>
            <a:r>
              <a:rPr lang="en-US" sz="1000" baseline="0"/>
              <a:t>Zone C South Cap Blanc 2012</a:t>
            </a:r>
            <a:endParaRPr lang="en-US" sz="10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483696657342994"/>
          <c:y val="4.4073455637789895E-2"/>
          <c:w val="0.83942496102362452"/>
          <c:h val="0.81470243695650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'Tab&amp;Fig4.5.1b  et c'!$T$61</c:f>
              <c:strCache>
                <c:ptCount val="1"/>
                <c:pt idx="0">
                  <c:v>% South Cap B</c:v>
                </c:pt>
              </c:strCache>
            </c:strRef>
          </c:tx>
          <c:spPr>
            <a:solidFill>
              <a:prstClr val="white">
                <a:lumMod val="50000"/>
              </a:prstClr>
            </a:solidFill>
            <a:ln w="12700">
              <a:solidFill>
                <a:prstClr val="black">
                  <a:lumMod val="65000"/>
                  <a:lumOff val="35000"/>
                </a:prstClr>
              </a:solidFill>
            </a:ln>
          </c:spPr>
          <c:invertIfNegative val="0"/>
          <c:cat>
            <c:numRef>
              <c:f>'Tab&amp;Fig4.5.1b  et c'!$N$62:$N$107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'Tab&amp;Fig4.5.1b  et c'!$T$62:$T$107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8.0772761701280375E-4</c:v>
                </c:pt>
                <c:pt idx="15">
                  <c:v>2.0073034467916928E-3</c:v>
                </c:pt>
                <c:pt idx="16">
                  <c:v>2.387690878491291E-3</c:v>
                </c:pt>
                <c:pt idx="17">
                  <c:v>1.8451986671233309E-3</c:v>
                </c:pt>
                <c:pt idx="18">
                  <c:v>4.2798898061469575E-4</c:v>
                </c:pt>
                <c:pt idx="19">
                  <c:v>4.6860293404654601E-3</c:v>
                </c:pt>
                <c:pt idx="20">
                  <c:v>3.5167027431071911E-2</c:v>
                </c:pt>
                <c:pt idx="21">
                  <c:v>7.3316737124523232E-2</c:v>
                </c:pt>
                <c:pt idx="22">
                  <c:v>9.7473701794140166E-2</c:v>
                </c:pt>
                <c:pt idx="23">
                  <c:v>0.11157590425433453</c:v>
                </c:pt>
                <c:pt idx="24">
                  <c:v>0.10259668429964586</c:v>
                </c:pt>
                <c:pt idx="25">
                  <c:v>0.1364185227539681</c:v>
                </c:pt>
                <c:pt idx="26">
                  <c:v>0.11223990094000469</c:v>
                </c:pt>
                <c:pt idx="27">
                  <c:v>0.12429113895522166</c:v>
                </c:pt>
                <c:pt idx="28">
                  <c:v>9.7355753774937312E-2</c:v>
                </c:pt>
                <c:pt idx="29">
                  <c:v>5.8265142585684479E-2</c:v>
                </c:pt>
                <c:pt idx="30">
                  <c:v>2.1555838873686953E-2</c:v>
                </c:pt>
                <c:pt idx="31">
                  <c:v>7.405734234696394E-3</c:v>
                </c:pt>
                <c:pt idx="32">
                  <c:v>5.009886277966032E-3</c:v>
                </c:pt>
                <c:pt idx="33">
                  <c:v>2.2430221373248372E-3</c:v>
                </c:pt>
                <c:pt idx="34">
                  <c:v>8.4887403133570986E-4</c:v>
                </c:pt>
                <c:pt idx="35">
                  <c:v>1.415670138333135E-4</c:v>
                </c:pt>
                <c:pt idx="36">
                  <c:v>1.7297738338709059E-3</c:v>
                </c:pt>
                <c:pt idx="37">
                  <c:v>6.9419673640033492E-5</c:v>
                </c:pt>
                <c:pt idx="38">
                  <c:v>1.1607616120463195E-4</c:v>
                </c:pt>
                <c:pt idx="39">
                  <c:v>1.7354918410008373E-5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8F-704C-BAE7-EBA61C234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3254784"/>
        <c:axId val="93256704"/>
      </c:barChart>
      <c:catAx>
        <c:axId val="93254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3256704"/>
        <c:crosses val="autoZero"/>
        <c:auto val="1"/>
        <c:lblAlgn val="ctr"/>
        <c:lblOffset val="100"/>
        <c:noMultiLvlLbl val="0"/>
      </c:catAx>
      <c:valAx>
        <c:axId val="9325670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32547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1066" l="0.70000000000000062" r="0.70000000000000062" t="0.75000000000001066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100"/>
            </a:pPr>
            <a:r>
              <a:rPr lang="en-US" sz="1100" i="1"/>
              <a:t>Trachurus trecae</a:t>
            </a:r>
          </a:p>
          <a:p>
            <a:pPr>
              <a:defRPr lang="pt-PT" sz="1100"/>
            </a:pPr>
            <a:r>
              <a:rPr lang="en-US" sz="1100" baseline="0"/>
              <a:t> Nord Cap Blanc 2015</a:t>
            </a:r>
            <a:endParaRPr lang="en-US" sz="11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043982949252727E-2"/>
          <c:y val="6.563301106349051E-2"/>
          <c:w val="0.88495603674540679"/>
          <c:h val="0.749653742649261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'Tab&amp;Fig4.5.1b  et c'!$AC$3</c:f>
              <c:strCache>
                <c:ptCount val="1"/>
                <c:pt idx="0">
                  <c:v>% Zone C N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8575"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numRef>
              <c:f>'Tab&amp;Fig4.5.1b  et c'!$W$4:$W$46</c:f>
              <c:numCache>
                <c:formatCode>General</c:formatCode>
                <c:ptCount val="43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 formatCode="0">
                  <c:v>17</c:v>
                </c:pt>
                <c:pt idx="13" formatCode="0">
                  <c:v>18</c:v>
                </c:pt>
                <c:pt idx="14" formatCode="0">
                  <c:v>19</c:v>
                </c:pt>
                <c:pt idx="15" formatCode="0">
                  <c:v>20</c:v>
                </c:pt>
                <c:pt idx="16" formatCode="0">
                  <c:v>21</c:v>
                </c:pt>
                <c:pt idx="17" formatCode="0">
                  <c:v>22</c:v>
                </c:pt>
                <c:pt idx="18" formatCode="0">
                  <c:v>23</c:v>
                </c:pt>
                <c:pt idx="19" formatCode="0">
                  <c:v>24</c:v>
                </c:pt>
                <c:pt idx="20" formatCode="0">
                  <c:v>25</c:v>
                </c:pt>
                <c:pt idx="21" formatCode="0">
                  <c:v>26</c:v>
                </c:pt>
                <c:pt idx="22" formatCode="0">
                  <c:v>27</c:v>
                </c:pt>
                <c:pt idx="23" formatCode="0">
                  <c:v>28</c:v>
                </c:pt>
                <c:pt idx="24" formatCode="0">
                  <c:v>29</c:v>
                </c:pt>
                <c:pt idx="25" formatCode="0">
                  <c:v>30</c:v>
                </c:pt>
                <c:pt idx="26" formatCode="0">
                  <c:v>31</c:v>
                </c:pt>
                <c:pt idx="27" formatCode="0">
                  <c:v>32</c:v>
                </c:pt>
                <c:pt idx="28" formatCode="0">
                  <c:v>33</c:v>
                </c:pt>
                <c:pt idx="29" formatCode="0">
                  <c:v>34</c:v>
                </c:pt>
                <c:pt idx="30" formatCode="0">
                  <c:v>35</c:v>
                </c:pt>
                <c:pt idx="31" formatCode="0">
                  <c:v>36</c:v>
                </c:pt>
                <c:pt idx="32" formatCode="0">
                  <c:v>37</c:v>
                </c:pt>
                <c:pt idx="33" formatCode="0">
                  <c:v>38</c:v>
                </c:pt>
                <c:pt idx="34" formatCode="0">
                  <c:v>39</c:v>
                </c:pt>
                <c:pt idx="35" formatCode="0">
                  <c:v>40</c:v>
                </c:pt>
                <c:pt idx="36" formatCode="0">
                  <c:v>41</c:v>
                </c:pt>
                <c:pt idx="37" formatCode="0">
                  <c:v>42</c:v>
                </c:pt>
                <c:pt idx="38" formatCode="0">
                  <c:v>43</c:v>
                </c:pt>
                <c:pt idx="39" formatCode="0">
                  <c:v>44</c:v>
                </c:pt>
                <c:pt idx="40" formatCode="0">
                  <c:v>45</c:v>
                </c:pt>
                <c:pt idx="41" formatCode="0">
                  <c:v>46</c:v>
                </c:pt>
                <c:pt idx="42" formatCode="0">
                  <c:v>47</c:v>
                </c:pt>
              </c:numCache>
            </c:numRef>
          </c:cat>
          <c:val>
            <c:numRef>
              <c:f>'Tab&amp;Fig4.5.1b  et c'!$AC$4:$AC$46</c:f>
              <c:numCache>
                <c:formatCode>0.00</c:formatCode>
                <c:ptCount val="43"/>
                <c:pt idx="12">
                  <c:v>8.5267033118151241E-3</c:v>
                </c:pt>
                <c:pt idx="13">
                  <c:v>3.1321648275555655E-2</c:v>
                </c:pt>
                <c:pt idx="14">
                  <c:v>5.8362686067321937E-2</c:v>
                </c:pt>
                <c:pt idx="15">
                  <c:v>0.21952253746112138</c:v>
                </c:pt>
                <c:pt idx="16">
                  <c:v>0.3898038708973775</c:v>
                </c:pt>
                <c:pt idx="17">
                  <c:v>1.0538641535325335</c:v>
                </c:pt>
                <c:pt idx="18">
                  <c:v>1.6804504802941762</c:v>
                </c:pt>
                <c:pt idx="19">
                  <c:v>2.2359811605467135</c:v>
                </c:pt>
                <c:pt idx="20">
                  <c:v>1.951607053230622</c:v>
                </c:pt>
                <c:pt idx="21">
                  <c:v>1.5483934914152957</c:v>
                </c:pt>
                <c:pt idx="22">
                  <c:v>2.374864174196138</c:v>
                </c:pt>
                <c:pt idx="23">
                  <c:v>3.4385647548469644</c:v>
                </c:pt>
                <c:pt idx="24">
                  <c:v>3.8671202415194403</c:v>
                </c:pt>
                <c:pt idx="25">
                  <c:v>4.6591827416658091</c:v>
                </c:pt>
                <c:pt idx="26">
                  <c:v>4.8538183758214686</c:v>
                </c:pt>
                <c:pt idx="27">
                  <c:v>5.6808750573596853</c:v>
                </c:pt>
                <c:pt idx="28">
                  <c:v>7.5087361403510053</c:v>
                </c:pt>
                <c:pt idx="29">
                  <c:v>9.1009719011315227</c:v>
                </c:pt>
                <c:pt idx="30">
                  <c:v>11.201170255021399</c:v>
                </c:pt>
                <c:pt idx="31">
                  <c:v>10.594086066664513</c:v>
                </c:pt>
                <c:pt idx="32">
                  <c:v>10.493506275250489</c:v>
                </c:pt>
                <c:pt idx="33">
                  <c:v>8.1769528845599737</c:v>
                </c:pt>
                <c:pt idx="34">
                  <c:v>5.1505167852260092</c:v>
                </c:pt>
                <c:pt idx="35">
                  <c:v>2.1392016521696053</c:v>
                </c:pt>
                <c:pt idx="36">
                  <c:v>1.04119402948685</c:v>
                </c:pt>
                <c:pt idx="37">
                  <c:v>0.38730801922459773</c:v>
                </c:pt>
                <c:pt idx="38">
                  <c:v>0.11695869017577284</c:v>
                </c:pt>
                <c:pt idx="39">
                  <c:v>2.9543622464350761E-2</c:v>
                </c:pt>
                <c:pt idx="40">
                  <c:v>7.5945478318703947E-3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C6-F24B-B913-D94C50957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93409280"/>
        <c:axId val="93411200"/>
      </c:barChart>
      <c:catAx>
        <c:axId val="93409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3411200"/>
        <c:crosses val="autoZero"/>
        <c:auto val="1"/>
        <c:lblAlgn val="ctr"/>
        <c:lblOffset val="100"/>
        <c:noMultiLvlLbl val="0"/>
      </c:catAx>
      <c:valAx>
        <c:axId val="9341120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34092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100"/>
            </a:pPr>
            <a:r>
              <a:rPr lang="en-US" sz="1100"/>
              <a:t>Trachurus trecae</a:t>
            </a:r>
          </a:p>
          <a:p>
            <a:pPr>
              <a:defRPr lang="pt-PT" sz="1100"/>
            </a:pPr>
            <a:r>
              <a:rPr lang="en-US" sz="1100" baseline="0"/>
              <a:t> South Cap Blanc 2015</a:t>
            </a:r>
            <a:endParaRPr lang="en-US" sz="11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4488407699037621E-2"/>
          <c:y val="8.5886175620452546E-2"/>
          <c:w val="0.88495603674540679"/>
          <c:h val="0.74965374264926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'Tab&amp;Fig4.5.1b  et c'!$AD$3</c:f>
              <c:strCache>
                <c:ptCount val="1"/>
                <c:pt idx="0">
                  <c:v>% Zone C S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8575"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numRef>
              <c:f>'Tab&amp;Fig4.5.1b  et c'!$W$4:$W$46</c:f>
              <c:numCache>
                <c:formatCode>General</c:formatCode>
                <c:ptCount val="43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 formatCode="0">
                  <c:v>17</c:v>
                </c:pt>
                <c:pt idx="13" formatCode="0">
                  <c:v>18</c:v>
                </c:pt>
                <c:pt idx="14" formatCode="0">
                  <c:v>19</c:v>
                </c:pt>
                <c:pt idx="15" formatCode="0">
                  <c:v>20</c:v>
                </c:pt>
                <c:pt idx="16" formatCode="0">
                  <c:v>21</c:v>
                </c:pt>
                <c:pt idx="17" formatCode="0">
                  <c:v>22</c:v>
                </c:pt>
                <c:pt idx="18" formatCode="0">
                  <c:v>23</c:v>
                </c:pt>
                <c:pt idx="19" formatCode="0">
                  <c:v>24</c:v>
                </c:pt>
                <c:pt idx="20" formatCode="0">
                  <c:v>25</c:v>
                </c:pt>
                <c:pt idx="21" formatCode="0">
                  <c:v>26</c:v>
                </c:pt>
                <c:pt idx="22" formatCode="0">
                  <c:v>27</c:v>
                </c:pt>
                <c:pt idx="23" formatCode="0">
                  <c:v>28</c:v>
                </c:pt>
                <c:pt idx="24" formatCode="0">
                  <c:v>29</c:v>
                </c:pt>
                <c:pt idx="25" formatCode="0">
                  <c:v>30</c:v>
                </c:pt>
                <c:pt idx="26" formatCode="0">
                  <c:v>31</c:v>
                </c:pt>
                <c:pt idx="27" formatCode="0">
                  <c:v>32</c:v>
                </c:pt>
                <c:pt idx="28" formatCode="0">
                  <c:v>33</c:v>
                </c:pt>
                <c:pt idx="29" formatCode="0">
                  <c:v>34</c:v>
                </c:pt>
                <c:pt idx="30" formatCode="0">
                  <c:v>35</c:v>
                </c:pt>
                <c:pt idx="31" formatCode="0">
                  <c:v>36</c:v>
                </c:pt>
                <c:pt idx="32" formatCode="0">
                  <c:v>37</c:v>
                </c:pt>
                <c:pt idx="33" formatCode="0">
                  <c:v>38</c:v>
                </c:pt>
                <c:pt idx="34" formatCode="0">
                  <c:v>39</c:v>
                </c:pt>
                <c:pt idx="35" formatCode="0">
                  <c:v>40</c:v>
                </c:pt>
                <c:pt idx="36" formatCode="0">
                  <c:v>41</c:v>
                </c:pt>
                <c:pt idx="37" formatCode="0">
                  <c:v>42</c:v>
                </c:pt>
                <c:pt idx="38" formatCode="0">
                  <c:v>43</c:v>
                </c:pt>
                <c:pt idx="39" formatCode="0">
                  <c:v>44</c:v>
                </c:pt>
                <c:pt idx="40" formatCode="0">
                  <c:v>45</c:v>
                </c:pt>
                <c:pt idx="41" formatCode="0">
                  <c:v>46</c:v>
                </c:pt>
                <c:pt idx="42" formatCode="0">
                  <c:v>47</c:v>
                </c:pt>
              </c:numCache>
            </c:numRef>
          </c:cat>
          <c:val>
            <c:numRef>
              <c:f>'Tab&amp;Fig4.5.1b  et c'!$AD$4:$AD$46</c:f>
              <c:numCache>
                <c:formatCode>0.00</c:formatCode>
                <c:ptCount val="43"/>
                <c:pt idx="12">
                  <c:v>0</c:v>
                </c:pt>
                <c:pt idx="13">
                  <c:v>0</c:v>
                </c:pt>
                <c:pt idx="14">
                  <c:v>2.8042234566777659E-2</c:v>
                </c:pt>
                <c:pt idx="15">
                  <c:v>0.37863982686232955</c:v>
                </c:pt>
                <c:pt idx="16">
                  <c:v>2.1287279542113775</c:v>
                </c:pt>
                <c:pt idx="17">
                  <c:v>4.4405474638613835</c:v>
                </c:pt>
                <c:pt idx="18">
                  <c:v>2.7775076054665</c:v>
                </c:pt>
                <c:pt idx="19">
                  <c:v>2.2007913332605109</c:v>
                </c:pt>
                <c:pt idx="20">
                  <c:v>2.522107310909051</c:v>
                </c:pt>
                <c:pt idx="21">
                  <c:v>4.8824932516881576</c:v>
                </c:pt>
                <c:pt idx="22">
                  <c:v>7.3130995560461498</c:v>
                </c:pt>
                <c:pt idx="23">
                  <c:v>9.5933001495075541</c:v>
                </c:pt>
                <c:pt idx="24">
                  <c:v>6.0851625086729095</c:v>
                </c:pt>
                <c:pt idx="25">
                  <c:v>6.5185281998873705</c:v>
                </c:pt>
                <c:pt idx="26">
                  <c:v>6.6709600570864502</c:v>
                </c:pt>
                <c:pt idx="27">
                  <c:v>7.909150642414092</c:v>
                </c:pt>
                <c:pt idx="28">
                  <c:v>7.4402196443879811</c:v>
                </c:pt>
                <c:pt idx="29">
                  <c:v>7.0421554813287335</c:v>
                </c:pt>
                <c:pt idx="30">
                  <c:v>7.1178071999102377</c:v>
                </c:pt>
                <c:pt idx="31">
                  <c:v>5.9119458088935151</c:v>
                </c:pt>
                <c:pt idx="32">
                  <c:v>5.1423646545627397</c:v>
                </c:pt>
                <c:pt idx="33">
                  <c:v>2.2784841247985992</c:v>
                </c:pt>
                <c:pt idx="34">
                  <c:v>1.0082456284410406</c:v>
                </c:pt>
                <c:pt idx="35">
                  <c:v>0.40693390331004414</c:v>
                </c:pt>
                <c:pt idx="36">
                  <c:v>0.11848129142443395</c:v>
                </c:pt>
                <c:pt idx="37">
                  <c:v>2.858182265441836E-2</c:v>
                </c:pt>
                <c:pt idx="38">
                  <c:v>1.0617211192228625E-2</c:v>
                </c:pt>
                <c:pt idx="39">
                  <c:v>1.4202375470052493E-2</c:v>
                </c:pt>
                <c:pt idx="40">
                  <c:v>2.367226541757686E-2</c:v>
                </c:pt>
                <c:pt idx="41">
                  <c:v>0</c:v>
                </c:pt>
                <c:pt idx="42">
                  <c:v>7.2304937677845817E-3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6-4749-95A4-B96C15A9D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93440640"/>
        <c:axId val="68621056"/>
      </c:barChart>
      <c:catAx>
        <c:axId val="93440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68621056"/>
        <c:crosses val="autoZero"/>
        <c:auto val="1"/>
        <c:lblAlgn val="ctr"/>
        <c:lblOffset val="100"/>
        <c:noMultiLvlLbl val="0"/>
      </c:catAx>
      <c:valAx>
        <c:axId val="6862105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344064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100"/>
            </a:pPr>
            <a:r>
              <a:rPr lang="en-US" sz="1100" i="1"/>
              <a:t>Trachurus trecae</a:t>
            </a:r>
          </a:p>
          <a:p>
            <a:pPr>
              <a:defRPr lang="pt-PT" sz="1100"/>
            </a:pPr>
            <a:r>
              <a:rPr lang="en-US" sz="1100" baseline="0"/>
              <a:t> Nord Cap Blanc 2016</a:t>
            </a:r>
            <a:endParaRPr lang="en-US" sz="1100"/>
          </a:p>
        </c:rich>
      </c:tx>
      <c:layout>
        <c:manualLayout>
          <c:xMode val="edge"/>
          <c:yMode val="edge"/>
          <c:x val="0.35670130286555185"/>
          <c:y val="2.553191831555285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0043982949252727E-2"/>
          <c:y val="6.563301106349051E-2"/>
          <c:w val="0.88495603674540679"/>
          <c:h val="0.74965374264926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'Tab&amp;Fig4.5.1b  et c'!$AC$3</c:f>
              <c:strCache>
                <c:ptCount val="1"/>
                <c:pt idx="0">
                  <c:v>% Zone C N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8575"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numRef>
              <c:f>'Tab&amp;Fig4.5.1b  et c'!$AO$6:$AO$56</c:f>
              <c:numCache>
                <c:formatCode>General</c:formatCode>
                <c:ptCount val="51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 formatCode="0">
                  <c:v>17</c:v>
                </c:pt>
                <c:pt idx="13" formatCode="0">
                  <c:v>18</c:v>
                </c:pt>
                <c:pt idx="14" formatCode="0">
                  <c:v>19</c:v>
                </c:pt>
                <c:pt idx="15" formatCode="0">
                  <c:v>20</c:v>
                </c:pt>
                <c:pt idx="16" formatCode="0">
                  <c:v>21</c:v>
                </c:pt>
                <c:pt idx="17" formatCode="0">
                  <c:v>22</c:v>
                </c:pt>
                <c:pt idx="18" formatCode="0">
                  <c:v>23</c:v>
                </c:pt>
                <c:pt idx="19" formatCode="0">
                  <c:v>24</c:v>
                </c:pt>
                <c:pt idx="20" formatCode="0">
                  <c:v>25</c:v>
                </c:pt>
                <c:pt idx="21" formatCode="0">
                  <c:v>26</c:v>
                </c:pt>
                <c:pt idx="22" formatCode="0">
                  <c:v>27</c:v>
                </c:pt>
                <c:pt idx="23" formatCode="0">
                  <c:v>28</c:v>
                </c:pt>
                <c:pt idx="24" formatCode="0">
                  <c:v>29</c:v>
                </c:pt>
                <c:pt idx="25" formatCode="0">
                  <c:v>30</c:v>
                </c:pt>
                <c:pt idx="26" formatCode="0">
                  <c:v>31</c:v>
                </c:pt>
                <c:pt idx="27" formatCode="0">
                  <c:v>32</c:v>
                </c:pt>
                <c:pt idx="28" formatCode="0">
                  <c:v>33</c:v>
                </c:pt>
                <c:pt idx="29" formatCode="0">
                  <c:v>34</c:v>
                </c:pt>
                <c:pt idx="30" formatCode="0">
                  <c:v>35</c:v>
                </c:pt>
                <c:pt idx="31" formatCode="0">
                  <c:v>36</c:v>
                </c:pt>
                <c:pt idx="32" formatCode="0">
                  <c:v>37</c:v>
                </c:pt>
                <c:pt idx="33" formatCode="0">
                  <c:v>38</c:v>
                </c:pt>
                <c:pt idx="34" formatCode="0">
                  <c:v>39</c:v>
                </c:pt>
                <c:pt idx="35" formatCode="0">
                  <c:v>40</c:v>
                </c:pt>
                <c:pt idx="36" formatCode="0">
                  <c:v>41</c:v>
                </c:pt>
                <c:pt idx="37" formatCode="0">
                  <c:v>42</c:v>
                </c:pt>
                <c:pt idx="38" formatCode="0">
                  <c:v>43</c:v>
                </c:pt>
                <c:pt idx="39" formatCode="0">
                  <c:v>44</c:v>
                </c:pt>
                <c:pt idx="40" formatCode="0">
                  <c:v>45</c:v>
                </c:pt>
                <c:pt idx="41" formatCode="0">
                  <c:v>46</c:v>
                </c:pt>
                <c:pt idx="42" formatCode="0">
                  <c:v>47</c:v>
                </c:pt>
                <c:pt idx="43" formatCode="0">
                  <c:v>48</c:v>
                </c:pt>
                <c:pt idx="44" formatCode="0">
                  <c:v>49</c:v>
                </c:pt>
                <c:pt idx="45" formatCode="0">
                  <c:v>50</c:v>
                </c:pt>
                <c:pt idx="46" formatCode="0">
                  <c:v>51</c:v>
                </c:pt>
                <c:pt idx="47" formatCode="0">
                  <c:v>52</c:v>
                </c:pt>
                <c:pt idx="48" formatCode="0">
                  <c:v>53</c:v>
                </c:pt>
                <c:pt idx="49" formatCode="0">
                  <c:v>54</c:v>
                </c:pt>
                <c:pt idx="50" formatCode="0">
                  <c:v>55</c:v>
                </c:pt>
              </c:numCache>
            </c:numRef>
          </c:cat>
          <c:val>
            <c:numRef>
              <c:f>'Tab&amp;Fig4.5.1b  et c'!$AT$6:$AT$56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1.3975020289530454E-3</c:v>
                </c:pt>
                <c:pt idx="9">
                  <c:v>4.5619467986153612E-3</c:v>
                </c:pt>
                <c:pt idx="10">
                  <c:v>4.647711768195892E-3</c:v>
                </c:pt>
                <c:pt idx="11">
                  <c:v>2.6087075345032464E-3</c:v>
                </c:pt>
                <c:pt idx="12">
                  <c:v>3.4453576329138174E-4</c:v>
                </c:pt>
                <c:pt idx="13">
                  <c:v>7.3056529835493733E-6</c:v>
                </c:pt>
                <c:pt idx="14">
                  <c:v>0</c:v>
                </c:pt>
                <c:pt idx="15">
                  <c:v>0</c:v>
                </c:pt>
                <c:pt idx="16">
                  <c:v>1.7396002517136016E-5</c:v>
                </c:pt>
                <c:pt idx="17">
                  <c:v>8.4985428394963262E-5</c:v>
                </c:pt>
                <c:pt idx="18">
                  <c:v>1.7346892277821891E-4</c:v>
                </c:pt>
                <c:pt idx="19">
                  <c:v>6.8360648630608808E-4</c:v>
                </c:pt>
                <c:pt idx="20">
                  <c:v>4.7179127270914889E-3</c:v>
                </c:pt>
                <c:pt idx="21">
                  <c:v>1.9755906662186098E-2</c:v>
                </c:pt>
                <c:pt idx="22">
                  <c:v>3.6915131574978194E-2</c:v>
                </c:pt>
                <c:pt idx="23">
                  <c:v>4.6633565376002092E-2</c:v>
                </c:pt>
                <c:pt idx="24">
                  <c:v>4.0222524749213832E-2</c:v>
                </c:pt>
                <c:pt idx="25">
                  <c:v>5.5150328274527843E-2</c:v>
                </c:pt>
                <c:pt idx="26">
                  <c:v>7.359118011709273E-2</c:v>
                </c:pt>
                <c:pt idx="27">
                  <c:v>8.6330607298404249E-2</c:v>
                </c:pt>
                <c:pt idx="28">
                  <c:v>8.6242797377204292E-2</c:v>
                </c:pt>
                <c:pt idx="29">
                  <c:v>8.9786587148646096E-2</c:v>
                </c:pt>
                <c:pt idx="30">
                  <c:v>0.10690655287759719</c:v>
                </c:pt>
                <c:pt idx="31">
                  <c:v>0.12320983277184182</c:v>
                </c:pt>
                <c:pt idx="32">
                  <c:v>9.2997669668865038E-2</c:v>
                </c:pt>
                <c:pt idx="33">
                  <c:v>6.2608019747775578E-2</c:v>
                </c:pt>
                <c:pt idx="34">
                  <c:v>3.3769235915345135E-2</c:v>
                </c:pt>
                <c:pt idx="35">
                  <c:v>1.6374988141640706E-2</c:v>
                </c:pt>
                <c:pt idx="36">
                  <c:v>7.2996528330789333E-3</c:v>
                </c:pt>
                <c:pt idx="37">
                  <c:v>1.9868109266912423E-3</c:v>
                </c:pt>
                <c:pt idx="38">
                  <c:v>7.0707690746372239E-4</c:v>
                </c:pt>
                <c:pt idx="39">
                  <c:v>4.0879564692186491E-5</c:v>
                </c:pt>
                <c:pt idx="40">
                  <c:v>0</c:v>
                </c:pt>
                <c:pt idx="41">
                  <c:v>2.2557295312272232E-4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1-754F-9058-CAD7D6C2F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68670208"/>
        <c:axId val="68672128"/>
      </c:barChart>
      <c:catAx>
        <c:axId val="68670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68672128"/>
        <c:crosses val="autoZero"/>
        <c:auto val="1"/>
        <c:lblAlgn val="ctr"/>
        <c:lblOffset val="100"/>
        <c:noMultiLvlLbl val="0"/>
      </c:catAx>
      <c:valAx>
        <c:axId val="6867212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6867020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100"/>
            </a:pPr>
            <a:r>
              <a:rPr lang="en-US" sz="1100"/>
              <a:t>Trachurus trecae</a:t>
            </a:r>
          </a:p>
          <a:p>
            <a:pPr>
              <a:defRPr lang="pt-PT" sz="1100"/>
            </a:pPr>
            <a:r>
              <a:rPr lang="en-US" sz="1100" baseline="0"/>
              <a:t> South Cap Blanc 2016</a:t>
            </a:r>
            <a:endParaRPr lang="en-US" sz="1100"/>
          </a:p>
        </c:rich>
      </c:tx>
      <c:layout>
        <c:manualLayout>
          <c:xMode val="edge"/>
          <c:yMode val="edge"/>
          <c:x val="0.55980545927503833"/>
          <c:y val="2.28462671088410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4488407699037621E-2"/>
          <c:y val="8.5886175620452546E-2"/>
          <c:w val="0.88495603674540679"/>
          <c:h val="0.749653742649262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'Tab&amp;Fig4.5.1b  et c'!$AD$3</c:f>
              <c:strCache>
                <c:ptCount val="1"/>
                <c:pt idx="0">
                  <c:v>% Zone C S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8575"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numRef>
              <c:f>'Tab&amp;Fig4.5.1b  et c'!$AO$6:$AO$56</c:f>
              <c:numCache>
                <c:formatCode>General</c:formatCode>
                <c:ptCount val="51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 formatCode="0">
                  <c:v>17</c:v>
                </c:pt>
                <c:pt idx="13" formatCode="0">
                  <c:v>18</c:v>
                </c:pt>
                <c:pt idx="14" formatCode="0">
                  <c:v>19</c:v>
                </c:pt>
                <c:pt idx="15" formatCode="0">
                  <c:v>20</c:v>
                </c:pt>
                <c:pt idx="16" formatCode="0">
                  <c:v>21</c:v>
                </c:pt>
                <c:pt idx="17" formatCode="0">
                  <c:v>22</c:v>
                </c:pt>
                <c:pt idx="18" formatCode="0">
                  <c:v>23</c:v>
                </c:pt>
                <c:pt idx="19" formatCode="0">
                  <c:v>24</c:v>
                </c:pt>
                <c:pt idx="20" formatCode="0">
                  <c:v>25</c:v>
                </c:pt>
                <c:pt idx="21" formatCode="0">
                  <c:v>26</c:v>
                </c:pt>
                <c:pt idx="22" formatCode="0">
                  <c:v>27</c:v>
                </c:pt>
                <c:pt idx="23" formatCode="0">
                  <c:v>28</c:v>
                </c:pt>
                <c:pt idx="24" formatCode="0">
                  <c:v>29</c:v>
                </c:pt>
                <c:pt idx="25" formatCode="0">
                  <c:v>30</c:v>
                </c:pt>
                <c:pt idx="26" formatCode="0">
                  <c:v>31</c:v>
                </c:pt>
                <c:pt idx="27" formatCode="0">
                  <c:v>32</c:v>
                </c:pt>
                <c:pt idx="28" formatCode="0">
                  <c:v>33</c:v>
                </c:pt>
                <c:pt idx="29" formatCode="0">
                  <c:v>34</c:v>
                </c:pt>
                <c:pt idx="30" formatCode="0">
                  <c:v>35</c:v>
                </c:pt>
                <c:pt idx="31" formatCode="0">
                  <c:v>36</c:v>
                </c:pt>
                <c:pt idx="32" formatCode="0">
                  <c:v>37</c:v>
                </c:pt>
                <c:pt idx="33" formatCode="0">
                  <c:v>38</c:v>
                </c:pt>
                <c:pt idx="34" formatCode="0">
                  <c:v>39</c:v>
                </c:pt>
                <c:pt idx="35" formatCode="0">
                  <c:v>40</c:v>
                </c:pt>
                <c:pt idx="36" formatCode="0">
                  <c:v>41</c:v>
                </c:pt>
                <c:pt idx="37" formatCode="0">
                  <c:v>42</c:v>
                </c:pt>
                <c:pt idx="38" formatCode="0">
                  <c:v>43</c:v>
                </c:pt>
                <c:pt idx="39" formatCode="0">
                  <c:v>44</c:v>
                </c:pt>
                <c:pt idx="40" formatCode="0">
                  <c:v>45</c:v>
                </c:pt>
                <c:pt idx="41" formatCode="0">
                  <c:v>46</c:v>
                </c:pt>
                <c:pt idx="42" formatCode="0">
                  <c:v>47</c:v>
                </c:pt>
                <c:pt idx="43" formatCode="0">
                  <c:v>48</c:v>
                </c:pt>
                <c:pt idx="44" formatCode="0">
                  <c:v>49</c:v>
                </c:pt>
                <c:pt idx="45" formatCode="0">
                  <c:v>50</c:v>
                </c:pt>
                <c:pt idx="46" formatCode="0">
                  <c:v>51</c:v>
                </c:pt>
                <c:pt idx="47" formatCode="0">
                  <c:v>52</c:v>
                </c:pt>
                <c:pt idx="48" formatCode="0">
                  <c:v>53</c:v>
                </c:pt>
                <c:pt idx="49" formatCode="0">
                  <c:v>54</c:v>
                </c:pt>
                <c:pt idx="50" formatCode="0">
                  <c:v>55</c:v>
                </c:pt>
              </c:numCache>
            </c:numRef>
          </c:cat>
          <c:val>
            <c:numRef>
              <c:f>'Tab&amp;Fig4.5.1b  et c'!$AU$6:$AU$56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2.3453869276243299E-3</c:v>
                </c:pt>
                <c:pt idx="6">
                  <c:v>1.3367638766283979E-4</c:v>
                </c:pt>
                <c:pt idx="7">
                  <c:v>2.8817956124591307E-6</c:v>
                </c:pt>
                <c:pt idx="8">
                  <c:v>0</c:v>
                </c:pt>
                <c:pt idx="9">
                  <c:v>1.1194290997434675E-6</c:v>
                </c:pt>
                <c:pt idx="10">
                  <c:v>0</c:v>
                </c:pt>
                <c:pt idx="11">
                  <c:v>5.9982986396629852E-5</c:v>
                </c:pt>
                <c:pt idx="12">
                  <c:v>7.1740715031379633E-4</c:v>
                </c:pt>
                <c:pt idx="13">
                  <c:v>1.4269725486761881E-3</c:v>
                </c:pt>
                <c:pt idx="14">
                  <c:v>2.7076391847014989E-3</c:v>
                </c:pt>
                <c:pt idx="15">
                  <c:v>5.7360715518630914E-3</c:v>
                </c:pt>
                <c:pt idx="16">
                  <c:v>3.5184046571143479E-3</c:v>
                </c:pt>
                <c:pt idx="17">
                  <c:v>2.2532887128269377E-3</c:v>
                </c:pt>
                <c:pt idx="18">
                  <c:v>9.4902890442924242E-4</c:v>
                </c:pt>
                <c:pt idx="19">
                  <c:v>2.4647316651997546E-3</c:v>
                </c:pt>
                <c:pt idx="20">
                  <c:v>1.0103903350606198E-2</c:v>
                </c:pt>
                <c:pt idx="21">
                  <c:v>3.3296291368804451E-2</c:v>
                </c:pt>
                <c:pt idx="22">
                  <c:v>7.909095369060383E-2</c:v>
                </c:pt>
                <c:pt idx="23">
                  <c:v>0.11241447854761502</c:v>
                </c:pt>
                <c:pt idx="24">
                  <c:v>9.9618209796181564E-2</c:v>
                </c:pt>
                <c:pt idx="25">
                  <c:v>8.4596465829314779E-2</c:v>
                </c:pt>
                <c:pt idx="26">
                  <c:v>5.9458137286774224E-2</c:v>
                </c:pt>
                <c:pt idx="27">
                  <c:v>5.0091714860273771E-2</c:v>
                </c:pt>
                <c:pt idx="28">
                  <c:v>5.0187774310495162E-2</c:v>
                </c:pt>
                <c:pt idx="29">
                  <c:v>5.5808809417254773E-2</c:v>
                </c:pt>
                <c:pt idx="30">
                  <c:v>6.6396672273817167E-2</c:v>
                </c:pt>
                <c:pt idx="31">
                  <c:v>6.9215962194254521E-2</c:v>
                </c:pt>
                <c:pt idx="32">
                  <c:v>5.2722937043309534E-2</c:v>
                </c:pt>
                <c:pt idx="33">
                  <c:v>4.3709740001393292E-2</c:v>
                </c:pt>
                <c:pt idx="34">
                  <c:v>3.8334096607707049E-2</c:v>
                </c:pt>
                <c:pt idx="35">
                  <c:v>2.8577190987599876E-2</c:v>
                </c:pt>
                <c:pt idx="36">
                  <c:v>1.6026364197412171E-2</c:v>
                </c:pt>
                <c:pt idx="37">
                  <c:v>1.138571186300609E-2</c:v>
                </c:pt>
                <c:pt idx="38">
                  <c:v>6.5567880880710982E-3</c:v>
                </c:pt>
                <c:pt idx="39">
                  <c:v>3.1378150909000084E-3</c:v>
                </c:pt>
                <c:pt idx="40">
                  <c:v>3.196524746854609E-3</c:v>
                </c:pt>
                <c:pt idx="41">
                  <c:v>1.5203419775142962E-3</c:v>
                </c:pt>
                <c:pt idx="42">
                  <c:v>8.7747186874633475E-4</c:v>
                </c:pt>
                <c:pt idx="43">
                  <c:v>6.9996125794971403E-4</c:v>
                </c:pt>
                <c:pt idx="44">
                  <c:v>2.0441986812036331E-4</c:v>
                </c:pt>
                <c:pt idx="45">
                  <c:v>2.5686139736469718E-4</c:v>
                </c:pt>
                <c:pt idx="46">
                  <c:v>1.1252910652822276E-4</c:v>
                </c:pt>
                <c:pt idx="47">
                  <c:v>3.9103574562976564E-5</c:v>
                </c:pt>
                <c:pt idx="48">
                  <c:v>0</c:v>
                </c:pt>
                <c:pt idx="49">
                  <c:v>3.0784996962147388E-5</c:v>
                </c:pt>
                <c:pt idx="50">
                  <c:v>1.5392498481073694E-5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7D-934E-842B-19D80A059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83299328"/>
        <c:axId val="83330176"/>
      </c:barChart>
      <c:catAx>
        <c:axId val="83299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83330176"/>
        <c:crosses val="autoZero"/>
        <c:auto val="1"/>
        <c:lblAlgn val="ctr"/>
        <c:lblOffset val="100"/>
        <c:noMultiLvlLbl val="0"/>
      </c:catAx>
      <c:valAx>
        <c:axId val="8333017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8329932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100"/>
            </a:pPr>
            <a:r>
              <a:rPr lang="en-US" sz="1100" i="1"/>
              <a:t>Trachurus trecae</a:t>
            </a:r>
          </a:p>
          <a:p>
            <a:pPr>
              <a:defRPr lang="pt-PT" sz="1100"/>
            </a:pPr>
            <a:r>
              <a:rPr lang="en-US" sz="1100" baseline="0"/>
              <a:t> Nord Cap Blanc 2017</a:t>
            </a:r>
            <a:endParaRPr lang="en-US" sz="1100"/>
          </a:p>
        </c:rich>
      </c:tx>
      <c:layout>
        <c:manualLayout>
          <c:xMode val="edge"/>
          <c:yMode val="edge"/>
          <c:x val="0.35670130286555185"/>
          <c:y val="2.553191831555285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0043982949252727E-2"/>
          <c:y val="6.563301106349051E-2"/>
          <c:w val="0.88495603674540679"/>
          <c:h val="0.74965374264926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'Tab&amp;Fig4.5.1b  et c'!$AC$3</c:f>
              <c:strCache>
                <c:ptCount val="1"/>
                <c:pt idx="0">
                  <c:v>% Zone C N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8575"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numRef>
              <c:f>'Tab&amp;Fig4.5.1b  et c'!$BV$6:$BV$51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 formatCode="0">
                  <c:v>17</c:v>
                </c:pt>
                <c:pt idx="13" formatCode="0">
                  <c:v>18</c:v>
                </c:pt>
                <c:pt idx="14" formatCode="0">
                  <c:v>19</c:v>
                </c:pt>
                <c:pt idx="15" formatCode="0">
                  <c:v>20</c:v>
                </c:pt>
                <c:pt idx="16" formatCode="0">
                  <c:v>21</c:v>
                </c:pt>
                <c:pt idx="17" formatCode="0">
                  <c:v>22</c:v>
                </c:pt>
                <c:pt idx="18" formatCode="0">
                  <c:v>23</c:v>
                </c:pt>
                <c:pt idx="19" formatCode="0">
                  <c:v>24</c:v>
                </c:pt>
                <c:pt idx="20" formatCode="0">
                  <c:v>25</c:v>
                </c:pt>
                <c:pt idx="21" formatCode="0">
                  <c:v>26</c:v>
                </c:pt>
                <c:pt idx="22" formatCode="0">
                  <c:v>27</c:v>
                </c:pt>
                <c:pt idx="23" formatCode="0">
                  <c:v>28</c:v>
                </c:pt>
                <c:pt idx="24" formatCode="0">
                  <c:v>29</c:v>
                </c:pt>
                <c:pt idx="25" formatCode="0">
                  <c:v>30</c:v>
                </c:pt>
                <c:pt idx="26" formatCode="0">
                  <c:v>31</c:v>
                </c:pt>
                <c:pt idx="27" formatCode="0">
                  <c:v>32</c:v>
                </c:pt>
                <c:pt idx="28" formatCode="0">
                  <c:v>33</c:v>
                </c:pt>
                <c:pt idx="29" formatCode="0">
                  <c:v>34</c:v>
                </c:pt>
                <c:pt idx="30" formatCode="0">
                  <c:v>35</c:v>
                </c:pt>
                <c:pt idx="31" formatCode="0">
                  <c:v>36</c:v>
                </c:pt>
                <c:pt idx="32" formatCode="0">
                  <c:v>37</c:v>
                </c:pt>
                <c:pt idx="33" formatCode="0">
                  <c:v>38</c:v>
                </c:pt>
                <c:pt idx="34" formatCode="0">
                  <c:v>39</c:v>
                </c:pt>
                <c:pt idx="35" formatCode="0">
                  <c:v>40</c:v>
                </c:pt>
                <c:pt idx="36" formatCode="0">
                  <c:v>41</c:v>
                </c:pt>
                <c:pt idx="37" formatCode="0">
                  <c:v>42</c:v>
                </c:pt>
                <c:pt idx="38" formatCode="0">
                  <c:v>43</c:v>
                </c:pt>
                <c:pt idx="39" formatCode="0">
                  <c:v>44</c:v>
                </c:pt>
                <c:pt idx="40" formatCode="0">
                  <c:v>45</c:v>
                </c:pt>
                <c:pt idx="41" formatCode="0">
                  <c:v>46</c:v>
                </c:pt>
                <c:pt idx="42" formatCode="0">
                  <c:v>47</c:v>
                </c:pt>
                <c:pt idx="43" formatCode="0">
                  <c:v>48</c:v>
                </c:pt>
                <c:pt idx="44" formatCode="0">
                  <c:v>49</c:v>
                </c:pt>
                <c:pt idx="45" formatCode="0">
                  <c:v>50</c:v>
                </c:pt>
              </c:numCache>
            </c:numRef>
          </c:cat>
          <c:val>
            <c:numRef>
              <c:f>'Tab&amp;Fig4.5.1b  et c'!$BY$6:$BY$51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9.1143052240639336E-5</c:v>
                </c:pt>
                <c:pt idx="11">
                  <c:v>8.4967276341009013E-4</c:v>
                </c:pt>
                <c:pt idx="12">
                  <c:v>1.8173167799883725E-3</c:v>
                </c:pt>
                <c:pt idx="13">
                  <c:v>2.13001358779233E-3</c:v>
                </c:pt>
                <c:pt idx="14">
                  <c:v>5.0464228918555591E-3</c:v>
                </c:pt>
                <c:pt idx="15">
                  <c:v>1.1849256012142066E-2</c:v>
                </c:pt>
                <c:pt idx="16">
                  <c:v>3.1581899255052719E-2</c:v>
                </c:pt>
                <c:pt idx="17">
                  <c:v>3.9213372959681907E-2</c:v>
                </c:pt>
                <c:pt idx="18">
                  <c:v>4.4661679541019392E-2</c:v>
                </c:pt>
                <c:pt idx="19">
                  <c:v>8.3908417241233338E-2</c:v>
                </c:pt>
                <c:pt idx="20">
                  <c:v>0.12880537259140834</c:v>
                </c:pt>
                <c:pt idx="21">
                  <c:v>0.194401045256855</c:v>
                </c:pt>
                <c:pt idx="22">
                  <c:v>0.20988204712752687</c:v>
                </c:pt>
                <c:pt idx="23">
                  <c:v>0.11336491241362354</c:v>
                </c:pt>
                <c:pt idx="24">
                  <c:v>5.0827082832551614E-2</c:v>
                </c:pt>
                <c:pt idx="25">
                  <c:v>1.5711528360422694E-2</c:v>
                </c:pt>
                <c:pt idx="26">
                  <c:v>9.0159460603374247E-3</c:v>
                </c:pt>
                <c:pt idx="27">
                  <c:v>6.9946184227858161E-3</c:v>
                </c:pt>
                <c:pt idx="28">
                  <c:v>9.1178839073461689E-3</c:v>
                </c:pt>
                <c:pt idx="29">
                  <c:v>3.5038851175033278E-3</c:v>
                </c:pt>
                <c:pt idx="30">
                  <c:v>4.6433451352574503E-3</c:v>
                </c:pt>
                <c:pt idx="31">
                  <c:v>5.7309338687026616E-3</c:v>
                </c:pt>
                <c:pt idx="32">
                  <c:v>6.0248997422667153E-3</c:v>
                </c:pt>
                <c:pt idx="33">
                  <c:v>6.2575474595085671E-3</c:v>
                </c:pt>
                <c:pt idx="34">
                  <c:v>6.2537794917432547E-3</c:v>
                </c:pt>
                <c:pt idx="35">
                  <c:v>3.5113967878332799E-3</c:v>
                </c:pt>
                <c:pt idx="36">
                  <c:v>3.4186444149365888E-3</c:v>
                </c:pt>
                <c:pt idx="37">
                  <c:v>8.3156215498457562E-4</c:v>
                </c:pt>
                <c:pt idx="38">
                  <c:v>2.7718738499485861E-4</c:v>
                </c:pt>
                <c:pt idx="39">
                  <c:v>2.771873849948585E-4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03-3E49-9F2F-1259B34A3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83339136"/>
        <c:axId val="93458432"/>
      </c:barChart>
      <c:catAx>
        <c:axId val="83339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3458432"/>
        <c:crosses val="autoZero"/>
        <c:auto val="1"/>
        <c:lblAlgn val="ctr"/>
        <c:lblOffset val="100"/>
        <c:noMultiLvlLbl val="0"/>
      </c:catAx>
      <c:valAx>
        <c:axId val="9345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8333913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100"/>
            </a:pPr>
            <a:r>
              <a:rPr lang="en-US" sz="1100"/>
              <a:t>Trachurus trecae</a:t>
            </a:r>
          </a:p>
          <a:p>
            <a:pPr>
              <a:defRPr lang="pt-PT" sz="1100"/>
            </a:pPr>
            <a:r>
              <a:rPr lang="en-US" sz="1100" baseline="0"/>
              <a:t> South Cap Blanc 2017</a:t>
            </a:r>
            <a:endParaRPr lang="en-US" sz="1100"/>
          </a:p>
        </c:rich>
      </c:tx>
      <c:layout>
        <c:manualLayout>
          <c:xMode val="edge"/>
          <c:yMode val="edge"/>
          <c:x val="0.30639932476531345"/>
          <c:y val="2.77143703730962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4488407699037621E-2"/>
          <c:y val="8.5886175620452546E-2"/>
          <c:w val="0.88495603674540679"/>
          <c:h val="0.749653742649262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'Tab&amp;Fig4.5.1b  et c'!$AD$3</c:f>
              <c:strCache>
                <c:ptCount val="1"/>
                <c:pt idx="0">
                  <c:v>% Zone C S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8575"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numRef>
              <c:f>'Tab&amp;Fig4.5.1b  et c'!$AO$6:$AO$56</c:f>
              <c:numCache>
                <c:formatCode>General</c:formatCode>
                <c:ptCount val="51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 formatCode="0">
                  <c:v>17</c:v>
                </c:pt>
                <c:pt idx="13" formatCode="0">
                  <c:v>18</c:v>
                </c:pt>
                <c:pt idx="14" formatCode="0">
                  <c:v>19</c:v>
                </c:pt>
                <c:pt idx="15" formatCode="0">
                  <c:v>20</c:v>
                </c:pt>
                <c:pt idx="16" formatCode="0">
                  <c:v>21</c:v>
                </c:pt>
                <c:pt idx="17" formatCode="0">
                  <c:v>22</c:v>
                </c:pt>
                <c:pt idx="18" formatCode="0">
                  <c:v>23</c:v>
                </c:pt>
                <c:pt idx="19" formatCode="0">
                  <c:v>24</c:v>
                </c:pt>
                <c:pt idx="20" formatCode="0">
                  <c:v>25</c:v>
                </c:pt>
                <c:pt idx="21" formatCode="0">
                  <c:v>26</c:v>
                </c:pt>
                <c:pt idx="22" formatCode="0">
                  <c:v>27</c:v>
                </c:pt>
                <c:pt idx="23" formatCode="0">
                  <c:v>28</c:v>
                </c:pt>
                <c:pt idx="24" formatCode="0">
                  <c:v>29</c:v>
                </c:pt>
                <c:pt idx="25" formatCode="0">
                  <c:v>30</c:v>
                </c:pt>
                <c:pt idx="26" formatCode="0">
                  <c:v>31</c:v>
                </c:pt>
                <c:pt idx="27" formatCode="0">
                  <c:v>32</c:v>
                </c:pt>
                <c:pt idx="28" formatCode="0">
                  <c:v>33</c:v>
                </c:pt>
                <c:pt idx="29" formatCode="0">
                  <c:v>34</c:v>
                </c:pt>
                <c:pt idx="30" formatCode="0">
                  <c:v>35</c:v>
                </c:pt>
                <c:pt idx="31" formatCode="0">
                  <c:v>36</c:v>
                </c:pt>
                <c:pt idx="32" formatCode="0">
                  <c:v>37</c:v>
                </c:pt>
                <c:pt idx="33" formatCode="0">
                  <c:v>38</c:v>
                </c:pt>
                <c:pt idx="34" formatCode="0">
                  <c:v>39</c:v>
                </c:pt>
                <c:pt idx="35" formatCode="0">
                  <c:v>40</c:v>
                </c:pt>
                <c:pt idx="36" formatCode="0">
                  <c:v>41</c:v>
                </c:pt>
                <c:pt idx="37" formatCode="0">
                  <c:v>42</c:v>
                </c:pt>
                <c:pt idx="38" formatCode="0">
                  <c:v>43</c:v>
                </c:pt>
                <c:pt idx="39" formatCode="0">
                  <c:v>44</c:v>
                </c:pt>
                <c:pt idx="40" formatCode="0">
                  <c:v>45</c:v>
                </c:pt>
                <c:pt idx="41" formatCode="0">
                  <c:v>46</c:v>
                </c:pt>
                <c:pt idx="42" formatCode="0">
                  <c:v>47</c:v>
                </c:pt>
                <c:pt idx="43" formatCode="0">
                  <c:v>48</c:v>
                </c:pt>
                <c:pt idx="44" formatCode="0">
                  <c:v>49</c:v>
                </c:pt>
                <c:pt idx="45" formatCode="0">
                  <c:v>50</c:v>
                </c:pt>
                <c:pt idx="46" formatCode="0">
                  <c:v>51</c:v>
                </c:pt>
                <c:pt idx="47" formatCode="0">
                  <c:v>52</c:v>
                </c:pt>
                <c:pt idx="48" formatCode="0">
                  <c:v>53</c:v>
                </c:pt>
                <c:pt idx="49" formatCode="0">
                  <c:v>54</c:v>
                </c:pt>
                <c:pt idx="50" formatCode="0">
                  <c:v>55</c:v>
                </c:pt>
              </c:numCache>
            </c:numRef>
          </c:cat>
          <c:val>
            <c:numRef>
              <c:f>'Tab&amp;Fig4.5.1b  et c'!$BK$6:$BK$56</c:f>
              <c:numCache>
                <c:formatCode>General</c:formatCode>
                <c:ptCount val="51"/>
                <c:pt idx="9">
                  <c:v>1.3931915912788841E-4</c:v>
                </c:pt>
                <c:pt idx="10">
                  <c:v>0</c:v>
                </c:pt>
                <c:pt idx="11">
                  <c:v>6.7813044853317652E-4</c:v>
                </c:pt>
                <c:pt idx="12">
                  <c:v>9.5246165336835813E-3</c:v>
                </c:pt>
                <c:pt idx="13">
                  <c:v>4.5674805017790393E-2</c:v>
                </c:pt>
                <c:pt idx="14">
                  <c:v>6.3029116836140597E-2</c:v>
                </c:pt>
                <c:pt idx="15">
                  <c:v>4.163617946196823E-2</c:v>
                </c:pt>
                <c:pt idx="16">
                  <c:v>2.3958874105221985E-2</c:v>
                </c:pt>
                <c:pt idx="17">
                  <c:v>1.3756276032814182E-2</c:v>
                </c:pt>
                <c:pt idx="18">
                  <c:v>5.6353823922469437E-3</c:v>
                </c:pt>
                <c:pt idx="19">
                  <c:v>2.7902385189236341E-3</c:v>
                </c:pt>
                <c:pt idx="20">
                  <c:v>1.5861700007982237E-3</c:v>
                </c:pt>
                <c:pt idx="21">
                  <c:v>6.5063464797669905E-3</c:v>
                </c:pt>
                <c:pt idx="22">
                  <c:v>2.3358533382088618E-2</c:v>
                </c:pt>
                <c:pt idx="23">
                  <c:v>4.1885396920182429E-2</c:v>
                </c:pt>
                <c:pt idx="24">
                  <c:v>4.1845656078478198E-2</c:v>
                </c:pt>
                <c:pt idx="25">
                  <c:v>5.5649647711534134E-2</c:v>
                </c:pt>
                <c:pt idx="26">
                  <c:v>6.0209742032538836E-2</c:v>
                </c:pt>
                <c:pt idx="27">
                  <c:v>7.5746125450267821E-2</c:v>
                </c:pt>
                <c:pt idx="28">
                  <c:v>6.8964718846690962E-2</c:v>
                </c:pt>
                <c:pt idx="29">
                  <c:v>7.3589455132298101E-2</c:v>
                </c:pt>
                <c:pt idx="30">
                  <c:v>8.1936495708692061E-2</c:v>
                </c:pt>
                <c:pt idx="31">
                  <c:v>6.2497151192912083E-2</c:v>
                </c:pt>
                <c:pt idx="32">
                  <c:v>6.7748435034480539E-2</c:v>
                </c:pt>
                <c:pt idx="33">
                  <c:v>5.3222615914087223E-2</c:v>
                </c:pt>
                <c:pt idx="34">
                  <c:v>3.4942216257950347E-2</c:v>
                </c:pt>
                <c:pt idx="35">
                  <c:v>2.4745473134449122E-2</c:v>
                </c:pt>
                <c:pt idx="36">
                  <c:v>9.2699987295712834E-3</c:v>
                </c:pt>
                <c:pt idx="37">
                  <c:v>3.7061526644559121E-3</c:v>
                </c:pt>
                <c:pt idx="38">
                  <c:v>2.6780094394672671E-3</c:v>
                </c:pt>
                <c:pt idx="39">
                  <c:v>9.3888967277394229E-4</c:v>
                </c:pt>
                <c:pt idx="40">
                  <c:v>1.6091420344527267E-3</c:v>
                </c:pt>
                <c:pt idx="41">
                  <c:v>3.292461381130489E-5</c:v>
                </c:pt>
                <c:pt idx="42">
                  <c:v>0</c:v>
                </c:pt>
                <c:pt idx="43">
                  <c:v>5.0776506180141661E-4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6-B14A-BC0F-5BAD254AE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93486464"/>
        <c:axId val="93496832"/>
      </c:barChart>
      <c:catAx>
        <c:axId val="93486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3496832"/>
        <c:crosses val="autoZero"/>
        <c:auto val="1"/>
        <c:lblAlgn val="ctr"/>
        <c:lblOffset val="100"/>
        <c:noMultiLvlLbl val="0"/>
      </c:catAx>
      <c:valAx>
        <c:axId val="934968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348646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100"/>
            </a:pPr>
            <a:r>
              <a:rPr lang="en-US" sz="1100" i="1"/>
              <a:t>Trachurus trecae</a:t>
            </a:r>
          </a:p>
          <a:p>
            <a:pPr>
              <a:defRPr lang="pt-PT" sz="1100"/>
            </a:pPr>
            <a:r>
              <a:rPr lang="en-US" sz="1100" baseline="0"/>
              <a:t> Nord Cap Blanc 2018</a:t>
            </a:r>
            <a:endParaRPr lang="en-US" sz="1100"/>
          </a:p>
        </c:rich>
      </c:tx>
      <c:layout>
        <c:manualLayout>
          <c:xMode val="edge"/>
          <c:yMode val="edge"/>
          <c:x val="0.35670130286555185"/>
          <c:y val="2.553191831555285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0043982949252727E-2"/>
          <c:y val="6.563301106349051E-2"/>
          <c:w val="0.88495603674540679"/>
          <c:h val="0.74965374264926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'Tab&amp;Fig4.5.1b  et c'!$AC$3</c:f>
              <c:strCache>
                <c:ptCount val="1"/>
                <c:pt idx="0">
                  <c:v>% Zone C N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8575"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numRef>
              <c:f>'Tab&amp;Fig4.5.1b  et c'!$AO$6:$AO$56</c:f>
              <c:numCache>
                <c:formatCode>General</c:formatCode>
                <c:ptCount val="51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 formatCode="0">
                  <c:v>17</c:v>
                </c:pt>
                <c:pt idx="13" formatCode="0">
                  <c:v>18</c:v>
                </c:pt>
                <c:pt idx="14" formatCode="0">
                  <c:v>19</c:v>
                </c:pt>
                <c:pt idx="15" formatCode="0">
                  <c:v>20</c:v>
                </c:pt>
                <c:pt idx="16" formatCode="0">
                  <c:v>21</c:v>
                </c:pt>
                <c:pt idx="17" formatCode="0">
                  <c:v>22</c:v>
                </c:pt>
                <c:pt idx="18" formatCode="0">
                  <c:v>23</c:v>
                </c:pt>
                <c:pt idx="19" formatCode="0">
                  <c:v>24</c:v>
                </c:pt>
                <c:pt idx="20" formatCode="0">
                  <c:v>25</c:v>
                </c:pt>
                <c:pt idx="21" formatCode="0">
                  <c:v>26</c:v>
                </c:pt>
                <c:pt idx="22" formatCode="0">
                  <c:v>27</c:v>
                </c:pt>
                <c:pt idx="23" formatCode="0">
                  <c:v>28</c:v>
                </c:pt>
                <c:pt idx="24" formatCode="0">
                  <c:v>29</c:v>
                </c:pt>
                <c:pt idx="25" formatCode="0">
                  <c:v>30</c:v>
                </c:pt>
                <c:pt idx="26" formatCode="0">
                  <c:v>31</c:v>
                </c:pt>
                <c:pt idx="27" formatCode="0">
                  <c:v>32</c:v>
                </c:pt>
                <c:pt idx="28" formatCode="0">
                  <c:v>33</c:v>
                </c:pt>
                <c:pt idx="29" formatCode="0">
                  <c:v>34</c:v>
                </c:pt>
                <c:pt idx="30" formatCode="0">
                  <c:v>35</c:v>
                </c:pt>
                <c:pt idx="31" formatCode="0">
                  <c:v>36</c:v>
                </c:pt>
                <c:pt idx="32" formatCode="0">
                  <c:v>37</c:v>
                </c:pt>
                <c:pt idx="33" formatCode="0">
                  <c:v>38</c:v>
                </c:pt>
                <c:pt idx="34" formatCode="0">
                  <c:v>39</c:v>
                </c:pt>
                <c:pt idx="35" formatCode="0">
                  <c:v>40</c:v>
                </c:pt>
                <c:pt idx="36" formatCode="0">
                  <c:v>41</c:v>
                </c:pt>
                <c:pt idx="37" formatCode="0">
                  <c:v>42</c:v>
                </c:pt>
                <c:pt idx="38" formatCode="0">
                  <c:v>43</c:v>
                </c:pt>
                <c:pt idx="39" formatCode="0">
                  <c:v>44</c:v>
                </c:pt>
                <c:pt idx="40" formatCode="0">
                  <c:v>45</c:v>
                </c:pt>
                <c:pt idx="41" formatCode="0">
                  <c:v>46</c:v>
                </c:pt>
                <c:pt idx="42" formatCode="0">
                  <c:v>47</c:v>
                </c:pt>
                <c:pt idx="43" formatCode="0">
                  <c:v>48</c:v>
                </c:pt>
                <c:pt idx="44" formatCode="0">
                  <c:v>49</c:v>
                </c:pt>
                <c:pt idx="45" formatCode="0">
                  <c:v>50</c:v>
                </c:pt>
                <c:pt idx="46" formatCode="0">
                  <c:v>51</c:v>
                </c:pt>
                <c:pt idx="47" formatCode="0">
                  <c:v>52</c:v>
                </c:pt>
                <c:pt idx="48" formatCode="0">
                  <c:v>53</c:v>
                </c:pt>
                <c:pt idx="49" formatCode="0">
                  <c:v>54</c:v>
                </c:pt>
                <c:pt idx="50" formatCode="0">
                  <c:v>55</c:v>
                </c:pt>
              </c:numCache>
            </c:numRef>
          </c:cat>
          <c:val>
            <c:numRef>
              <c:f>'Tab&amp;Fig4.5.1b  et c'!$BJ$6:$BJ$56</c:f>
              <c:numCache>
                <c:formatCode>General</c:formatCode>
                <c:ptCount val="51"/>
                <c:pt idx="7">
                  <c:v>5.7945000619411086E-5</c:v>
                </c:pt>
                <c:pt idx="8">
                  <c:v>1.3586586713031229E-3</c:v>
                </c:pt>
                <c:pt idx="9">
                  <c:v>3.7592783247901988E-2</c:v>
                </c:pt>
                <c:pt idx="10">
                  <c:v>0.11439642656298546</c:v>
                </c:pt>
                <c:pt idx="11">
                  <c:v>0.1104070233409481</c:v>
                </c:pt>
                <c:pt idx="12">
                  <c:v>5.8236509982916573E-2</c:v>
                </c:pt>
                <c:pt idx="13">
                  <c:v>3.0647261819534626E-2</c:v>
                </c:pt>
                <c:pt idx="14">
                  <c:v>2.6816786299636089E-2</c:v>
                </c:pt>
                <c:pt idx="15">
                  <c:v>5.1970722020277735E-2</c:v>
                </c:pt>
                <c:pt idx="16">
                  <c:v>6.0301673148148237E-2</c:v>
                </c:pt>
                <c:pt idx="17">
                  <c:v>4.629196378184805E-2</c:v>
                </c:pt>
                <c:pt idx="18">
                  <c:v>1.8388688802936825E-2</c:v>
                </c:pt>
                <c:pt idx="19">
                  <c:v>7.9607873184682331E-3</c:v>
                </c:pt>
                <c:pt idx="20">
                  <c:v>3.7905596285800172E-3</c:v>
                </c:pt>
                <c:pt idx="21">
                  <c:v>3.0751112585275012E-3</c:v>
                </c:pt>
                <c:pt idx="22">
                  <c:v>7.6297361383764308E-3</c:v>
                </c:pt>
                <c:pt idx="23">
                  <c:v>1.1263173943762216E-2</c:v>
                </c:pt>
                <c:pt idx="24">
                  <c:v>1.3421305752025272E-2</c:v>
                </c:pt>
                <c:pt idx="25">
                  <c:v>2.1632039432530129E-2</c:v>
                </c:pt>
                <c:pt idx="26">
                  <c:v>2.7085085995543028E-2</c:v>
                </c:pt>
                <c:pt idx="27">
                  <c:v>3.7205547468751689E-2</c:v>
                </c:pt>
                <c:pt idx="28">
                  <c:v>3.8012308216509472E-2</c:v>
                </c:pt>
                <c:pt idx="29">
                  <c:v>4.2783983663931067E-2</c:v>
                </c:pt>
                <c:pt idx="30">
                  <c:v>5.6566965522859801E-2</c:v>
                </c:pt>
                <c:pt idx="31">
                  <c:v>4.2910267608697074E-2</c:v>
                </c:pt>
                <c:pt idx="32">
                  <c:v>4.8000103722833601E-2</c:v>
                </c:pt>
                <c:pt idx="33">
                  <c:v>3.5795272120360426E-2</c:v>
                </c:pt>
                <c:pt idx="34">
                  <c:v>2.2952093326691458E-2</c:v>
                </c:pt>
                <c:pt idx="35">
                  <c:v>1.6337108978740311E-2</c:v>
                </c:pt>
                <c:pt idx="36">
                  <c:v>3.8415368694613562E-3</c:v>
                </c:pt>
                <c:pt idx="37">
                  <c:v>2.4436306102612439E-3</c:v>
                </c:pt>
                <c:pt idx="38">
                  <c:v>4.6496562009794962E-4</c:v>
                </c:pt>
                <c:pt idx="39">
                  <c:v>3.6197412393566874E-4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03-3E49-9F2F-1259B34A3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93529600"/>
        <c:axId val="93531520"/>
      </c:barChart>
      <c:catAx>
        <c:axId val="93529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3531520"/>
        <c:crosses val="autoZero"/>
        <c:auto val="1"/>
        <c:lblAlgn val="ctr"/>
        <c:lblOffset val="100"/>
        <c:noMultiLvlLbl val="0"/>
      </c:catAx>
      <c:valAx>
        <c:axId val="9353152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352960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100"/>
            </a:pPr>
            <a:r>
              <a:rPr lang="en-US" sz="1100"/>
              <a:t>Trachurus trecae</a:t>
            </a:r>
          </a:p>
          <a:p>
            <a:pPr>
              <a:defRPr lang="pt-PT" sz="1100"/>
            </a:pPr>
            <a:r>
              <a:rPr lang="en-US" sz="1100" baseline="0"/>
              <a:t> South Cap Blanc 2018</a:t>
            </a:r>
            <a:endParaRPr lang="en-US" sz="1100"/>
          </a:p>
        </c:rich>
      </c:tx>
      <c:layout>
        <c:manualLayout>
          <c:xMode val="edge"/>
          <c:yMode val="edge"/>
          <c:x val="0.30639932476531345"/>
          <c:y val="2.77143703730962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4488407699037621E-2"/>
          <c:y val="8.5886175620452546E-2"/>
          <c:w val="0.88495603674540679"/>
          <c:h val="0.749653742649262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'Tab&amp;Fig4.5.1b  et c'!$AD$3</c:f>
              <c:strCache>
                <c:ptCount val="1"/>
                <c:pt idx="0">
                  <c:v>% Zone C S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8575"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numRef>
              <c:f>'Tab&amp;Fig4.5.1b  et c'!$BV$6:$BV$51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 formatCode="0">
                  <c:v>17</c:v>
                </c:pt>
                <c:pt idx="13" formatCode="0">
                  <c:v>18</c:v>
                </c:pt>
                <c:pt idx="14" formatCode="0">
                  <c:v>19</c:v>
                </c:pt>
                <c:pt idx="15" formatCode="0">
                  <c:v>20</c:v>
                </c:pt>
                <c:pt idx="16" formatCode="0">
                  <c:v>21</c:v>
                </c:pt>
                <c:pt idx="17" formatCode="0">
                  <c:v>22</c:v>
                </c:pt>
                <c:pt idx="18" formatCode="0">
                  <c:v>23</c:v>
                </c:pt>
                <c:pt idx="19" formatCode="0">
                  <c:v>24</c:v>
                </c:pt>
                <c:pt idx="20" formatCode="0">
                  <c:v>25</c:v>
                </c:pt>
                <c:pt idx="21" formatCode="0">
                  <c:v>26</c:v>
                </c:pt>
                <c:pt idx="22" formatCode="0">
                  <c:v>27</c:v>
                </c:pt>
                <c:pt idx="23" formatCode="0">
                  <c:v>28</c:v>
                </c:pt>
                <c:pt idx="24" formatCode="0">
                  <c:v>29</c:v>
                </c:pt>
                <c:pt idx="25" formatCode="0">
                  <c:v>30</c:v>
                </c:pt>
                <c:pt idx="26" formatCode="0">
                  <c:v>31</c:v>
                </c:pt>
                <c:pt idx="27" formatCode="0">
                  <c:v>32</c:v>
                </c:pt>
                <c:pt idx="28" formatCode="0">
                  <c:v>33</c:v>
                </c:pt>
                <c:pt idx="29" formatCode="0">
                  <c:v>34</c:v>
                </c:pt>
                <c:pt idx="30" formatCode="0">
                  <c:v>35</c:v>
                </c:pt>
                <c:pt idx="31" formatCode="0">
                  <c:v>36</c:v>
                </c:pt>
                <c:pt idx="32" formatCode="0">
                  <c:v>37</c:v>
                </c:pt>
                <c:pt idx="33" formatCode="0">
                  <c:v>38</c:v>
                </c:pt>
                <c:pt idx="34" formatCode="0">
                  <c:v>39</c:v>
                </c:pt>
                <c:pt idx="35" formatCode="0">
                  <c:v>40</c:v>
                </c:pt>
                <c:pt idx="36" formatCode="0">
                  <c:v>41</c:v>
                </c:pt>
                <c:pt idx="37" formatCode="0">
                  <c:v>42</c:v>
                </c:pt>
                <c:pt idx="38" formatCode="0">
                  <c:v>43</c:v>
                </c:pt>
                <c:pt idx="39" formatCode="0">
                  <c:v>44</c:v>
                </c:pt>
                <c:pt idx="40" formatCode="0">
                  <c:v>45</c:v>
                </c:pt>
                <c:pt idx="41" formatCode="0">
                  <c:v>46</c:v>
                </c:pt>
                <c:pt idx="42" formatCode="0">
                  <c:v>47</c:v>
                </c:pt>
                <c:pt idx="43" formatCode="0">
                  <c:v>48</c:v>
                </c:pt>
                <c:pt idx="44" formatCode="0">
                  <c:v>49</c:v>
                </c:pt>
                <c:pt idx="45" formatCode="0">
                  <c:v>50</c:v>
                </c:pt>
              </c:numCache>
            </c:numRef>
          </c:cat>
          <c:val>
            <c:numRef>
              <c:f>'Tab&amp;Fig4.5.1b  et c'!$CB$6:$CB$51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1.0023603237119991E-3</c:v>
                </c:pt>
                <c:pt idx="10">
                  <c:v>1.49325837986235E-2</c:v>
                </c:pt>
                <c:pt idx="11">
                  <c:v>2.315353764509177E-2</c:v>
                </c:pt>
                <c:pt idx="12">
                  <c:v>3.0557111846421712E-2</c:v>
                </c:pt>
                <c:pt idx="13">
                  <c:v>2.1389104343841558E-2</c:v>
                </c:pt>
                <c:pt idx="14">
                  <c:v>1.274530584820195E-2</c:v>
                </c:pt>
                <c:pt idx="15">
                  <c:v>9.5969987116863581E-3</c:v>
                </c:pt>
                <c:pt idx="16">
                  <c:v>8.578243750321065E-3</c:v>
                </c:pt>
                <c:pt idx="17">
                  <c:v>1.1536254133007372E-2</c:v>
                </c:pt>
                <c:pt idx="18">
                  <c:v>2.2410555615285464E-2</c:v>
                </c:pt>
                <c:pt idx="19">
                  <c:v>3.9603959104449304E-2</c:v>
                </c:pt>
                <c:pt idx="20">
                  <c:v>6.4511526803149449E-2</c:v>
                </c:pt>
                <c:pt idx="21">
                  <c:v>0.10694317911302421</c:v>
                </c:pt>
                <c:pt idx="22">
                  <c:v>0.13271004886228263</c:v>
                </c:pt>
                <c:pt idx="23">
                  <c:v>0.11791286093278604</c:v>
                </c:pt>
                <c:pt idx="24">
                  <c:v>8.4153034784796146E-2</c:v>
                </c:pt>
                <c:pt idx="25">
                  <c:v>6.1375461191601241E-2</c:v>
                </c:pt>
                <c:pt idx="26">
                  <c:v>4.2075749686655471E-2</c:v>
                </c:pt>
                <c:pt idx="27">
                  <c:v>3.8641429748500891E-2</c:v>
                </c:pt>
                <c:pt idx="28">
                  <c:v>3.140246184309943E-2</c:v>
                </c:pt>
                <c:pt idx="29">
                  <c:v>2.6057969170456385E-2</c:v>
                </c:pt>
                <c:pt idx="30">
                  <c:v>2.5008944027044146E-2</c:v>
                </c:pt>
                <c:pt idx="31">
                  <c:v>2.1184441115967404E-2</c:v>
                </c:pt>
                <c:pt idx="32">
                  <c:v>1.7042884649642955E-2</c:v>
                </c:pt>
                <c:pt idx="33">
                  <c:v>1.1961964469180963E-2</c:v>
                </c:pt>
                <c:pt idx="34">
                  <c:v>7.5391491971937485E-3</c:v>
                </c:pt>
                <c:pt idx="35">
                  <c:v>5.5543617009259595E-3</c:v>
                </c:pt>
                <c:pt idx="36">
                  <c:v>2.6750529421572474E-3</c:v>
                </c:pt>
                <c:pt idx="37">
                  <c:v>2.64077519209526E-3</c:v>
                </c:pt>
                <c:pt idx="38">
                  <c:v>1.5858527785924503E-3</c:v>
                </c:pt>
                <c:pt idx="39">
                  <c:v>1.33591915420662E-3</c:v>
                </c:pt>
                <c:pt idx="40">
                  <c:v>1.2197123042212113E-3</c:v>
                </c:pt>
                <c:pt idx="41">
                  <c:v>4.6745632859277164E-4</c:v>
                </c:pt>
                <c:pt idx="42">
                  <c:v>2.7597755860290775E-4</c:v>
                </c:pt>
                <c:pt idx="43">
                  <c:v>3.0271530136909348E-4</c:v>
                </c:pt>
                <c:pt idx="44">
                  <c:v>2.784256108856033E-5</c:v>
                </c:pt>
                <c:pt idx="45">
                  <c:v>2.7842561088560327E-5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6-B14A-BC0F-5BAD254AE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93573504"/>
        <c:axId val="93575424"/>
      </c:barChart>
      <c:catAx>
        <c:axId val="93573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3575424"/>
        <c:crosses val="autoZero"/>
        <c:auto val="1"/>
        <c:lblAlgn val="ctr"/>
        <c:lblOffset val="100"/>
        <c:noMultiLvlLbl val="0"/>
      </c:catAx>
      <c:valAx>
        <c:axId val="9357542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357350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Trachurus trecae</a:t>
            </a:r>
          </a:p>
          <a:p>
            <a:pPr>
              <a:defRPr lang="pt-PT" sz="1100"/>
            </a:pPr>
            <a:r>
              <a:rPr lang="en-US" sz="1100" baseline="0"/>
              <a:t> South Cap Blanc 2019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PT"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numRef>
              <c:f>'Tab&amp;Fig4.5.1b  et c'!$CL$8:$CL$51</c:f>
              <c:numCache>
                <c:formatCode>General</c:formatCode>
                <c:ptCount val="44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 formatCode="0">
                  <c:v>17</c:v>
                </c:pt>
                <c:pt idx="11" formatCode="0">
                  <c:v>18</c:v>
                </c:pt>
                <c:pt idx="12" formatCode="0">
                  <c:v>19</c:v>
                </c:pt>
                <c:pt idx="13" formatCode="0">
                  <c:v>20</c:v>
                </c:pt>
                <c:pt idx="14" formatCode="0">
                  <c:v>21</c:v>
                </c:pt>
                <c:pt idx="15" formatCode="0">
                  <c:v>22</c:v>
                </c:pt>
                <c:pt idx="16" formatCode="0">
                  <c:v>23</c:v>
                </c:pt>
                <c:pt idx="17" formatCode="0">
                  <c:v>24</c:v>
                </c:pt>
                <c:pt idx="18" formatCode="0">
                  <c:v>25</c:v>
                </c:pt>
                <c:pt idx="19" formatCode="0">
                  <c:v>26</c:v>
                </c:pt>
                <c:pt idx="20" formatCode="0">
                  <c:v>27</c:v>
                </c:pt>
                <c:pt idx="21" formatCode="0">
                  <c:v>28</c:v>
                </c:pt>
                <c:pt idx="22" formatCode="0">
                  <c:v>29</c:v>
                </c:pt>
                <c:pt idx="23" formatCode="0">
                  <c:v>30</c:v>
                </c:pt>
                <c:pt idx="24" formatCode="0">
                  <c:v>31</c:v>
                </c:pt>
                <c:pt idx="25" formatCode="0">
                  <c:v>32</c:v>
                </c:pt>
                <c:pt idx="26" formatCode="0">
                  <c:v>33</c:v>
                </c:pt>
                <c:pt idx="27" formatCode="0">
                  <c:v>34</c:v>
                </c:pt>
                <c:pt idx="28" formatCode="0">
                  <c:v>35</c:v>
                </c:pt>
                <c:pt idx="29" formatCode="0">
                  <c:v>36</c:v>
                </c:pt>
                <c:pt idx="30" formatCode="0">
                  <c:v>37</c:v>
                </c:pt>
                <c:pt idx="31" formatCode="0">
                  <c:v>38</c:v>
                </c:pt>
                <c:pt idx="32" formatCode="0">
                  <c:v>39</c:v>
                </c:pt>
                <c:pt idx="33" formatCode="0">
                  <c:v>40</c:v>
                </c:pt>
                <c:pt idx="34" formatCode="0">
                  <c:v>41</c:v>
                </c:pt>
                <c:pt idx="35" formatCode="0">
                  <c:v>42</c:v>
                </c:pt>
                <c:pt idx="36" formatCode="0">
                  <c:v>43</c:v>
                </c:pt>
                <c:pt idx="37" formatCode="0">
                  <c:v>44</c:v>
                </c:pt>
                <c:pt idx="38" formatCode="0">
                  <c:v>45</c:v>
                </c:pt>
                <c:pt idx="39" formatCode="0">
                  <c:v>46</c:v>
                </c:pt>
                <c:pt idx="40" formatCode="0">
                  <c:v>47</c:v>
                </c:pt>
                <c:pt idx="41" formatCode="0">
                  <c:v>48</c:v>
                </c:pt>
                <c:pt idx="42" formatCode="0">
                  <c:v>49</c:v>
                </c:pt>
                <c:pt idx="43" formatCode="0">
                  <c:v>50</c:v>
                </c:pt>
              </c:numCache>
            </c:numRef>
          </c:cat>
          <c:val>
            <c:numRef>
              <c:f>'Tab&amp;Fig4.5.1b  et c'!$CR$8:$CR$51</c:f>
              <c:numCache>
                <c:formatCode>General</c:formatCode>
                <c:ptCount val="44"/>
                <c:pt idx="12">
                  <c:v>5.3066118221105655E-4</c:v>
                </c:pt>
                <c:pt idx="13">
                  <c:v>8.1204087057137365E-3</c:v>
                </c:pt>
                <c:pt idx="14">
                  <c:v>2.9250266945170574E-2</c:v>
                </c:pt>
                <c:pt idx="15">
                  <c:v>3.7064471155743184E-2</c:v>
                </c:pt>
                <c:pt idx="16">
                  <c:v>2.1222167365269006E-2</c:v>
                </c:pt>
                <c:pt idx="17">
                  <c:v>1.3356221617445509E-2</c:v>
                </c:pt>
                <c:pt idx="18">
                  <c:v>1.6718823369156546E-2</c:v>
                </c:pt>
                <c:pt idx="19">
                  <c:v>2.1482509508610605E-2</c:v>
                </c:pt>
                <c:pt idx="20">
                  <c:v>4.4940387154858957E-2</c:v>
                </c:pt>
                <c:pt idx="21">
                  <c:v>5.9928921272023171E-2</c:v>
                </c:pt>
                <c:pt idx="22">
                  <c:v>4.6647343519400135E-2</c:v>
                </c:pt>
                <c:pt idx="23">
                  <c:v>6.651342228194064E-2</c:v>
                </c:pt>
                <c:pt idx="24">
                  <c:v>7.0103719959943189E-2</c:v>
                </c:pt>
                <c:pt idx="25">
                  <c:v>8.6216855298505965E-2</c:v>
                </c:pt>
                <c:pt idx="26">
                  <c:v>8.7392537748330848E-2</c:v>
                </c:pt>
                <c:pt idx="27">
                  <c:v>9.2308579620237113E-2</c:v>
                </c:pt>
                <c:pt idx="28">
                  <c:v>9.5406943592018137E-2</c:v>
                </c:pt>
                <c:pt idx="29">
                  <c:v>7.7827224337005091E-2</c:v>
                </c:pt>
                <c:pt idx="30">
                  <c:v>7.3035501355778409E-2</c:v>
                </c:pt>
                <c:pt idx="31">
                  <c:v>2.9836303761420546E-2</c:v>
                </c:pt>
                <c:pt idx="32">
                  <c:v>1.4949537357247559E-2</c:v>
                </c:pt>
                <c:pt idx="33">
                  <c:v>5.042698978512704E-3</c:v>
                </c:pt>
                <c:pt idx="34">
                  <c:v>1.2925679120549414E-3</c:v>
                </c:pt>
                <c:pt idx="35">
                  <c:v>2.5208102475556134E-4</c:v>
                </c:pt>
                <c:pt idx="36">
                  <c:v>1.6182401686504395E-4</c:v>
                </c:pt>
                <c:pt idx="37">
                  <c:v>1.2525965911067035E-4</c:v>
                </c:pt>
                <c:pt idx="38">
                  <c:v>2.0878055948002821E-4</c:v>
                </c:pt>
                <c:pt idx="39">
                  <c:v>0</c:v>
                </c:pt>
                <c:pt idx="40">
                  <c:v>6.3875500884637363E-5</c:v>
                </c:pt>
                <c:pt idx="41">
                  <c:v>7.0160204299091119E-8</c:v>
                </c:pt>
                <c:pt idx="42">
                  <c:v>3.5080102149545559E-8</c:v>
                </c:pt>
                <c:pt idx="4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42-4FD4-A5A3-8616937FC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3690880"/>
        <c:axId val="93701248"/>
      </c:barChart>
      <c:catAx>
        <c:axId val="93690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pt-PT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701248"/>
        <c:crosses val="autoZero"/>
        <c:auto val="1"/>
        <c:lblAlgn val="ctr"/>
        <c:lblOffset val="100"/>
        <c:noMultiLvlLbl val="0"/>
      </c:catAx>
      <c:valAx>
        <c:axId val="937012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pt-PT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69088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i="1"/>
              <a:t>Trachurus trecae</a:t>
            </a:r>
          </a:p>
          <a:p>
            <a:pPr>
              <a:defRPr lang="pt-PT" sz="1100"/>
            </a:pPr>
            <a:r>
              <a:rPr lang="en-US" sz="1100" baseline="0"/>
              <a:t> Nord Cap Blanc 2019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PT"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numRef>
              <c:f>'Tab&amp;Fig4.5.1b  et c'!$CL$8:$CL$51</c:f>
              <c:numCache>
                <c:formatCode>General</c:formatCode>
                <c:ptCount val="44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 formatCode="0">
                  <c:v>17</c:v>
                </c:pt>
                <c:pt idx="11" formatCode="0">
                  <c:v>18</c:v>
                </c:pt>
                <c:pt idx="12" formatCode="0">
                  <c:v>19</c:v>
                </c:pt>
                <c:pt idx="13" formatCode="0">
                  <c:v>20</c:v>
                </c:pt>
                <c:pt idx="14" formatCode="0">
                  <c:v>21</c:v>
                </c:pt>
                <c:pt idx="15" formatCode="0">
                  <c:v>22</c:v>
                </c:pt>
                <c:pt idx="16" formatCode="0">
                  <c:v>23</c:v>
                </c:pt>
                <c:pt idx="17" formatCode="0">
                  <c:v>24</c:v>
                </c:pt>
                <c:pt idx="18" formatCode="0">
                  <c:v>25</c:v>
                </c:pt>
                <c:pt idx="19" formatCode="0">
                  <c:v>26</c:v>
                </c:pt>
                <c:pt idx="20" formatCode="0">
                  <c:v>27</c:v>
                </c:pt>
                <c:pt idx="21" formatCode="0">
                  <c:v>28</c:v>
                </c:pt>
                <c:pt idx="22" formatCode="0">
                  <c:v>29</c:v>
                </c:pt>
                <c:pt idx="23" formatCode="0">
                  <c:v>30</c:v>
                </c:pt>
                <c:pt idx="24" formatCode="0">
                  <c:v>31</c:v>
                </c:pt>
                <c:pt idx="25" formatCode="0">
                  <c:v>32</c:v>
                </c:pt>
                <c:pt idx="26" formatCode="0">
                  <c:v>33</c:v>
                </c:pt>
                <c:pt idx="27" formatCode="0">
                  <c:v>34</c:v>
                </c:pt>
                <c:pt idx="28" formatCode="0">
                  <c:v>35</c:v>
                </c:pt>
                <c:pt idx="29" formatCode="0">
                  <c:v>36</c:v>
                </c:pt>
                <c:pt idx="30" formatCode="0">
                  <c:v>37</c:v>
                </c:pt>
                <c:pt idx="31" formatCode="0">
                  <c:v>38</c:v>
                </c:pt>
                <c:pt idx="32" formatCode="0">
                  <c:v>39</c:v>
                </c:pt>
                <c:pt idx="33" formatCode="0">
                  <c:v>40</c:v>
                </c:pt>
                <c:pt idx="34" formatCode="0">
                  <c:v>41</c:v>
                </c:pt>
                <c:pt idx="35" formatCode="0">
                  <c:v>42</c:v>
                </c:pt>
                <c:pt idx="36" formatCode="0">
                  <c:v>43</c:v>
                </c:pt>
                <c:pt idx="37" formatCode="0">
                  <c:v>44</c:v>
                </c:pt>
                <c:pt idx="38" formatCode="0">
                  <c:v>45</c:v>
                </c:pt>
                <c:pt idx="39" formatCode="0">
                  <c:v>46</c:v>
                </c:pt>
                <c:pt idx="40" formatCode="0">
                  <c:v>47</c:v>
                </c:pt>
                <c:pt idx="41" formatCode="0">
                  <c:v>48</c:v>
                </c:pt>
                <c:pt idx="42" formatCode="0">
                  <c:v>49</c:v>
                </c:pt>
                <c:pt idx="43" formatCode="0">
                  <c:v>50</c:v>
                </c:pt>
              </c:numCache>
            </c:numRef>
          </c:cat>
          <c:val>
            <c:numRef>
              <c:f>'Tab&amp;Fig4.5.1b  et c'!$CO$8:$CO$39</c:f>
              <c:numCache>
                <c:formatCode>General</c:formatCode>
                <c:ptCount val="32"/>
                <c:pt idx="18">
                  <c:v>6.3724617686657603E-2</c:v>
                </c:pt>
                <c:pt idx="19">
                  <c:v>0.18939702690452961</c:v>
                </c:pt>
                <c:pt idx="20">
                  <c:v>0.19301751922268201</c:v>
                </c:pt>
                <c:pt idx="21">
                  <c:v>0.19981650007792343</c:v>
                </c:pt>
                <c:pt idx="22">
                  <c:v>6.0572337533316326E-2</c:v>
                </c:pt>
                <c:pt idx="23">
                  <c:v>3.6533977866650462E-2</c:v>
                </c:pt>
                <c:pt idx="24">
                  <c:v>3.6373483928599681E-2</c:v>
                </c:pt>
                <c:pt idx="25">
                  <c:v>2.6049842619935388E-2</c:v>
                </c:pt>
                <c:pt idx="26">
                  <c:v>5.7980106174402538E-2</c:v>
                </c:pt>
                <c:pt idx="27">
                  <c:v>5.6502847180817155E-2</c:v>
                </c:pt>
                <c:pt idx="28">
                  <c:v>5.1703671193176447E-2</c:v>
                </c:pt>
                <c:pt idx="29">
                  <c:v>2.599286707716433E-2</c:v>
                </c:pt>
                <c:pt idx="30">
                  <c:v>1.2258721640991696E-3</c:v>
                </c:pt>
                <c:pt idx="31">
                  <c:v>1.1093303700459706E-3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1D-40F9-8545-74CCC424C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3734400"/>
        <c:axId val="93736320"/>
      </c:barChart>
      <c:catAx>
        <c:axId val="93734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pt-PT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736320"/>
        <c:crosses val="autoZero"/>
        <c:auto val="1"/>
        <c:lblAlgn val="ctr"/>
        <c:lblOffset val="100"/>
        <c:noMultiLvlLbl val="0"/>
      </c:catAx>
      <c:valAx>
        <c:axId val="937363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pt-PT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73440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Trachurus trecae</a:t>
            </a:r>
          </a:p>
          <a:p>
            <a:pPr>
              <a:defRPr lang="pt-PT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 South Cap Blanc 2020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'Tab&amp;Fig4.5.1b  et c'!$DB$8:$DB$49</c:f>
              <c:numCache>
                <c:formatCode>General</c:formatCode>
                <c:ptCount val="42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 formatCode="0">
                  <c:v>17</c:v>
                </c:pt>
                <c:pt idx="9" formatCode="0">
                  <c:v>18</c:v>
                </c:pt>
                <c:pt idx="10" formatCode="0">
                  <c:v>19</c:v>
                </c:pt>
                <c:pt idx="11" formatCode="0">
                  <c:v>20</c:v>
                </c:pt>
                <c:pt idx="12" formatCode="0">
                  <c:v>21</c:v>
                </c:pt>
                <c:pt idx="13" formatCode="0">
                  <c:v>22</c:v>
                </c:pt>
                <c:pt idx="14" formatCode="0">
                  <c:v>23</c:v>
                </c:pt>
                <c:pt idx="15" formatCode="0">
                  <c:v>24</c:v>
                </c:pt>
                <c:pt idx="16" formatCode="0">
                  <c:v>25</c:v>
                </c:pt>
                <c:pt idx="17" formatCode="0">
                  <c:v>26</c:v>
                </c:pt>
                <c:pt idx="18" formatCode="0">
                  <c:v>27</c:v>
                </c:pt>
                <c:pt idx="19" formatCode="0">
                  <c:v>28</c:v>
                </c:pt>
                <c:pt idx="20" formatCode="0">
                  <c:v>29</c:v>
                </c:pt>
                <c:pt idx="21" formatCode="0">
                  <c:v>30</c:v>
                </c:pt>
                <c:pt idx="22" formatCode="0">
                  <c:v>31</c:v>
                </c:pt>
                <c:pt idx="23" formatCode="0">
                  <c:v>32</c:v>
                </c:pt>
                <c:pt idx="24" formatCode="0">
                  <c:v>33</c:v>
                </c:pt>
                <c:pt idx="25" formatCode="0">
                  <c:v>34</c:v>
                </c:pt>
                <c:pt idx="26" formatCode="0">
                  <c:v>35</c:v>
                </c:pt>
                <c:pt idx="27" formatCode="0">
                  <c:v>36</c:v>
                </c:pt>
                <c:pt idx="28" formatCode="0">
                  <c:v>37</c:v>
                </c:pt>
                <c:pt idx="29" formatCode="0">
                  <c:v>38</c:v>
                </c:pt>
                <c:pt idx="30" formatCode="0">
                  <c:v>39</c:v>
                </c:pt>
                <c:pt idx="31" formatCode="0">
                  <c:v>40</c:v>
                </c:pt>
                <c:pt idx="32" formatCode="0">
                  <c:v>41</c:v>
                </c:pt>
                <c:pt idx="33" formatCode="0">
                  <c:v>42</c:v>
                </c:pt>
                <c:pt idx="34" formatCode="0">
                  <c:v>43</c:v>
                </c:pt>
                <c:pt idx="35" formatCode="0">
                  <c:v>44</c:v>
                </c:pt>
                <c:pt idx="36" formatCode="0">
                  <c:v>45</c:v>
                </c:pt>
                <c:pt idx="37" formatCode="0">
                  <c:v>46</c:v>
                </c:pt>
                <c:pt idx="38" formatCode="0">
                  <c:v>47</c:v>
                </c:pt>
                <c:pt idx="39" formatCode="0">
                  <c:v>48</c:v>
                </c:pt>
                <c:pt idx="40" formatCode="0">
                  <c:v>49</c:v>
                </c:pt>
                <c:pt idx="41" formatCode="0">
                  <c:v>50</c:v>
                </c:pt>
              </c:numCache>
            </c:numRef>
          </c:cat>
          <c:val>
            <c:numRef>
              <c:f>'Tab&amp;Fig4.5.1b  et c'!$DG$8:$DG$50</c:f>
              <c:numCache>
                <c:formatCode>General</c:formatCode>
                <c:ptCount val="43"/>
                <c:pt idx="0">
                  <c:v>3.4770703034924861E-4</c:v>
                </c:pt>
                <c:pt idx="1">
                  <c:v>1.3764857979753674E-3</c:v>
                </c:pt>
                <c:pt idx="2">
                  <c:v>3.2325275990345089E-3</c:v>
                </c:pt>
                <c:pt idx="3">
                  <c:v>1.0004567292420585E-3</c:v>
                </c:pt>
                <c:pt idx="4">
                  <c:v>3.7048251283620774E-4</c:v>
                </c:pt>
                <c:pt idx="5">
                  <c:v>1.0406345061760548E-3</c:v>
                </c:pt>
                <c:pt idx="6">
                  <c:v>3.1402417924706015E-3</c:v>
                </c:pt>
                <c:pt idx="7">
                  <c:v>7.262928832623779E-3</c:v>
                </c:pt>
                <c:pt idx="8">
                  <c:v>2.2027291793244055E-2</c:v>
                </c:pt>
                <c:pt idx="9">
                  <c:v>4.3032105464891571E-2</c:v>
                </c:pt>
                <c:pt idx="10">
                  <c:v>7.5030227414068909E-2</c:v>
                </c:pt>
                <c:pt idx="11">
                  <c:v>0.10731823647434949</c:v>
                </c:pt>
                <c:pt idx="12">
                  <c:v>0.11178690502278389</c:v>
                </c:pt>
                <c:pt idx="13">
                  <c:v>8.5829764847140902E-2</c:v>
                </c:pt>
                <c:pt idx="14">
                  <c:v>5.8350625558824587E-2</c:v>
                </c:pt>
                <c:pt idx="15">
                  <c:v>4.0213902355013278E-2</c:v>
                </c:pt>
                <c:pt idx="16">
                  <c:v>2.6606199371316121E-2</c:v>
                </c:pt>
                <c:pt idx="17">
                  <c:v>2.0219746057827323E-2</c:v>
                </c:pt>
                <c:pt idx="18">
                  <c:v>1.7412033519617731E-2</c:v>
                </c:pt>
                <c:pt idx="19">
                  <c:v>1.8883677782151765E-2</c:v>
                </c:pt>
                <c:pt idx="20">
                  <c:v>3.1490067314560569E-2</c:v>
                </c:pt>
                <c:pt idx="21">
                  <c:v>4.288121031528376E-2</c:v>
                </c:pt>
                <c:pt idx="22">
                  <c:v>4.9979282485099592E-2</c:v>
                </c:pt>
                <c:pt idx="23">
                  <c:v>4.9739155831229849E-2</c:v>
                </c:pt>
                <c:pt idx="24">
                  <c:v>4.7692056174028302E-2</c:v>
                </c:pt>
                <c:pt idx="25">
                  <c:v>3.6576745400774345E-2</c:v>
                </c:pt>
                <c:pt idx="26">
                  <c:v>2.8485764841890696E-2</c:v>
                </c:pt>
                <c:pt idx="27">
                  <c:v>1.7597696939388587E-2</c:v>
                </c:pt>
                <c:pt idx="28">
                  <c:v>1.1797678230371589E-2</c:v>
                </c:pt>
                <c:pt idx="29">
                  <c:v>6.9479162682017925E-3</c:v>
                </c:pt>
                <c:pt idx="30">
                  <c:v>5.0728384535088907E-3</c:v>
                </c:pt>
                <c:pt idx="31">
                  <c:v>4.2286328882827056E-3</c:v>
                </c:pt>
                <c:pt idx="32">
                  <c:v>3.4804592123327247E-3</c:v>
                </c:pt>
                <c:pt idx="33">
                  <c:v>3.5233626425202761E-3</c:v>
                </c:pt>
                <c:pt idx="34">
                  <c:v>3.3400070269166081E-3</c:v>
                </c:pt>
                <c:pt idx="35">
                  <c:v>3.1542702803754271E-3</c:v>
                </c:pt>
                <c:pt idx="36">
                  <c:v>2.8538069885634919E-3</c:v>
                </c:pt>
                <c:pt idx="37">
                  <c:v>2.5891926323679845E-3</c:v>
                </c:pt>
                <c:pt idx="38">
                  <c:v>2.0509593344657912E-3</c:v>
                </c:pt>
                <c:pt idx="39">
                  <c:v>1.1321940749363072E-3</c:v>
                </c:pt>
                <c:pt idx="40">
                  <c:v>6.0673317585687781E-4</c:v>
                </c:pt>
                <c:pt idx="41">
                  <c:v>2.8748420447242398E-4</c:v>
                </c:pt>
                <c:pt idx="42">
                  <c:v>1.0304822634127615E-5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7-4798-A463-C306296F0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3589504"/>
        <c:axId val="93591424"/>
      </c:barChart>
      <c:catAx>
        <c:axId val="93589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591424"/>
        <c:crosses val="autoZero"/>
        <c:auto val="1"/>
        <c:lblAlgn val="ctr"/>
        <c:lblOffset val="100"/>
        <c:noMultiLvlLbl val="0"/>
      </c:catAx>
      <c:valAx>
        <c:axId val="93591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58950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Trachurus trecae</a:t>
            </a:r>
          </a:p>
          <a:p>
            <a:pPr>
              <a:defRPr lang="pt-PT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 South Cap Blanc 2021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invertIfNegative val="0"/>
          <c:cat>
            <c:numRef>
              <c:f>'Tab&amp;Fig4.5.1b  et c'!$DP$8:$DP$51</c:f>
              <c:numCache>
                <c:formatCode>General</c:formatCode>
                <c:ptCount val="44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 formatCode="0">
                  <c:v>17</c:v>
                </c:pt>
                <c:pt idx="9" formatCode="0">
                  <c:v>18</c:v>
                </c:pt>
                <c:pt idx="10" formatCode="0">
                  <c:v>19</c:v>
                </c:pt>
                <c:pt idx="11" formatCode="0">
                  <c:v>20</c:v>
                </c:pt>
                <c:pt idx="12" formatCode="0">
                  <c:v>21</c:v>
                </c:pt>
                <c:pt idx="13" formatCode="0">
                  <c:v>22</c:v>
                </c:pt>
                <c:pt idx="14" formatCode="0">
                  <c:v>23</c:v>
                </c:pt>
                <c:pt idx="15" formatCode="0">
                  <c:v>24</c:v>
                </c:pt>
                <c:pt idx="16" formatCode="0">
                  <c:v>25</c:v>
                </c:pt>
                <c:pt idx="17" formatCode="0">
                  <c:v>26</c:v>
                </c:pt>
                <c:pt idx="18" formatCode="0">
                  <c:v>27</c:v>
                </c:pt>
                <c:pt idx="19" formatCode="0">
                  <c:v>28</c:v>
                </c:pt>
                <c:pt idx="20" formatCode="0">
                  <c:v>29</c:v>
                </c:pt>
                <c:pt idx="21" formatCode="0">
                  <c:v>30</c:v>
                </c:pt>
                <c:pt idx="22" formatCode="0">
                  <c:v>31</c:v>
                </c:pt>
                <c:pt idx="23" formatCode="0">
                  <c:v>32</c:v>
                </c:pt>
                <c:pt idx="24" formatCode="0">
                  <c:v>33</c:v>
                </c:pt>
                <c:pt idx="25" formatCode="0">
                  <c:v>34</c:v>
                </c:pt>
                <c:pt idx="26" formatCode="0">
                  <c:v>35</c:v>
                </c:pt>
                <c:pt idx="27" formatCode="0">
                  <c:v>36</c:v>
                </c:pt>
                <c:pt idx="28" formatCode="0">
                  <c:v>37</c:v>
                </c:pt>
                <c:pt idx="29" formatCode="0">
                  <c:v>38</c:v>
                </c:pt>
                <c:pt idx="30" formatCode="0">
                  <c:v>39</c:v>
                </c:pt>
                <c:pt idx="31" formatCode="0">
                  <c:v>40</c:v>
                </c:pt>
                <c:pt idx="32" formatCode="0">
                  <c:v>41</c:v>
                </c:pt>
                <c:pt idx="33" formatCode="0">
                  <c:v>42</c:v>
                </c:pt>
                <c:pt idx="34" formatCode="0">
                  <c:v>43</c:v>
                </c:pt>
                <c:pt idx="35" formatCode="0">
                  <c:v>44</c:v>
                </c:pt>
                <c:pt idx="36" formatCode="0">
                  <c:v>45</c:v>
                </c:pt>
                <c:pt idx="37" formatCode="0">
                  <c:v>46</c:v>
                </c:pt>
                <c:pt idx="38" formatCode="0">
                  <c:v>47</c:v>
                </c:pt>
                <c:pt idx="39" formatCode="0">
                  <c:v>48</c:v>
                </c:pt>
                <c:pt idx="40" formatCode="0">
                  <c:v>49</c:v>
                </c:pt>
                <c:pt idx="41" formatCode="0">
                  <c:v>50</c:v>
                </c:pt>
                <c:pt idx="42">
                  <c:v>51</c:v>
                </c:pt>
                <c:pt idx="43">
                  <c:v>52</c:v>
                </c:pt>
              </c:numCache>
            </c:numRef>
          </c:cat>
          <c:val>
            <c:numRef>
              <c:f>'Tab&amp;Fig4.5.1b  et c'!$DW$8:$DW$51</c:f>
              <c:numCache>
                <c:formatCode>General</c:formatCode>
                <c:ptCount val="44"/>
                <c:pt idx="0">
                  <c:v>8.4953006617665165E-4</c:v>
                </c:pt>
                <c:pt idx="1">
                  <c:v>8.9778953838369805E-4</c:v>
                </c:pt>
                <c:pt idx="2">
                  <c:v>3.1163106301126827E-3</c:v>
                </c:pt>
                <c:pt idx="3">
                  <c:v>3.7977753968113518E-3</c:v>
                </c:pt>
                <c:pt idx="4">
                  <c:v>4.271414223395339E-3</c:v>
                </c:pt>
                <c:pt idx="5">
                  <c:v>3.1011272768523648E-3</c:v>
                </c:pt>
                <c:pt idx="6">
                  <c:v>6.3415509445424699E-3</c:v>
                </c:pt>
                <c:pt idx="7">
                  <c:v>1.8181136422789772E-2</c:v>
                </c:pt>
                <c:pt idx="8">
                  <c:v>4.5019953935959998E-2</c:v>
                </c:pt>
                <c:pt idx="9">
                  <c:v>5.3248697036464031E-2</c:v>
                </c:pt>
                <c:pt idx="10">
                  <c:v>4.4328421401448173E-2</c:v>
                </c:pt>
                <c:pt idx="11">
                  <c:v>3.1374437203584016E-2</c:v>
                </c:pt>
                <c:pt idx="12">
                  <c:v>2.87813801509753E-2</c:v>
                </c:pt>
                <c:pt idx="13">
                  <c:v>3.1746980514983952E-2</c:v>
                </c:pt>
                <c:pt idx="14">
                  <c:v>3.1145546222334314E-2</c:v>
                </c:pt>
                <c:pt idx="15">
                  <c:v>3.6169737992393709E-2</c:v>
                </c:pt>
                <c:pt idx="16">
                  <c:v>6.4978133252225526E-2</c:v>
                </c:pt>
                <c:pt idx="17">
                  <c:v>9.1277680320388702E-2</c:v>
                </c:pt>
                <c:pt idx="18">
                  <c:v>0.11014265752843524</c:v>
                </c:pt>
                <c:pt idx="19">
                  <c:v>0.10837061631039713</c:v>
                </c:pt>
                <c:pt idx="20">
                  <c:v>9.1826941510248714E-2</c:v>
                </c:pt>
                <c:pt idx="21">
                  <c:v>6.4162268609116335E-2</c:v>
                </c:pt>
                <c:pt idx="22">
                  <c:v>4.6359406390466505E-2</c:v>
                </c:pt>
                <c:pt idx="23">
                  <c:v>2.9101564387179132E-2</c:v>
                </c:pt>
                <c:pt idx="24">
                  <c:v>1.8618786333623665E-2</c:v>
                </c:pt>
                <c:pt idx="25">
                  <c:v>1.1924926014504116E-2</c:v>
                </c:pt>
                <c:pt idx="26">
                  <c:v>6.9988426770562096E-3</c:v>
                </c:pt>
                <c:pt idx="27">
                  <c:v>4.8206958478353244E-3</c:v>
                </c:pt>
                <c:pt idx="28">
                  <c:v>4.1573481237286956E-3</c:v>
                </c:pt>
                <c:pt idx="29">
                  <c:v>1.9759497890192981E-3</c:v>
                </c:pt>
                <c:pt idx="30">
                  <c:v>1.5887383723612294E-3</c:v>
                </c:pt>
                <c:pt idx="31">
                  <c:v>2.1871583679284993E-4</c:v>
                </c:pt>
                <c:pt idx="32">
                  <c:v>2.7665729742584684E-4</c:v>
                </c:pt>
                <c:pt idx="33">
                  <c:v>1.2055285899775766E-4</c:v>
                </c:pt>
                <c:pt idx="34">
                  <c:v>2.6654231346120961E-4</c:v>
                </c:pt>
                <c:pt idx="35">
                  <c:v>5.4773545518620157E-5</c:v>
                </c:pt>
                <c:pt idx="36">
                  <c:v>9.8583357769560994E-5</c:v>
                </c:pt>
                <c:pt idx="37">
                  <c:v>8.5924452062835841E-5</c:v>
                </c:pt>
                <c:pt idx="38">
                  <c:v>9.526492421516298E-5</c:v>
                </c:pt>
                <c:pt idx="39">
                  <c:v>5.1212068936125217E-5</c:v>
                </c:pt>
                <c:pt idx="40">
                  <c:v>2.5388178216596294E-5</c:v>
                </c:pt>
                <c:pt idx="41">
                  <c:v>1.9897996807858982E-5</c:v>
                </c:pt>
                <c:pt idx="42">
                  <c:v>1.7987680798795063E-6</c:v>
                </c:pt>
                <c:pt idx="43">
                  <c:v>9.1504358951077121E-7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8F-476A-8F6D-CEAF86E8A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3589504"/>
        <c:axId val="93591424"/>
      </c:barChart>
      <c:catAx>
        <c:axId val="93589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591424"/>
        <c:crosses val="autoZero"/>
        <c:auto val="1"/>
        <c:lblAlgn val="ctr"/>
        <c:lblOffset val="100"/>
        <c:noMultiLvlLbl val="0"/>
      </c:catAx>
      <c:valAx>
        <c:axId val="93591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58950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Trachurus trecae</a:t>
            </a:r>
          </a:p>
          <a:p>
            <a:pPr>
              <a:defRPr lang="pt-PT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 Nord Cap Blanc 2021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invertIfNegative val="0"/>
          <c:cat>
            <c:numRef>
              <c:f>'Tab&amp;Fig4.5.1b  et c'!$DP$8:$DP$37</c:f>
              <c:numCache>
                <c:formatCode>General</c:formatCode>
                <c:ptCount val="30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 formatCode="0">
                  <c:v>17</c:v>
                </c:pt>
                <c:pt idx="9" formatCode="0">
                  <c:v>18</c:v>
                </c:pt>
                <c:pt idx="10" formatCode="0">
                  <c:v>19</c:v>
                </c:pt>
                <c:pt idx="11" formatCode="0">
                  <c:v>20</c:v>
                </c:pt>
                <c:pt idx="12" formatCode="0">
                  <c:v>21</c:v>
                </c:pt>
                <c:pt idx="13" formatCode="0">
                  <c:v>22</c:v>
                </c:pt>
                <c:pt idx="14" formatCode="0">
                  <c:v>23</c:v>
                </c:pt>
                <c:pt idx="15" formatCode="0">
                  <c:v>24</c:v>
                </c:pt>
                <c:pt idx="16" formatCode="0">
                  <c:v>25</c:v>
                </c:pt>
                <c:pt idx="17" formatCode="0">
                  <c:v>26</c:v>
                </c:pt>
                <c:pt idx="18" formatCode="0">
                  <c:v>27</c:v>
                </c:pt>
                <c:pt idx="19" formatCode="0">
                  <c:v>28</c:v>
                </c:pt>
                <c:pt idx="20" formatCode="0">
                  <c:v>29</c:v>
                </c:pt>
                <c:pt idx="21" formatCode="0">
                  <c:v>30</c:v>
                </c:pt>
                <c:pt idx="22" formatCode="0">
                  <c:v>31</c:v>
                </c:pt>
                <c:pt idx="23" formatCode="0">
                  <c:v>32</c:v>
                </c:pt>
                <c:pt idx="24" formatCode="0">
                  <c:v>33</c:v>
                </c:pt>
                <c:pt idx="25" formatCode="0">
                  <c:v>34</c:v>
                </c:pt>
                <c:pt idx="26" formatCode="0">
                  <c:v>35</c:v>
                </c:pt>
                <c:pt idx="27" formatCode="0">
                  <c:v>36</c:v>
                </c:pt>
                <c:pt idx="28" formatCode="0">
                  <c:v>37</c:v>
                </c:pt>
                <c:pt idx="29" formatCode="0">
                  <c:v>38</c:v>
                </c:pt>
              </c:numCache>
            </c:numRef>
          </c:cat>
          <c:val>
            <c:numRef>
              <c:f>'Tab&amp;Fig4.5.1b  et c'!$DV$8:$DV$37</c:f>
              <c:numCache>
                <c:formatCode>General</c:formatCode>
                <c:ptCount val="30"/>
                <c:pt idx="0">
                  <c:v>0</c:v>
                </c:pt>
                <c:pt idx="1">
                  <c:v>2.5424520285896068E-5</c:v>
                </c:pt>
                <c:pt idx="2">
                  <c:v>2.5779832372610982E-3</c:v>
                </c:pt>
                <c:pt idx="3">
                  <c:v>1.2918872477376513E-2</c:v>
                </c:pt>
                <c:pt idx="4">
                  <c:v>2.6017079895742957E-2</c:v>
                </c:pt>
                <c:pt idx="5">
                  <c:v>3.8972890389494377E-2</c:v>
                </c:pt>
                <c:pt idx="6">
                  <c:v>5.830598815320337E-2</c:v>
                </c:pt>
                <c:pt idx="7">
                  <c:v>5.0606851815372104E-2</c:v>
                </c:pt>
                <c:pt idx="8">
                  <c:v>4.8021929913968135E-2</c:v>
                </c:pt>
                <c:pt idx="9">
                  <c:v>8.0906524717560144E-2</c:v>
                </c:pt>
                <c:pt idx="10">
                  <c:v>0.11838558781261767</c:v>
                </c:pt>
                <c:pt idx="11">
                  <c:v>0.10805181054606225</c:v>
                </c:pt>
                <c:pt idx="12">
                  <c:v>8.3334797993352236E-2</c:v>
                </c:pt>
                <c:pt idx="13">
                  <c:v>4.7024650854596457E-2</c:v>
                </c:pt>
                <c:pt idx="14">
                  <c:v>2.7355915772059331E-2</c:v>
                </c:pt>
                <c:pt idx="15">
                  <c:v>1.8425235775202411E-2</c:v>
                </c:pt>
                <c:pt idx="16">
                  <c:v>2.010110530341927E-2</c:v>
                </c:pt>
                <c:pt idx="17">
                  <c:v>2.9228923774294983E-2</c:v>
                </c:pt>
                <c:pt idx="18">
                  <c:v>3.8115116132375879E-2</c:v>
                </c:pt>
                <c:pt idx="19">
                  <c:v>4.5461221114017424E-2</c:v>
                </c:pt>
                <c:pt idx="20">
                  <c:v>4.3875894549027912E-2</c:v>
                </c:pt>
                <c:pt idx="21">
                  <c:v>3.4762206963406761E-2</c:v>
                </c:pt>
                <c:pt idx="22">
                  <c:v>2.5964967336271464E-2</c:v>
                </c:pt>
                <c:pt idx="23">
                  <c:v>1.7176622714573701E-2</c:v>
                </c:pt>
                <c:pt idx="24">
                  <c:v>1.2331017586921053E-2</c:v>
                </c:pt>
                <c:pt idx="25">
                  <c:v>5.8625736333015113E-3</c:v>
                </c:pt>
                <c:pt idx="26">
                  <c:v>3.8927927147949831E-3</c:v>
                </c:pt>
                <c:pt idx="27">
                  <c:v>1.2655095494923611E-3</c:v>
                </c:pt>
                <c:pt idx="28">
                  <c:v>9.0376138678880487E-4</c:v>
                </c:pt>
                <c:pt idx="29">
                  <c:v>1.267433671587325E-4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17-4B9C-AE4D-C7DFFFEF4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3589504"/>
        <c:axId val="93591424"/>
      </c:barChart>
      <c:catAx>
        <c:axId val="93589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591424"/>
        <c:crosses val="autoZero"/>
        <c:auto val="1"/>
        <c:lblAlgn val="ctr"/>
        <c:lblOffset val="100"/>
        <c:noMultiLvlLbl val="0"/>
      </c:catAx>
      <c:valAx>
        <c:axId val="93591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58950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Trachurus trecae</a:t>
            </a:r>
          </a:p>
          <a:p>
            <a:pPr>
              <a:defRPr lang="pt-PT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 Nord Cap Blanc 2022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'Tab&amp;Fig4.5.1b  et c'!$EI$7:$EI$39</c:f>
              <c:numCache>
                <c:formatCode>General</c:formatCode>
                <c:ptCount val="33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 formatCode="0">
                  <c:v>17</c:v>
                </c:pt>
                <c:pt idx="10" formatCode="0">
                  <c:v>18</c:v>
                </c:pt>
                <c:pt idx="11" formatCode="0">
                  <c:v>19</c:v>
                </c:pt>
                <c:pt idx="12" formatCode="0">
                  <c:v>20</c:v>
                </c:pt>
                <c:pt idx="13" formatCode="0">
                  <c:v>21</c:v>
                </c:pt>
                <c:pt idx="14" formatCode="0">
                  <c:v>22</c:v>
                </c:pt>
                <c:pt idx="15" formatCode="0">
                  <c:v>23</c:v>
                </c:pt>
                <c:pt idx="16" formatCode="0">
                  <c:v>24</c:v>
                </c:pt>
                <c:pt idx="17" formatCode="0">
                  <c:v>25</c:v>
                </c:pt>
                <c:pt idx="18" formatCode="0">
                  <c:v>26</c:v>
                </c:pt>
                <c:pt idx="19" formatCode="0">
                  <c:v>27</c:v>
                </c:pt>
                <c:pt idx="20" formatCode="0">
                  <c:v>28</c:v>
                </c:pt>
                <c:pt idx="21" formatCode="0">
                  <c:v>29</c:v>
                </c:pt>
                <c:pt idx="22" formatCode="0">
                  <c:v>30</c:v>
                </c:pt>
                <c:pt idx="23" formatCode="0">
                  <c:v>31</c:v>
                </c:pt>
                <c:pt idx="24" formatCode="0">
                  <c:v>32</c:v>
                </c:pt>
                <c:pt idx="25" formatCode="0">
                  <c:v>33</c:v>
                </c:pt>
                <c:pt idx="26" formatCode="0">
                  <c:v>34</c:v>
                </c:pt>
                <c:pt idx="27" formatCode="0">
                  <c:v>35</c:v>
                </c:pt>
                <c:pt idx="28" formatCode="0">
                  <c:v>36</c:v>
                </c:pt>
                <c:pt idx="29" formatCode="0">
                  <c:v>37</c:v>
                </c:pt>
                <c:pt idx="30" formatCode="0">
                  <c:v>38</c:v>
                </c:pt>
                <c:pt idx="31" formatCode="0">
                  <c:v>39</c:v>
                </c:pt>
                <c:pt idx="32" formatCode="0">
                  <c:v>40</c:v>
                </c:pt>
              </c:numCache>
            </c:numRef>
          </c:cat>
          <c:val>
            <c:numRef>
              <c:f>'Tab&amp;Fig4.5.1b  et c'!$EQ$7:$EQ$39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6.1221446804183579E-5</c:v>
                </c:pt>
                <c:pt idx="3">
                  <c:v>2.293455144152001E-4</c:v>
                </c:pt>
                <c:pt idx="4">
                  <c:v>1.619678556502837E-4</c:v>
                </c:pt>
                <c:pt idx="5">
                  <c:v>1.4010471008832597E-3</c:v>
                </c:pt>
                <c:pt idx="6">
                  <c:v>2.9604710037937142E-3</c:v>
                </c:pt>
                <c:pt idx="7">
                  <c:v>1.7540048833173245E-2</c:v>
                </c:pt>
                <c:pt idx="8">
                  <c:v>6.7020694637986822E-2</c:v>
                </c:pt>
                <c:pt idx="9">
                  <c:v>0.14351342113441987</c:v>
                </c:pt>
                <c:pt idx="10">
                  <c:v>0.24127522601040785</c:v>
                </c:pt>
                <c:pt idx="11">
                  <c:v>0.21166066796130151</c:v>
                </c:pt>
                <c:pt idx="12">
                  <c:v>0.14830452045360917</c:v>
                </c:pt>
                <c:pt idx="13">
                  <c:v>8.3834414782528954E-2</c:v>
                </c:pt>
                <c:pt idx="14">
                  <c:v>4.4559543962624952E-2</c:v>
                </c:pt>
                <c:pt idx="15">
                  <c:v>1.7343230911148318E-2</c:v>
                </c:pt>
                <c:pt idx="16">
                  <c:v>4.3798915334946655E-3</c:v>
                </c:pt>
                <c:pt idx="17">
                  <c:v>2.192255106620329E-3</c:v>
                </c:pt>
                <c:pt idx="18">
                  <c:v>2.5677055118870705E-3</c:v>
                </c:pt>
                <c:pt idx="19">
                  <c:v>2.7511828430684068E-3</c:v>
                </c:pt>
                <c:pt idx="20">
                  <c:v>1.8311030138327931E-3</c:v>
                </c:pt>
                <c:pt idx="21">
                  <c:v>1.7526043649671327E-3</c:v>
                </c:pt>
                <c:pt idx="22">
                  <c:v>1.900230841260431E-3</c:v>
                </c:pt>
                <c:pt idx="23">
                  <c:v>1.219879703357926E-3</c:v>
                </c:pt>
                <c:pt idx="24">
                  <c:v>7.243359997613862E-4</c:v>
                </c:pt>
                <c:pt idx="25">
                  <c:v>3.026678548535959E-4</c:v>
                </c:pt>
                <c:pt idx="26">
                  <c:v>2.6516713822493542E-4</c:v>
                </c:pt>
                <c:pt idx="27">
                  <c:v>1.3119865103692856E-4</c:v>
                </c:pt>
                <c:pt idx="28">
                  <c:v>2.3885299930340405E-6</c:v>
                </c:pt>
                <c:pt idx="29">
                  <c:v>1.1131172146215199E-4</c:v>
                </c:pt>
                <c:pt idx="30">
                  <c:v>2.255577431718691E-6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9D-471E-A13B-5068589CA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3589504"/>
        <c:axId val="93591424"/>
      </c:barChart>
      <c:catAx>
        <c:axId val="93589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591424"/>
        <c:crosses val="autoZero"/>
        <c:auto val="1"/>
        <c:lblAlgn val="ctr"/>
        <c:lblOffset val="100"/>
        <c:noMultiLvlLbl val="0"/>
      </c:catAx>
      <c:valAx>
        <c:axId val="93591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58950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Trachurus trecae</a:t>
            </a:r>
          </a:p>
          <a:p>
            <a:pPr>
              <a:defRPr lang="pt-PT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 South Cap Blanc 2022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'Tab&amp;Fig4.5.1b  et c'!$EI$7:$EI$49</c:f>
              <c:numCache>
                <c:formatCode>General</c:formatCode>
                <c:ptCount val="43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 formatCode="0">
                  <c:v>17</c:v>
                </c:pt>
                <c:pt idx="10" formatCode="0">
                  <c:v>18</c:v>
                </c:pt>
                <c:pt idx="11" formatCode="0">
                  <c:v>19</c:v>
                </c:pt>
                <c:pt idx="12" formatCode="0">
                  <c:v>20</c:v>
                </c:pt>
                <c:pt idx="13" formatCode="0">
                  <c:v>21</c:v>
                </c:pt>
                <c:pt idx="14" formatCode="0">
                  <c:v>22</c:v>
                </c:pt>
                <c:pt idx="15" formatCode="0">
                  <c:v>23</c:v>
                </c:pt>
                <c:pt idx="16" formatCode="0">
                  <c:v>24</c:v>
                </c:pt>
                <c:pt idx="17" formatCode="0">
                  <c:v>25</c:v>
                </c:pt>
                <c:pt idx="18" formatCode="0">
                  <c:v>26</c:v>
                </c:pt>
                <c:pt idx="19" formatCode="0">
                  <c:v>27</c:v>
                </c:pt>
                <c:pt idx="20" formatCode="0">
                  <c:v>28</c:v>
                </c:pt>
                <c:pt idx="21" formatCode="0">
                  <c:v>29</c:v>
                </c:pt>
                <c:pt idx="22" formatCode="0">
                  <c:v>30</c:v>
                </c:pt>
                <c:pt idx="23" formatCode="0">
                  <c:v>31</c:v>
                </c:pt>
                <c:pt idx="24" formatCode="0">
                  <c:v>32</c:v>
                </c:pt>
                <c:pt idx="25" formatCode="0">
                  <c:v>33</c:v>
                </c:pt>
                <c:pt idx="26" formatCode="0">
                  <c:v>34</c:v>
                </c:pt>
                <c:pt idx="27" formatCode="0">
                  <c:v>35</c:v>
                </c:pt>
                <c:pt idx="28" formatCode="0">
                  <c:v>36</c:v>
                </c:pt>
                <c:pt idx="29" formatCode="0">
                  <c:v>37</c:v>
                </c:pt>
                <c:pt idx="30" formatCode="0">
                  <c:v>38</c:v>
                </c:pt>
                <c:pt idx="31" formatCode="0">
                  <c:v>39</c:v>
                </c:pt>
                <c:pt idx="32" formatCode="0">
                  <c:v>40</c:v>
                </c:pt>
                <c:pt idx="33" formatCode="0">
                  <c:v>41</c:v>
                </c:pt>
                <c:pt idx="34" formatCode="0">
                  <c:v>42</c:v>
                </c:pt>
                <c:pt idx="35" formatCode="0">
                  <c:v>43</c:v>
                </c:pt>
                <c:pt idx="36" formatCode="0">
                  <c:v>44</c:v>
                </c:pt>
                <c:pt idx="37" formatCode="0">
                  <c:v>45</c:v>
                </c:pt>
                <c:pt idx="38" formatCode="0">
                  <c:v>46</c:v>
                </c:pt>
                <c:pt idx="39" formatCode="0">
                  <c:v>47</c:v>
                </c:pt>
                <c:pt idx="40" formatCode="0">
                  <c:v>48</c:v>
                </c:pt>
                <c:pt idx="41" formatCode="0">
                  <c:v>49</c:v>
                </c:pt>
                <c:pt idx="42" formatCode="0">
                  <c:v>50</c:v>
                </c:pt>
              </c:numCache>
            </c:numRef>
          </c:cat>
          <c:val>
            <c:numRef>
              <c:f>'Tab&amp;Fig4.5.1b  et c'!$ER$7:$ER$49</c:f>
              <c:numCache>
                <c:formatCode>0.00</c:formatCode>
                <c:ptCount val="43"/>
                <c:pt idx="0">
                  <c:v>2.4595927505133855E-4</c:v>
                </c:pt>
                <c:pt idx="1">
                  <c:v>2.714477952270269E-3</c:v>
                </c:pt>
                <c:pt idx="2">
                  <c:v>7.1176574364147423E-3</c:v>
                </c:pt>
                <c:pt idx="3">
                  <c:v>3.4833308041915586E-3</c:v>
                </c:pt>
                <c:pt idx="4">
                  <c:v>9.1031498627078353E-4</c:v>
                </c:pt>
                <c:pt idx="5">
                  <c:v>5.2696416570151533E-4</c:v>
                </c:pt>
                <c:pt idx="6">
                  <c:v>1.4539967236060786E-3</c:v>
                </c:pt>
                <c:pt idx="7">
                  <c:v>1.04182419493495E-2</c:v>
                </c:pt>
                <c:pt idx="8">
                  <c:v>4.4639618306217786E-2</c:v>
                </c:pt>
                <c:pt idx="9">
                  <c:v>7.9294507664109226E-2</c:v>
                </c:pt>
                <c:pt idx="10">
                  <c:v>7.060763525676525E-2</c:v>
                </c:pt>
                <c:pt idx="11">
                  <c:v>6.3023446572849709E-2</c:v>
                </c:pt>
                <c:pt idx="12">
                  <c:v>3.3396424611685592E-2</c:v>
                </c:pt>
                <c:pt idx="13">
                  <c:v>1.9937855963110068E-2</c:v>
                </c:pt>
                <c:pt idx="14">
                  <c:v>2.833487222320984E-2</c:v>
                </c:pt>
                <c:pt idx="15">
                  <c:v>3.8039159296754083E-2</c:v>
                </c:pt>
                <c:pt idx="16">
                  <c:v>6.4787390759722605E-2</c:v>
                </c:pt>
                <c:pt idx="17">
                  <c:v>6.8166214291931121E-2</c:v>
                </c:pt>
                <c:pt idx="18">
                  <c:v>5.6986108560964227E-2</c:v>
                </c:pt>
                <c:pt idx="19">
                  <c:v>5.3001931557272633E-2</c:v>
                </c:pt>
                <c:pt idx="20">
                  <c:v>5.441406792542812E-2</c:v>
                </c:pt>
                <c:pt idx="21">
                  <c:v>6.9790186545147778E-2</c:v>
                </c:pt>
                <c:pt idx="22">
                  <c:v>7.1923693981538112E-2</c:v>
                </c:pt>
                <c:pt idx="23">
                  <c:v>5.9736424446754685E-2</c:v>
                </c:pt>
                <c:pt idx="24">
                  <c:v>3.9162477024584266E-2</c:v>
                </c:pt>
                <c:pt idx="25">
                  <c:v>2.5640869044344372E-2</c:v>
                </c:pt>
                <c:pt idx="26">
                  <c:v>1.089135014709197E-2</c:v>
                </c:pt>
                <c:pt idx="27">
                  <c:v>8.6711471486558139E-3</c:v>
                </c:pt>
                <c:pt idx="28">
                  <c:v>3.8666454148986971E-3</c:v>
                </c:pt>
                <c:pt idx="29">
                  <c:v>3.7075384708095053E-3</c:v>
                </c:pt>
                <c:pt idx="30">
                  <c:v>1.895375366967037E-3</c:v>
                </c:pt>
                <c:pt idx="31">
                  <c:v>1.2780109235865009E-3</c:v>
                </c:pt>
                <c:pt idx="32">
                  <c:v>1.0053876370021547E-3</c:v>
                </c:pt>
                <c:pt idx="33">
                  <c:v>2.9711746475733094E-4</c:v>
                </c:pt>
                <c:pt idx="34">
                  <c:v>1.9155851762714865E-4</c:v>
                </c:pt>
                <c:pt idx="35">
                  <c:v>1.5682220430494859E-4</c:v>
                </c:pt>
                <c:pt idx="36">
                  <c:v>1.2958779582606511E-4</c:v>
                </c:pt>
                <c:pt idx="37">
                  <c:v>3.8194197854777247E-5</c:v>
                </c:pt>
                <c:pt idx="38">
                  <c:v>4.8062137145857552E-5</c:v>
                </c:pt>
                <c:pt idx="39">
                  <c:v>3.808352533483463E-6</c:v>
                </c:pt>
                <c:pt idx="40">
                  <c:v>1.8487821686272891E-5</c:v>
                </c:pt>
                <c:pt idx="41">
                  <c:v>4.5908869795114454E-5</c:v>
                </c:pt>
                <c:pt idx="42">
                  <c:v>1.1702042121831451E-6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48-4491-B965-ACA80E192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3589504"/>
        <c:axId val="93591424"/>
      </c:barChart>
      <c:catAx>
        <c:axId val="93589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591424"/>
        <c:crosses val="autoZero"/>
        <c:auto val="1"/>
        <c:lblAlgn val="ctr"/>
        <c:lblOffset val="100"/>
        <c:noMultiLvlLbl val="0"/>
      </c:catAx>
      <c:valAx>
        <c:axId val="93591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58950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Trachurus trecae</a:t>
            </a:r>
          </a:p>
          <a:p>
            <a:pPr>
              <a:defRPr lang="pt-PT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 Nord Cap Blanc 2023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SC</c:v>
          </c:tx>
          <c:invertIfNegative val="0"/>
          <c:cat>
            <c:numRef>
              <c:f>'Tab&amp;Fig4.5.1b  et c'!$FF$7:$FF$49</c:f>
              <c:numCache>
                <c:formatCode>General</c:formatCode>
                <c:ptCount val="43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 formatCode="0">
                  <c:v>17</c:v>
                </c:pt>
                <c:pt idx="10" formatCode="0">
                  <c:v>18</c:v>
                </c:pt>
                <c:pt idx="11" formatCode="0">
                  <c:v>19</c:v>
                </c:pt>
                <c:pt idx="12" formatCode="0">
                  <c:v>20</c:v>
                </c:pt>
                <c:pt idx="13" formatCode="0">
                  <c:v>21</c:v>
                </c:pt>
                <c:pt idx="14" formatCode="0">
                  <c:v>22</c:v>
                </c:pt>
                <c:pt idx="15" formatCode="0">
                  <c:v>23</c:v>
                </c:pt>
                <c:pt idx="16" formatCode="0">
                  <c:v>24</c:v>
                </c:pt>
                <c:pt idx="17" formatCode="0">
                  <c:v>25</c:v>
                </c:pt>
                <c:pt idx="18" formatCode="0">
                  <c:v>26</c:v>
                </c:pt>
                <c:pt idx="19" formatCode="0">
                  <c:v>27</c:v>
                </c:pt>
                <c:pt idx="20" formatCode="0">
                  <c:v>28</c:v>
                </c:pt>
                <c:pt idx="21" formatCode="0">
                  <c:v>29</c:v>
                </c:pt>
                <c:pt idx="22" formatCode="0">
                  <c:v>30</c:v>
                </c:pt>
                <c:pt idx="23" formatCode="0">
                  <c:v>31</c:v>
                </c:pt>
                <c:pt idx="24" formatCode="0">
                  <c:v>32</c:v>
                </c:pt>
                <c:pt idx="25" formatCode="0">
                  <c:v>33</c:v>
                </c:pt>
                <c:pt idx="26" formatCode="0">
                  <c:v>34</c:v>
                </c:pt>
                <c:pt idx="27" formatCode="0">
                  <c:v>35</c:v>
                </c:pt>
                <c:pt idx="28" formatCode="0">
                  <c:v>36</c:v>
                </c:pt>
                <c:pt idx="29" formatCode="0">
                  <c:v>37</c:v>
                </c:pt>
                <c:pt idx="30" formatCode="0">
                  <c:v>38</c:v>
                </c:pt>
                <c:pt idx="31" formatCode="0">
                  <c:v>39</c:v>
                </c:pt>
                <c:pt idx="32" formatCode="0">
                  <c:v>40</c:v>
                </c:pt>
                <c:pt idx="33" formatCode="0">
                  <c:v>41</c:v>
                </c:pt>
                <c:pt idx="34" formatCode="0">
                  <c:v>42</c:v>
                </c:pt>
                <c:pt idx="35" formatCode="0">
                  <c:v>43</c:v>
                </c:pt>
                <c:pt idx="36" formatCode="0">
                  <c:v>44</c:v>
                </c:pt>
                <c:pt idx="37" formatCode="0">
                  <c:v>45</c:v>
                </c:pt>
                <c:pt idx="38" formatCode="0">
                  <c:v>46</c:v>
                </c:pt>
                <c:pt idx="39" formatCode="0">
                  <c:v>47</c:v>
                </c:pt>
                <c:pt idx="40" formatCode="0">
                  <c:v>48</c:v>
                </c:pt>
                <c:pt idx="41" formatCode="0">
                  <c:v>49</c:v>
                </c:pt>
                <c:pt idx="42" formatCode="0">
                  <c:v>50</c:v>
                </c:pt>
              </c:numCache>
            </c:numRef>
          </c:cat>
          <c:val>
            <c:numRef>
              <c:f>'Tab&amp;Fig4.5.1b  et c'!$FN$7:$FN$49</c:f>
              <c:numCache>
                <c:formatCode>0.00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1.5428559502034559E-3</c:v>
                </c:pt>
                <c:pt idx="3">
                  <c:v>4.5174725203433646E-3</c:v>
                </c:pt>
                <c:pt idx="4">
                  <c:v>1.7978138431947901E-3</c:v>
                </c:pt>
                <c:pt idx="5">
                  <c:v>1.5859394631744194E-3</c:v>
                </c:pt>
                <c:pt idx="6">
                  <c:v>8.0797068889984208E-3</c:v>
                </c:pt>
                <c:pt idx="7">
                  <c:v>2.5798339588237896E-2</c:v>
                </c:pt>
                <c:pt idx="8">
                  <c:v>4.7923095306895314E-2</c:v>
                </c:pt>
                <c:pt idx="9">
                  <c:v>5.249864973484742E-2</c:v>
                </c:pt>
                <c:pt idx="10">
                  <c:v>7.3403738883951936E-2</c:v>
                </c:pt>
                <c:pt idx="11">
                  <c:v>9.6233916919008067E-2</c:v>
                </c:pt>
                <c:pt idx="12">
                  <c:v>0.11420228568939049</c:v>
                </c:pt>
                <c:pt idx="13">
                  <c:v>0.1062214487805668</c:v>
                </c:pt>
                <c:pt idx="14">
                  <c:v>0.10517286827745714</c:v>
                </c:pt>
                <c:pt idx="15">
                  <c:v>8.605933222232176E-2</c:v>
                </c:pt>
                <c:pt idx="16">
                  <c:v>6.9835847561893802E-2</c:v>
                </c:pt>
                <c:pt idx="17">
                  <c:v>5.2366685890400756E-2</c:v>
                </c:pt>
                <c:pt idx="18">
                  <c:v>3.5123738215010344E-2</c:v>
                </c:pt>
                <c:pt idx="19">
                  <c:v>2.7674919557131968E-2</c:v>
                </c:pt>
                <c:pt idx="20">
                  <c:v>2.4076503846634692E-2</c:v>
                </c:pt>
                <c:pt idx="21">
                  <c:v>1.6085389885047638E-2</c:v>
                </c:pt>
                <c:pt idx="22">
                  <c:v>1.1467129689308648E-2</c:v>
                </c:pt>
                <c:pt idx="23">
                  <c:v>9.0894612557610253E-3</c:v>
                </c:pt>
                <c:pt idx="24">
                  <c:v>1.1241271357162116E-2</c:v>
                </c:pt>
                <c:pt idx="25">
                  <c:v>9.0222531096809926E-3</c:v>
                </c:pt>
                <c:pt idx="26">
                  <c:v>4.3061205913045445E-3</c:v>
                </c:pt>
                <c:pt idx="27">
                  <c:v>2.4319038991863209E-3</c:v>
                </c:pt>
                <c:pt idx="28">
                  <c:v>1.4156619251055255E-3</c:v>
                </c:pt>
                <c:pt idx="29">
                  <c:v>5.6451218698708866E-4</c:v>
                </c:pt>
                <c:pt idx="30">
                  <c:v>2.6113696079337382E-4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94-4964-93C0-BF9ED2876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3589504"/>
        <c:axId val="93591424"/>
      </c:barChart>
      <c:catAx>
        <c:axId val="93589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591424"/>
        <c:crosses val="autoZero"/>
        <c:auto val="1"/>
        <c:lblAlgn val="ctr"/>
        <c:lblOffset val="100"/>
        <c:noMultiLvlLbl val="0"/>
      </c:catAx>
      <c:valAx>
        <c:axId val="93591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58950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Trachurus trecae</a:t>
            </a:r>
          </a:p>
          <a:p>
            <a:pPr>
              <a:defRPr lang="pt-PT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 South Cap Blanc 2023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'Tab&amp;Fig4.5.1b  et c'!$FF$7:$FF$49</c15:sqref>
                  </c15:fullRef>
                </c:ext>
              </c:extLst>
              <c:f>'Tab&amp;Fig4.5.1b  et c'!$FF$8:$FF$49</c:f>
              <c:numCache>
                <c:formatCode>General</c:formatCode>
                <c:ptCount val="42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 formatCode="0">
                  <c:v>17</c:v>
                </c:pt>
                <c:pt idx="9" formatCode="0">
                  <c:v>18</c:v>
                </c:pt>
                <c:pt idx="10" formatCode="0">
                  <c:v>19</c:v>
                </c:pt>
                <c:pt idx="11" formatCode="0">
                  <c:v>20</c:v>
                </c:pt>
                <c:pt idx="12" formatCode="0">
                  <c:v>21</c:v>
                </c:pt>
                <c:pt idx="13" formatCode="0">
                  <c:v>22</c:v>
                </c:pt>
                <c:pt idx="14" formatCode="0">
                  <c:v>23</c:v>
                </c:pt>
                <c:pt idx="15" formatCode="0">
                  <c:v>24</c:v>
                </c:pt>
                <c:pt idx="16" formatCode="0">
                  <c:v>25</c:v>
                </c:pt>
                <c:pt idx="17" formatCode="0">
                  <c:v>26</c:v>
                </c:pt>
                <c:pt idx="18" formatCode="0">
                  <c:v>27</c:v>
                </c:pt>
                <c:pt idx="19" formatCode="0">
                  <c:v>28</c:v>
                </c:pt>
                <c:pt idx="20" formatCode="0">
                  <c:v>29</c:v>
                </c:pt>
                <c:pt idx="21" formatCode="0">
                  <c:v>30</c:v>
                </c:pt>
                <c:pt idx="22" formatCode="0">
                  <c:v>31</c:v>
                </c:pt>
                <c:pt idx="23" formatCode="0">
                  <c:v>32</c:v>
                </c:pt>
                <c:pt idx="24" formatCode="0">
                  <c:v>33</c:v>
                </c:pt>
                <c:pt idx="25" formatCode="0">
                  <c:v>34</c:v>
                </c:pt>
                <c:pt idx="26" formatCode="0">
                  <c:v>35</c:v>
                </c:pt>
                <c:pt idx="27" formatCode="0">
                  <c:v>36</c:v>
                </c:pt>
                <c:pt idx="28" formatCode="0">
                  <c:v>37</c:v>
                </c:pt>
                <c:pt idx="29" formatCode="0">
                  <c:v>38</c:v>
                </c:pt>
                <c:pt idx="30" formatCode="0">
                  <c:v>39</c:v>
                </c:pt>
                <c:pt idx="31" formatCode="0">
                  <c:v>40</c:v>
                </c:pt>
                <c:pt idx="32" formatCode="0">
                  <c:v>41</c:v>
                </c:pt>
                <c:pt idx="33" formatCode="0">
                  <c:v>42</c:v>
                </c:pt>
                <c:pt idx="34" formatCode="0">
                  <c:v>43</c:v>
                </c:pt>
                <c:pt idx="35" formatCode="0">
                  <c:v>44</c:v>
                </c:pt>
                <c:pt idx="36" formatCode="0">
                  <c:v>45</c:v>
                </c:pt>
                <c:pt idx="37" formatCode="0">
                  <c:v>46</c:v>
                </c:pt>
                <c:pt idx="38" formatCode="0">
                  <c:v>47</c:v>
                </c:pt>
                <c:pt idx="39" formatCode="0">
                  <c:v>48</c:v>
                </c:pt>
                <c:pt idx="40" formatCode="0">
                  <c:v>49</c:v>
                </c:pt>
                <c:pt idx="41" formatCode="0">
                  <c:v>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'Tab&amp;Fig4.5.1b  et c'!$FO$7:$FO$49</c15:sqref>
                  </c15:fullRef>
                </c:ext>
              </c:extLst>
              <c:f>'Tab&amp;Fig4.5.1b  et c'!$FO$8:$FO$49</c:f>
              <c:numCache>
                <c:formatCode>0.00</c:formatCode>
                <c:ptCount val="42"/>
                <c:pt idx="0">
                  <c:v>1.6383248432870206E-6</c:v>
                </c:pt>
                <c:pt idx="1">
                  <c:v>1.0247113777729628E-3</c:v>
                </c:pt>
                <c:pt idx="2">
                  <c:v>1.1170396658775141E-6</c:v>
                </c:pt>
                <c:pt idx="3">
                  <c:v>2.7635371108636217E-4</c:v>
                </c:pt>
                <c:pt idx="4">
                  <c:v>1.5198105042503126E-3</c:v>
                </c:pt>
                <c:pt idx="5">
                  <c:v>2.0817244124051362E-2</c:v>
                </c:pt>
                <c:pt idx="6">
                  <c:v>4.8002997811392681E-2</c:v>
                </c:pt>
                <c:pt idx="7">
                  <c:v>4.3163253965921862E-2</c:v>
                </c:pt>
                <c:pt idx="8">
                  <c:v>5.1264751548890902E-2</c:v>
                </c:pt>
                <c:pt idx="9">
                  <c:v>4.4895134315524665E-2</c:v>
                </c:pt>
                <c:pt idx="10">
                  <c:v>5.3552163751394384E-2</c:v>
                </c:pt>
                <c:pt idx="11">
                  <c:v>7.3214924551291374E-2</c:v>
                </c:pt>
                <c:pt idx="12">
                  <c:v>0.10134051502054243</c:v>
                </c:pt>
                <c:pt idx="13">
                  <c:v>9.9510411432280857E-2</c:v>
                </c:pt>
                <c:pt idx="14">
                  <c:v>7.9070548122500001E-2</c:v>
                </c:pt>
                <c:pt idx="15">
                  <c:v>6.8767756486508638E-2</c:v>
                </c:pt>
                <c:pt idx="16">
                  <c:v>5.894879070332773E-2</c:v>
                </c:pt>
                <c:pt idx="17">
                  <c:v>5.0546340134220581E-2</c:v>
                </c:pt>
                <c:pt idx="18">
                  <c:v>4.4001167757972526E-2</c:v>
                </c:pt>
                <c:pt idx="19">
                  <c:v>3.6474426569243337E-2</c:v>
                </c:pt>
                <c:pt idx="20">
                  <c:v>4.2388523241180927E-2</c:v>
                </c:pt>
                <c:pt idx="21">
                  <c:v>2.8894488089105656E-2</c:v>
                </c:pt>
                <c:pt idx="22">
                  <c:v>2.1111319409446706E-2</c:v>
                </c:pt>
                <c:pt idx="23">
                  <c:v>1.339498363994852E-2</c:v>
                </c:pt>
                <c:pt idx="24">
                  <c:v>6.9391085571159214E-3</c:v>
                </c:pt>
                <c:pt idx="25">
                  <c:v>3.8788088422957723E-3</c:v>
                </c:pt>
                <c:pt idx="26">
                  <c:v>2.3805762768557208E-3</c:v>
                </c:pt>
                <c:pt idx="27">
                  <c:v>1.5062699073917637E-3</c:v>
                </c:pt>
                <c:pt idx="28">
                  <c:v>1.2452071906194845E-3</c:v>
                </c:pt>
                <c:pt idx="29">
                  <c:v>6.5276059773146985E-4</c:v>
                </c:pt>
                <c:pt idx="30">
                  <c:v>7.0951539071095206E-4</c:v>
                </c:pt>
                <c:pt idx="31">
                  <c:v>9.4662959016630807E-5</c:v>
                </c:pt>
                <c:pt idx="32">
                  <c:v>1.4460936552580412E-4</c:v>
                </c:pt>
                <c:pt idx="33">
                  <c:v>6.4170430936065617E-5</c:v>
                </c:pt>
                <c:pt idx="34">
                  <c:v>4.6739298153190655E-5</c:v>
                </c:pt>
                <c:pt idx="35">
                  <c:v>6.4459893379737796E-5</c:v>
                </c:pt>
                <c:pt idx="36">
                  <c:v>1.7461736093637864E-5</c:v>
                </c:pt>
                <c:pt idx="37">
                  <c:v>2.9636337610565168E-5</c:v>
                </c:pt>
                <c:pt idx="38">
                  <c:v>1.6440984278596086E-6</c:v>
                </c:pt>
                <c:pt idx="39">
                  <c:v>1.1019394342776223E-5</c:v>
                </c:pt>
                <c:pt idx="40">
                  <c:v>2.9015096817430198E-5</c:v>
                </c:pt>
                <c:pt idx="41">
                  <c:v>7.3958667822120672E-7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46-4153-8924-6F5959B9D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3589504"/>
        <c:axId val="93591424"/>
      </c:barChart>
      <c:catAx>
        <c:axId val="93589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591424"/>
        <c:crosses val="autoZero"/>
        <c:auto val="1"/>
        <c:lblAlgn val="ctr"/>
        <c:lblOffset val="100"/>
        <c:noMultiLvlLbl val="0"/>
      </c:catAx>
      <c:valAx>
        <c:axId val="93591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58950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Trachurus trecae</a:t>
            </a:r>
          </a:p>
          <a:p>
            <a:pPr>
              <a:defRPr lang="pt-PT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 South Cap Blanc 2024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'Tab&amp;Fig4.5.1b  et c'!$GB$8:$GB$43</c:f>
              <c:numCache>
                <c:formatCode>General</c:formatCode>
                <c:ptCount val="36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 formatCode="0">
                  <c:v>17</c:v>
                </c:pt>
                <c:pt idx="9" formatCode="0">
                  <c:v>18</c:v>
                </c:pt>
                <c:pt idx="10" formatCode="0">
                  <c:v>19</c:v>
                </c:pt>
                <c:pt idx="11" formatCode="0">
                  <c:v>20</c:v>
                </c:pt>
                <c:pt idx="12" formatCode="0">
                  <c:v>21</c:v>
                </c:pt>
                <c:pt idx="13" formatCode="0">
                  <c:v>22</c:v>
                </c:pt>
                <c:pt idx="14" formatCode="0">
                  <c:v>23</c:v>
                </c:pt>
                <c:pt idx="15" formatCode="0">
                  <c:v>24</c:v>
                </c:pt>
                <c:pt idx="16" formatCode="0">
                  <c:v>25</c:v>
                </c:pt>
                <c:pt idx="17" formatCode="0">
                  <c:v>26</c:v>
                </c:pt>
                <c:pt idx="18" formatCode="0">
                  <c:v>27</c:v>
                </c:pt>
                <c:pt idx="19" formatCode="0">
                  <c:v>28</c:v>
                </c:pt>
                <c:pt idx="20" formatCode="0">
                  <c:v>29</c:v>
                </c:pt>
                <c:pt idx="21" formatCode="0">
                  <c:v>30</c:v>
                </c:pt>
                <c:pt idx="22" formatCode="0">
                  <c:v>31</c:v>
                </c:pt>
                <c:pt idx="23" formatCode="0">
                  <c:v>32</c:v>
                </c:pt>
                <c:pt idx="24" formatCode="0">
                  <c:v>33</c:v>
                </c:pt>
                <c:pt idx="25" formatCode="0">
                  <c:v>34</c:v>
                </c:pt>
                <c:pt idx="26" formatCode="0">
                  <c:v>35</c:v>
                </c:pt>
                <c:pt idx="27" formatCode="0">
                  <c:v>36</c:v>
                </c:pt>
                <c:pt idx="28" formatCode="0">
                  <c:v>37</c:v>
                </c:pt>
                <c:pt idx="29" formatCode="0">
                  <c:v>38</c:v>
                </c:pt>
                <c:pt idx="30" formatCode="0">
                  <c:v>39</c:v>
                </c:pt>
                <c:pt idx="31" formatCode="0">
                  <c:v>40</c:v>
                </c:pt>
                <c:pt idx="32" formatCode="0">
                  <c:v>41</c:v>
                </c:pt>
                <c:pt idx="33" formatCode="0">
                  <c:v>42</c:v>
                </c:pt>
                <c:pt idx="34" formatCode="0">
                  <c:v>43</c:v>
                </c:pt>
                <c:pt idx="35" formatCode="0">
                  <c:v>44</c:v>
                </c:pt>
              </c:numCache>
            </c:numRef>
          </c:cat>
          <c:val>
            <c:numRef>
              <c:f>'Tab&amp;Fig4.5.1b  et c'!$GK$8:$GK$43</c:f>
              <c:numCache>
                <c:formatCode>0</c:formatCode>
                <c:ptCount val="36"/>
                <c:pt idx="0">
                  <c:v>0.17030939540164627</c:v>
                </c:pt>
                <c:pt idx="1">
                  <c:v>1.9017882486517166</c:v>
                </c:pt>
                <c:pt idx="2">
                  <c:v>3.0655691172296331</c:v>
                </c:pt>
                <c:pt idx="3">
                  <c:v>1.7030939540164631</c:v>
                </c:pt>
                <c:pt idx="4">
                  <c:v>1.5043996593812088</c:v>
                </c:pt>
                <c:pt idx="5">
                  <c:v>1.0502412716434852</c:v>
                </c:pt>
                <c:pt idx="6">
                  <c:v>0.45415838773772343</c:v>
                </c:pt>
                <c:pt idx="7">
                  <c:v>0.42577348850411578</c:v>
                </c:pt>
                <c:pt idx="8">
                  <c:v>1.3340902639795624</c:v>
                </c:pt>
                <c:pt idx="9">
                  <c:v>1.7598637524836782</c:v>
                </c:pt>
                <c:pt idx="10">
                  <c:v>3.2926483110984943</c:v>
                </c:pt>
                <c:pt idx="11">
                  <c:v>3.6048822026681795</c:v>
                </c:pt>
                <c:pt idx="12">
                  <c:v>2.9236446210615941</c:v>
                </c:pt>
                <c:pt idx="13">
                  <c:v>4.0022707919386873</c:v>
                </c:pt>
                <c:pt idx="14">
                  <c:v>4.5415838773772341</c:v>
                </c:pt>
                <c:pt idx="15">
                  <c:v>6.3866023275617358</c:v>
                </c:pt>
                <c:pt idx="16">
                  <c:v>9.3670167470905454</c:v>
                </c:pt>
                <c:pt idx="17">
                  <c:v>9.9914845302299167</c:v>
                </c:pt>
                <c:pt idx="18">
                  <c:v>8.7993187624183911</c:v>
                </c:pt>
                <c:pt idx="19">
                  <c:v>7.7490774907749058</c:v>
                </c:pt>
                <c:pt idx="20">
                  <c:v>6.7556060175986348</c:v>
                </c:pt>
                <c:pt idx="21">
                  <c:v>6.7839909168322432</c:v>
                </c:pt>
                <c:pt idx="22">
                  <c:v>5.0241271643485659</c:v>
                </c:pt>
                <c:pt idx="23">
                  <c:v>2.98041441952881</c:v>
                </c:pt>
                <c:pt idx="24">
                  <c:v>2.0153278455861479</c:v>
                </c:pt>
                <c:pt idx="25">
                  <c:v>0.96508657394266217</c:v>
                </c:pt>
                <c:pt idx="26">
                  <c:v>0.56769798467215427</c:v>
                </c:pt>
                <c:pt idx="27">
                  <c:v>0.42577348850411578</c:v>
                </c:pt>
                <c:pt idx="28">
                  <c:v>0.19869429463525401</c:v>
                </c:pt>
                <c:pt idx="29">
                  <c:v>0.14192449616803857</c:v>
                </c:pt>
                <c:pt idx="30">
                  <c:v>5.6769798467215429E-2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5.6769798467215429E-2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C9-4C57-B22B-C290C4C26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3589504"/>
        <c:axId val="93591424"/>
      </c:barChart>
      <c:catAx>
        <c:axId val="93589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591424"/>
        <c:crosses val="autoZero"/>
        <c:auto val="1"/>
        <c:lblAlgn val="ctr"/>
        <c:lblOffset val="100"/>
        <c:noMultiLvlLbl val="0"/>
      </c:catAx>
      <c:valAx>
        <c:axId val="93591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58950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Trachurus trecae</a:t>
            </a:r>
          </a:p>
          <a:p>
            <a:pPr>
              <a:defRPr lang="pt-PT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 North Cap Blanc 2024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'Tab&amp;Fig4.5.1b  et c'!$GB$16:$GB$38</c:f>
              <c:numCache>
                <c:formatCode>0</c:formatCode>
                <c:ptCount val="23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  <c:pt idx="14">
                  <c:v>31</c:v>
                </c:pt>
                <c:pt idx="15">
                  <c:v>32</c:v>
                </c:pt>
                <c:pt idx="16">
                  <c:v>33</c:v>
                </c:pt>
                <c:pt idx="17">
                  <c:v>34</c:v>
                </c:pt>
                <c:pt idx="18">
                  <c:v>35</c:v>
                </c:pt>
                <c:pt idx="19">
                  <c:v>36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</c:numCache>
            </c:numRef>
          </c:cat>
          <c:val>
            <c:numRef>
              <c:f>'Tab&amp;Fig4.5.1b  et c'!$GJ$16:$GJ$38</c:f>
              <c:numCache>
                <c:formatCode>0</c:formatCode>
                <c:ptCount val="23"/>
                <c:pt idx="0">
                  <c:v>0.47914699230041807</c:v>
                </c:pt>
                <c:pt idx="1">
                  <c:v>0.5308391989386374</c:v>
                </c:pt>
                <c:pt idx="2">
                  <c:v>0.90969216630728889</c:v>
                </c:pt>
                <c:pt idx="3">
                  <c:v>5.2748131117761563</c:v>
                </c:pt>
                <c:pt idx="4">
                  <c:v>10.100293990540884</c:v>
                </c:pt>
                <c:pt idx="5">
                  <c:v>15.554449059344563</c:v>
                </c:pt>
                <c:pt idx="6">
                  <c:v>11.98273783464249</c:v>
                </c:pt>
                <c:pt idx="7">
                  <c:v>10.418304204115882</c:v>
                </c:pt>
                <c:pt idx="8">
                  <c:v>12.584683853797415</c:v>
                </c:pt>
                <c:pt idx="9">
                  <c:v>13.480909640318195</c:v>
                </c:pt>
                <c:pt idx="10">
                  <c:v>9.4629214992381314</c:v>
                </c:pt>
                <c:pt idx="11">
                  <c:v>4.6009080364252144</c:v>
                </c:pt>
                <c:pt idx="12">
                  <c:v>2.4743616710938001</c:v>
                </c:pt>
                <c:pt idx="13">
                  <c:v>1.1276245133084082</c:v>
                </c:pt>
                <c:pt idx="14">
                  <c:v>0.45922126773620725</c:v>
                </c:pt>
                <c:pt idx="15">
                  <c:v>0.16042461996689433</c:v>
                </c:pt>
                <c:pt idx="16">
                  <c:v>6.0404293962036767E-2</c:v>
                </c:pt>
                <c:pt idx="17">
                  <c:v>6.0404293962036781E-2</c:v>
                </c:pt>
                <c:pt idx="18">
                  <c:v>6.0404293962036802E-2</c:v>
                </c:pt>
                <c:pt idx="19">
                  <c:v>6.0404293962036781E-2</c:v>
                </c:pt>
                <c:pt idx="20">
                  <c:v>6.0404293962036781E-2</c:v>
                </c:pt>
                <c:pt idx="21">
                  <c:v>6.0404293962036767E-2</c:v>
                </c:pt>
                <c:pt idx="22">
                  <c:v>3.6242576377222072E-2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A1-4F59-B94A-18ACD1734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3589504"/>
        <c:axId val="93591424"/>
      </c:barChart>
      <c:catAx>
        <c:axId val="93589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591424"/>
        <c:crosses val="autoZero"/>
        <c:auto val="1"/>
        <c:lblAlgn val="ctr"/>
        <c:lblOffset val="100"/>
        <c:noMultiLvlLbl val="0"/>
      </c:catAx>
      <c:valAx>
        <c:axId val="93591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58950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Trachurus trecae</a:t>
            </a:r>
          </a:p>
          <a:p>
            <a:pPr>
              <a:defRPr lang="pt-PT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 South Cap Blanc 2025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'Tab&amp;Fig4.5.1b  et c'!$HC$8:$HC$43</c:f>
              <c:numCache>
                <c:formatCode>General</c:formatCode>
                <c:ptCount val="36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 formatCode="0">
                  <c:v>17</c:v>
                </c:pt>
                <c:pt idx="9" formatCode="0">
                  <c:v>18</c:v>
                </c:pt>
                <c:pt idx="10" formatCode="0">
                  <c:v>19</c:v>
                </c:pt>
                <c:pt idx="11" formatCode="0">
                  <c:v>20</c:v>
                </c:pt>
                <c:pt idx="12" formatCode="0">
                  <c:v>21</c:v>
                </c:pt>
                <c:pt idx="13" formatCode="0">
                  <c:v>22</c:v>
                </c:pt>
                <c:pt idx="14" formatCode="0">
                  <c:v>23</c:v>
                </c:pt>
                <c:pt idx="15" formatCode="0">
                  <c:v>24</c:v>
                </c:pt>
                <c:pt idx="16" formatCode="0">
                  <c:v>25</c:v>
                </c:pt>
                <c:pt idx="17" formatCode="0">
                  <c:v>26</c:v>
                </c:pt>
                <c:pt idx="18" formatCode="0">
                  <c:v>27</c:v>
                </c:pt>
                <c:pt idx="19" formatCode="0">
                  <c:v>28</c:v>
                </c:pt>
                <c:pt idx="20" formatCode="0">
                  <c:v>29</c:v>
                </c:pt>
                <c:pt idx="21" formatCode="0">
                  <c:v>30</c:v>
                </c:pt>
                <c:pt idx="22" formatCode="0">
                  <c:v>31</c:v>
                </c:pt>
                <c:pt idx="23" formatCode="0">
                  <c:v>32</c:v>
                </c:pt>
                <c:pt idx="24" formatCode="0">
                  <c:v>33</c:v>
                </c:pt>
                <c:pt idx="25" formatCode="0">
                  <c:v>34</c:v>
                </c:pt>
                <c:pt idx="26" formatCode="0">
                  <c:v>35</c:v>
                </c:pt>
                <c:pt idx="27" formatCode="0">
                  <c:v>36</c:v>
                </c:pt>
                <c:pt idx="28" formatCode="0">
                  <c:v>37</c:v>
                </c:pt>
                <c:pt idx="29" formatCode="0">
                  <c:v>38</c:v>
                </c:pt>
                <c:pt idx="30" formatCode="0">
                  <c:v>39</c:v>
                </c:pt>
                <c:pt idx="31" formatCode="0">
                  <c:v>40</c:v>
                </c:pt>
                <c:pt idx="32" formatCode="0">
                  <c:v>41</c:v>
                </c:pt>
                <c:pt idx="33" formatCode="0">
                  <c:v>42</c:v>
                </c:pt>
                <c:pt idx="34" formatCode="0">
                  <c:v>43</c:v>
                </c:pt>
                <c:pt idx="35" formatCode="0">
                  <c:v>44</c:v>
                </c:pt>
              </c:numCache>
            </c:numRef>
          </c:cat>
          <c:val>
            <c:numRef>
              <c:f>'Tab&amp;Fig4.5.1b  et c'!$HL$8:$HL$43</c:f>
              <c:numCache>
                <c:formatCode>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0.56693725035433584</c:v>
                </c:pt>
                <c:pt idx="3">
                  <c:v>0.8632908130395569</c:v>
                </c:pt>
                <c:pt idx="4">
                  <c:v>0.28346862517716792</c:v>
                </c:pt>
                <c:pt idx="5">
                  <c:v>9.0194562556371621E-2</c:v>
                </c:pt>
                <c:pt idx="6">
                  <c:v>0.14173431258858396</c:v>
                </c:pt>
                <c:pt idx="7">
                  <c:v>0.28346862517716792</c:v>
                </c:pt>
                <c:pt idx="8">
                  <c:v>0.30923850019327415</c:v>
                </c:pt>
                <c:pt idx="9">
                  <c:v>0.74732637546707914</c:v>
                </c:pt>
                <c:pt idx="10">
                  <c:v>0.8632908130395569</c:v>
                </c:pt>
                <c:pt idx="11">
                  <c:v>2.0487050637804414</c:v>
                </c:pt>
                <c:pt idx="12">
                  <c:v>3.9041360649400856</c:v>
                </c:pt>
                <c:pt idx="13">
                  <c:v>6.7774771292359244</c:v>
                </c:pt>
                <c:pt idx="14">
                  <c:v>9.7410127560881357</c:v>
                </c:pt>
                <c:pt idx="15">
                  <c:v>11.119701069449816</c:v>
                </c:pt>
                <c:pt idx="16">
                  <c:v>11.622213632263886</c:v>
                </c:pt>
                <c:pt idx="17">
                  <c:v>10.578533694111586</c:v>
                </c:pt>
                <c:pt idx="18">
                  <c:v>10.55276381909548</c:v>
                </c:pt>
                <c:pt idx="19">
                  <c:v>8.4782888802989333</c:v>
                </c:pt>
                <c:pt idx="20">
                  <c:v>6.107460378817164</c:v>
                </c:pt>
                <c:pt idx="21">
                  <c:v>5.5276381909547752</c:v>
                </c:pt>
                <c:pt idx="22">
                  <c:v>4.0072155650045103</c:v>
                </c:pt>
                <c:pt idx="23">
                  <c:v>2.4867929390542458</c:v>
                </c:pt>
                <c:pt idx="24">
                  <c:v>2.0229351887643352</c:v>
                </c:pt>
                <c:pt idx="25">
                  <c:v>0.61847700038654829</c:v>
                </c:pt>
                <c:pt idx="26">
                  <c:v>0.14173431258858396</c:v>
                </c:pt>
                <c:pt idx="27">
                  <c:v>7.7309625048318537E-2</c:v>
                </c:pt>
                <c:pt idx="28">
                  <c:v>1.288493750805309E-2</c:v>
                </c:pt>
                <c:pt idx="29">
                  <c:v>2.576987501610618E-2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F-4D88-AB69-45286D647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3589504"/>
        <c:axId val="93591424"/>
      </c:barChart>
      <c:catAx>
        <c:axId val="93589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591424"/>
        <c:crosses val="autoZero"/>
        <c:auto val="1"/>
        <c:lblAlgn val="ctr"/>
        <c:lblOffset val="100"/>
        <c:noMultiLvlLbl val="0"/>
      </c:catAx>
      <c:valAx>
        <c:axId val="93591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58950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PT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Trachurus trecae</a:t>
            </a:r>
          </a:p>
          <a:p>
            <a:pPr>
              <a:defRPr lang="pt-PT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 North Cap Blanc 2025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'Tab&amp;Fig4.5.1b  et c'!$HC$8:$HC$49</c:f>
              <c:numCache>
                <c:formatCode>General</c:formatCode>
                <c:ptCount val="42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 formatCode="0">
                  <c:v>17</c:v>
                </c:pt>
                <c:pt idx="9" formatCode="0">
                  <c:v>18</c:v>
                </c:pt>
                <c:pt idx="10" formatCode="0">
                  <c:v>19</c:v>
                </c:pt>
                <c:pt idx="11" formatCode="0">
                  <c:v>20</c:v>
                </c:pt>
                <c:pt idx="12" formatCode="0">
                  <c:v>21</c:v>
                </c:pt>
                <c:pt idx="13" formatCode="0">
                  <c:v>22</c:v>
                </c:pt>
                <c:pt idx="14" formatCode="0">
                  <c:v>23</c:v>
                </c:pt>
                <c:pt idx="15" formatCode="0">
                  <c:v>24</c:v>
                </c:pt>
                <c:pt idx="16" formatCode="0">
                  <c:v>25</c:v>
                </c:pt>
                <c:pt idx="17" formatCode="0">
                  <c:v>26</c:v>
                </c:pt>
                <c:pt idx="18" formatCode="0">
                  <c:v>27</c:v>
                </c:pt>
                <c:pt idx="19" formatCode="0">
                  <c:v>28</c:v>
                </c:pt>
                <c:pt idx="20" formatCode="0">
                  <c:v>29</c:v>
                </c:pt>
                <c:pt idx="21" formatCode="0">
                  <c:v>30</c:v>
                </c:pt>
                <c:pt idx="22" formatCode="0">
                  <c:v>31</c:v>
                </c:pt>
                <c:pt idx="23" formatCode="0">
                  <c:v>32</c:v>
                </c:pt>
                <c:pt idx="24" formatCode="0">
                  <c:v>33</c:v>
                </c:pt>
                <c:pt idx="25" formatCode="0">
                  <c:v>34</c:v>
                </c:pt>
                <c:pt idx="26" formatCode="0">
                  <c:v>35</c:v>
                </c:pt>
                <c:pt idx="27" formatCode="0">
                  <c:v>36</c:v>
                </c:pt>
                <c:pt idx="28" formatCode="0">
                  <c:v>37</c:v>
                </c:pt>
                <c:pt idx="29" formatCode="0">
                  <c:v>38</c:v>
                </c:pt>
                <c:pt idx="30" formatCode="0">
                  <c:v>39</c:v>
                </c:pt>
                <c:pt idx="31" formatCode="0">
                  <c:v>40</c:v>
                </c:pt>
                <c:pt idx="32" formatCode="0">
                  <c:v>41</c:v>
                </c:pt>
                <c:pt idx="33" formatCode="0">
                  <c:v>42</c:v>
                </c:pt>
                <c:pt idx="34" formatCode="0">
                  <c:v>43</c:v>
                </c:pt>
                <c:pt idx="35" formatCode="0">
                  <c:v>44</c:v>
                </c:pt>
                <c:pt idx="36" formatCode="0">
                  <c:v>45</c:v>
                </c:pt>
                <c:pt idx="37" formatCode="0">
                  <c:v>46</c:v>
                </c:pt>
                <c:pt idx="38" formatCode="0">
                  <c:v>47</c:v>
                </c:pt>
                <c:pt idx="39" formatCode="0">
                  <c:v>48</c:v>
                </c:pt>
                <c:pt idx="40" formatCode="0">
                  <c:v>49</c:v>
                </c:pt>
                <c:pt idx="41" formatCode="0">
                  <c:v>50</c:v>
                </c:pt>
              </c:numCache>
            </c:numRef>
          </c:cat>
          <c:val>
            <c:numRef>
              <c:f>'Tab&amp;Fig4.5.1b  et c'!$HK$8:$HK$49</c:f>
              <c:numCache>
                <c:formatCode>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0.19840286836264961</c:v>
                </c:pt>
                <c:pt idx="4">
                  <c:v>4.7253581953621255</c:v>
                </c:pt>
                <c:pt idx="5">
                  <c:v>12.709335832087964</c:v>
                </c:pt>
                <c:pt idx="6">
                  <c:v>10.838874275658322</c:v>
                </c:pt>
                <c:pt idx="7">
                  <c:v>7.4726376108765677</c:v>
                </c:pt>
                <c:pt idx="8">
                  <c:v>7.447833919166662</c:v>
                </c:pt>
                <c:pt idx="9">
                  <c:v>9.2166238279597295</c:v>
                </c:pt>
                <c:pt idx="10">
                  <c:v>8.5687225372616851</c:v>
                </c:pt>
                <c:pt idx="11">
                  <c:v>7.9564066898467072</c:v>
                </c:pt>
                <c:pt idx="12">
                  <c:v>5.0604746150495616</c:v>
                </c:pt>
                <c:pt idx="13">
                  <c:v>5.154945120484892</c:v>
                </c:pt>
                <c:pt idx="14">
                  <c:v>6.9793539079268481</c:v>
                </c:pt>
                <c:pt idx="15">
                  <c:v>9.1857886844942254</c:v>
                </c:pt>
                <c:pt idx="16">
                  <c:v>11.654795953928883</c:v>
                </c:pt>
                <c:pt idx="17">
                  <c:v>9.3582095762208066</c:v>
                </c:pt>
                <c:pt idx="18">
                  <c:v>11.324468956988259</c:v>
                </c:pt>
                <c:pt idx="19">
                  <c:v>8.2585990181279776</c:v>
                </c:pt>
                <c:pt idx="20">
                  <c:v>7.5959335567256332</c:v>
                </c:pt>
                <c:pt idx="21">
                  <c:v>6.4658662120930854</c:v>
                </c:pt>
                <c:pt idx="22">
                  <c:v>3.1048630162405919</c:v>
                </c:pt>
                <c:pt idx="23">
                  <c:v>2.3797956097047424</c:v>
                </c:pt>
                <c:pt idx="24">
                  <c:v>1.0723010715384536</c:v>
                </c:pt>
                <c:pt idx="25">
                  <c:v>0.47061821691332817</c:v>
                </c:pt>
                <c:pt idx="26">
                  <c:v>7.6686438814797808E-2</c:v>
                </c:pt>
                <c:pt idx="27">
                  <c:v>3.4194679737534886E-2</c:v>
                </c:pt>
                <c:pt idx="28">
                  <c:v>1.1390993093657105E-2</c:v>
                </c:pt>
                <c:pt idx="29">
                  <c:v>6.1896193034345678E-3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C-4BDB-8C40-C33E1F48A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3589504"/>
        <c:axId val="93591424"/>
      </c:barChart>
      <c:catAx>
        <c:axId val="93589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TL(cm)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591424"/>
        <c:crosses val="autoZero"/>
        <c:auto val="1"/>
        <c:lblAlgn val="ctr"/>
        <c:lblOffset val="100"/>
        <c:noMultiLvlLbl val="0"/>
      </c:catAx>
      <c:valAx>
        <c:axId val="93591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PT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58950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2013</a:t>
            </a:r>
          </a:p>
        </c:rich>
      </c:tx>
      <c:layout>
        <c:manualLayout>
          <c:xMode val="edge"/>
          <c:yMode val="edge"/>
          <c:x val="0.39642869906013689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867"/>
          <c:w val="0.72709690069313149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frequency 2013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'Tab&amp;Fig4.5.1b  et c_Picturatus'!$B$5:$B$34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</c:v>
                </c:pt>
                <c:pt idx="6">
                  <c:v>192</c:v>
                </c:pt>
                <c:pt idx="7">
                  <c:v>1799</c:v>
                </c:pt>
                <c:pt idx="8">
                  <c:v>1979</c:v>
                </c:pt>
                <c:pt idx="9">
                  <c:v>638</c:v>
                </c:pt>
                <c:pt idx="10">
                  <c:v>473</c:v>
                </c:pt>
                <c:pt idx="11">
                  <c:v>679</c:v>
                </c:pt>
                <c:pt idx="12">
                  <c:v>1131</c:v>
                </c:pt>
                <c:pt idx="13">
                  <c:v>1173</c:v>
                </c:pt>
                <c:pt idx="14">
                  <c:v>1037</c:v>
                </c:pt>
                <c:pt idx="15">
                  <c:v>725</c:v>
                </c:pt>
                <c:pt idx="16">
                  <c:v>460</c:v>
                </c:pt>
                <c:pt idx="17">
                  <c:v>191</c:v>
                </c:pt>
                <c:pt idx="18">
                  <c:v>71</c:v>
                </c:pt>
                <c:pt idx="19">
                  <c:v>31</c:v>
                </c:pt>
                <c:pt idx="20">
                  <c:v>29</c:v>
                </c:pt>
                <c:pt idx="21">
                  <c:v>22</c:v>
                </c:pt>
                <c:pt idx="22">
                  <c:v>12</c:v>
                </c:pt>
                <c:pt idx="23">
                  <c:v>11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'Tab&amp;Fig4.5.1b  et c_Picturatus'!$J$5:$J$34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 formatCode="General">
                  <c:v>6</c:v>
                </c:pt>
                <c:pt idx="7" formatCode="General">
                  <c:v>14</c:v>
                </c:pt>
                <c:pt idx="8" formatCode="General">
                  <c:v>243</c:v>
                </c:pt>
                <c:pt idx="9" formatCode="General">
                  <c:v>2673</c:v>
                </c:pt>
                <c:pt idx="10" formatCode="General">
                  <c:v>3678</c:v>
                </c:pt>
                <c:pt idx="11" formatCode="General">
                  <c:v>2717</c:v>
                </c:pt>
                <c:pt idx="12" formatCode="General">
                  <c:v>1584</c:v>
                </c:pt>
                <c:pt idx="13" formatCode="General">
                  <c:v>1192</c:v>
                </c:pt>
                <c:pt idx="14" formatCode="General">
                  <c:v>725</c:v>
                </c:pt>
                <c:pt idx="15" formatCode="General">
                  <c:v>383</c:v>
                </c:pt>
                <c:pt idx="16" formatCode="General">
                  <c:v>227</c:v>
                </c:pt>
                <c:pt idx="17" formatCode="General">
                  <c:v>107</c:v>
                </c:pt>
                <c:pt idx="18" formatCode="General">
                  <c:v>45</c:v>
                </c:pt>
                <c:pt idx="19" formatCode="General">
                  <c:v>25</c:v>
                </c:pt>
                <c:pt idx="20" formatCode="General">
                  <c:v>7</c:v>
                </c:pt>
                <c:pt idx="21" formatCode="General">
                  <c:v>4</c:v>
                </c:pt>
                <c:pt idx="22" formatCode="General">
                  <c:v>0</c:v>
                </c:pt>
                <c:pt idx="23" formatCode="General">
                  <c:v>3</c:v>
                </c:pt>
                <c:pt idx="24" formatCode="General">
                  <c:v>1</c:v>
                </c:pt>
                <c:pt idx="25" formatCode="General">
                  <c:v>1</c:v>
                </c:pt>
                <c:pt idx="26" formatCode="General">
                  <c:v>0</c:v>
                </c:pt>
                <c:pt idx="27" formatCode="General">
                  <c:v>1</c:v>
                </c:pt>
                <c:pt idx="28" formatCode="General">
                  <c:v>0</c:v>
                </c:pt>
                <c:pt idx="29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0-4FBB-A872-C798A6374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4218880"/>
        <c:axId val="94233344"/>
      </c:barChart>
      <c:catAx>
        <c:axId val="94218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814"/>
              <c:y val="0.87169959018282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23334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4233344"/>
        <c:scaling>
          <c:orientation val="minMax"/>
          <c:max val="25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218880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  <c:userShapes r:id="rId1"/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2014</a:t>
            </a:r>
          </a:p>
        </c:rich>
      </c:tx>
      <c:layout>
        <c:manualLayout>
          <c:xMode val="edge"/>
          <c:yMode val="edge"/>
          <c:x val="0.39642869906013711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876"/>
          <c:w val="0.72709690069313182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frequency 2014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'Tab&amp;Fig4.5.1b  et c_Picturatus'!$B$5:$B$34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</c:v>
                </c:pt>
                <c:pt idx="6">
                  <c:v>192</c:v>
                </c:pt>
                <c:pt idx="7">
                  <c:v>1799</c:v>
                </c:pt>
                <c:pt idx="8">
                  <c:v>1979</c:v>
                </c:pt>
                <c:pt idx="9">
                  <c:v>638</c:v>
                </c:pt>
                <c:pt idx="10">
                  <c:v>473</c:v>
                </c:pt>
                <c:pt idx="11">
                  <c:v>679</c:v>
                </c:pt>
                <c:pt idx="12">
                  <c:v>1131</c:v>
                </c:pt>
                <c:pt idx="13">
                  <c:v>1173</c:v>
                </c:pt>
                <c:pt idx="14">
                  <c:v>1037</c:v>
                </c:pt>
                <c:pt idx="15">
                  <c:v>725</c:v>
                </c:pt>
                <c:pt idx="16">
                  <c:v>460</c:v>
                </c:pt>
                <c:pt idx="17">
                  <c:v>191</c:v>
                </c:pt>
                <c:pt idx="18">
                  <c:v>71</c:v>
                </c:pt>
                <c:pt idx="19">
                  <c:v>31</c:v>
                </c:pt>
                <c:pt idx="20">
                  <c:v>29</c:v>
                </c:pt>
                <c:pt idx="21">
                  <c:v>22</c:v>
                </c:pt>
                <c:pt idx="22">
                  <c:v>12</c:v>
                </c:pt>
                <c:pt idx="23">
                  <c:v>11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'Tab&amp;Fig4.5.1b  et c_Picturatus'!$M$5:$M$34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1.8193395797325571E-2</c:v>
                </c:pt>
                <c:pt idx="6">
                  <c:v>0.24561084326389521</c:v>
                </c:pt>
                <c:pt idx="7">
                  <c:v>1.0461202583462204</c:v>
                </c:pt>
                <c:pt idx="8">
                  <c:v>5.003183844264532</c:v>
                </c:pt>
                <c:pt idx="9">
                  <c:v>11.780223778768308</c:v>
                </c:pt>
                <c:pt idx="10">
                  <c:v>19.139452378786501</c:v>
                </c:pt>
                <c:pt idx="11">
                  <c:v>22.250523060129172</c:v>
                </c:pt>
                <c:pt idx="12">
                  <c:v>20.558537250977896</c:v>
                </c:pt>
                <c:pt idx="13">
                  <c:v>13.754207222778131</c:v>
                </c:pt>
                <c:pt idx="14">
                  <c:v>6.9953606840716818</c:v>
                </c:pt>
                <c:pt idx="15">
                  <c:v>3.1019739834440099</c:v>
                </c:pt>
                <c:pt idx="16">
                  <c:v>1.7192759028472664</c:v>
                </c:pt>
                <c:pt idx="17">
                  <c:v>0.90966978986627856</c:v>
                </c:pt>
                <c:pt idx="18">
                  <c:v>0.60038206131174388</c:v>
                </c:pt>
                <c:pt idx="19">
                  <c:v>0.23651414536523241</c:v>
                </c:pt>
                <c:pt idx="20">
                  <c:v>0.127353770581279</c:v>
                </c:pt>
                <c:pt idx="21">
                  <c:v>9.0966978986627856E-3</c:v>
                </c:pt>
                <c:pt idx="22">
                  <c:v>9.0966978986627856E-3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5-45F2-9A25-FF2B8DB0A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4044544"/>
        <c:axId val="94046464"/>
      </c:barChart>
      <c:catAx>
        <c:axId val="94044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837"/>
              <c:y val="0.871699590182827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04646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4046464"/>
        <c:scaling>
          <c:orientation val="minMax"/>
          <c:max val="25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044544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  <c:userShapes r:id="rId1"/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2015</a:t>
            </a:r>
          </a:p>
        </c:rich>
      </c:tx>
      <c:layout>
        <c:manualLayout>
          <c:xMode val="edge"/>
          <c:yMode val="edge"/>
          <c:x val="0.39642869906013734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881"/>
          <c:w val="0.72709690069313204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frequency 2015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'Tab&amp;Fig4.5.1b  et c_Picturatus'!$B$5:$B$34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</c:v>
                </c:pt>
                <c:pt idx="6">
                  <c:v>192</c:v>
                </c:pt>
                <c:pt idx="7">
                  <c:v>1799</c:v>
                </c:pt>
                <c:pt idx="8">
                  <c:v>1979</c:v>
                </c:pt>
                <c:pt idx="9">
                  <c:v>638</c:v>
                </c:pt>
                <c:pt idx="10">
                  <c:v>473</c:v>
                </c:pt>
                <c:pt idx="11">
                  <c:v>679</c:v>
                </c:pt>
                <c:pt idx="12">
                  <c:v>1131</c:v>
                </c:pt>
                <c:pt idx="13">
                  <c:v>1173</c:v>
                </c:pt>
                <c:pt idx="14">
                  <c:v>1037</c:v>
                </c:pt>
                <c:pt idx="15">
                  <c:v>725</c:v>
                </c:pt>
                <c:pt idx="16">
                  <c:v>460</c:v>
                </c:pt>
                <c:pt idx="17">
                  <c:v>191</c:v>
                </c:pt>
                <c:pt idx="18">
                  <c:v>71</c:v>
                </c:pt>
                <c:pt idx="19">
                  <c:v>31</c:v>
                </c:pt>
                <c:pt idx="20">
                  <c:v>29</c:v>
                </c:pt>
                <c:pt idx="21">
                  <c:v>22</c:v>
                </c:pt>
                <c:pt idx="22">
                  <c:v>12</c:v>
                </c:pt>
                <c:pt idx="23">
                  <c:v>11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'Tab&amp;Fig4.5.1b  et c_Picturatus'!$N$5:$N$34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9.4517958412098299E-2</c:v>
                </c:pt>
                <c:pt idx="6">
                  <c:v>2.5924925735889821</c:v>
                </c:pt>
                <c:pt idx="7">
                  <c:v>24.291115311909262</c:v>
                </c:pt>
                <c:pt idx="8">
                  <c:v>26.721577099648933</c:v>
                </c:pt>
                <c:pt idx="9">
                  <c:v>8.6146367809883877</c:v>
                </c:pt>
                <c:pt idx="10">
                  <c:v>6.3867134755603567</c:v>
                </c:pt>
                <c:pt idx="11">
                  <c:v>9.1682419659735341</c:v>
                </c:pt>
                <c:pt idx="12">
                  <c:v>15.271401566297596</c:v>
                </c:pt>
                <c:pt idx="13">
                  <c:v>15.838509316770187</c:v>
                </c:pt>
                <c:pt idx="14">
                  <c:v>14.002160410477991</c:v>
                </c:pt>
                <c:pt idx="15">
                  <c:v>9.7893599783958951</c:v>
                </c:pt>
                <c:pt idx="16">
                  <c:v>6.2111801242236027</c:v>
                </c:pt>
                <c:pt idx="17">
                  <c:v>2.5789900081015391</c:v>
                </c:pt>
                <c:pt idx="18">
                  <c:v>0.95868214960842557</c:v>
                </c:pt>
                <c:pt idx="19">
                  <c:v>0.41857953011072102</c:v>
                </c:pt>
                <c:pt idx="20">
                  <c:v>0.3915743991358358</c:v>
                </c:pt>
                <c:pt idx="21">
                  <c:v>0.29705644072373749</c:v>
                </c:pt>
                <c:pt idx="22">
                  <c:v>0.16203078584931138</c:v>
                </c:pt>
                <c:pt idx="23">
                  <c:v>0.14852822036186875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C-423C-B5CD-2E7568A19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2017280"/>
        <c:axId val="82039936"/>
      </c:barChart>
      <c:catAx>
        <c:axId val="82017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848"/>
              <c:y val="0.8716995901828278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03993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82039936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017280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  <c:userShapes r:id="rId1"/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2016</a:t>
            </a:r>
          </a:p>
        </c:rich>
      </c:tx>
      <c:layout>
        <c:manualLayout>
          <c:xMode val="edge"/>
          <c:yMode val="edge"/>
          <c:x val="0.39642869906013789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898"/>
          <c:w val="0.72709690069313282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frequency 2016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'Tab&amp;Fig4.5.1b  et c_Picturatus'!$B$5:$B$34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</c:v>
                </c:pt>
                <c:pt idx="6">
                  <c:v>192</c:v>
                </c:pt>
                <c:pt idx="7">
                  <c:v>1799</c:v>
                </c:pt>
                <c:pt idx="8">
                  <c:v>1979</c:v>
                </c:pt>
                <c:pt idx="9">
                  <c:v>638</c:v>
                </c:pt>
                <c:pt idx="10">
                  <c:v>473</c:v>
                </c:pt>
                <c:pt idx="11">
                  <c:v>679</c:v>
                </c:pt>
                <c:pt idx="12">
                  <c:v>1131</c:v>
                </c:pt>
                <c:pt idx="13">
                  <c:v>1173</c:v>
                </c:pt>
                <c:pt idx="14">
                  <c:v>1037</c:v>
                </c:pt>
                <c:pt idx="15">
                  <c:v>725</c:v>
                </c:pt>
                <c:pt idx="16">
                  <c:v>460</c:v>
                </c:pt>
                <c:pt idx="17">
                  <c:v>191</c:v>
                </c:pt>
                <c:pt idx="18">
                  <c:v>71</c:v>
                </c:pt>
                <c:pt idx="19">
                  <c:v>31</c:v>
                </c:pt>
                <c:pt idx="20">
                  <c:v>29</c:v>
                </c:pt>
                <c:pt idx="21">
                  <c:v>22</c:v>
                </c:pt>
                <c:pt idx="22">
                  <c:v>12</c:v>
                </c:pt>
                <c:pt idx="23">
                  <c:v>11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'Tab&amp;Fig4.5.1b  et c_Picturatus'!$O$5:$O$34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2.3207240659085634E-2</c:v>
                </c:pt>
                <c:pt idx="4">
                  <c:v>2.3207240659085634E-2</c:v>
                </c:pt>
                <c:pt idx="5">
                  <c:v>9.2828962636342535E-2</c:v>
                </c:pt>
                <c:pt idx="6">
                  <c:v>6.9621721977256898E-2</c:v>
                </c:pt>
                <c:pt idx="7">
                  <c:v>1.4156416802042238</c:v>
                </c:pt>
                <c:pt idx="8">
                  <c:v>10.350429333952192</c:v>
                </c:pt>
                <c:pt idx="9">
                  <c:v>23.60176375029009</c:v>
                </c:pt>
                <c:pt idx="10">
                  <c:v>30.517521466697609</c:v>
                </c:pt>
                <c:pt idx="11">
                  <c:v>30.888837317242981</c:v>
                </c:pt>
                <c:pt idx="12">
                  <c:v>27.732652587607333</c:v>
                </c:pt>
                <c:pt idx="13">
                  <c:v>26.224181944766766</c:v>
                </c:pt>
                <c:pt idx="14">
                  <c:v>28.243211882107218</c:v>
                </c:pt>
                <c:pt idx="15">
                  <c:v>28.800185657925272</c:v>
                </c:pt>
                <c:pt idx="16">
                  <c:v>20.422371779995359</c:v>
                </c:pt>
                <c:pt idx="17">
                  <c:v>11.905314458110931</c:v>
                </c:pt>
                <c:pt idx="18">
                  <c:v>7.8904618240891162</c:v>
                </c:pt>
                <c:pt idx="19">
                  <c:v>3.9452309120445581</c:v>
                </c:pt>
                <c:pt idx="20">
                  <c:v>1.8101647714086795</c:v>
                </c:pt>
                <c:pt idx="21">
                  <c:v>0.64980273845439773</c:v>
                </c:pt>
                <c:pt idx="22">
                  <c:v>0.27848688790902759</c:v>
                </c:pt>
                <c:pt idx="23">
                  <c:v>0.16245068461359943</c:v>
                </c:pt>
                <c:pt idx="24">
                  <c:v>6.9621721977256898E-2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3-4FD7-871D-040BEB89A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2146432"/>
        <c:axId val="82148352"/>
      </c:barChart>
      <c:catAx>
        <c:axId val="82146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892"/>
              <c:y val="0.871699590182828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14835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82148352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146432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  <c:userShapes r:id="rId1"/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2017</a:t>
            </a:r>
          </a:p>
        </c:rich>
      </c:tx>
      <c:layout>
        <c:manualLayout>
          <c:xMode val="edge"/>
          <c:yMode val="edge"/>
          <c:x val="0.39642869906013922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937"/>
          <c:w val="0.72709690069313448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frequency 2017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'Tab&amp;Fig4.5.1b  et c_Picturatus'!$B$5:$B$34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</c:v>
                </c:pt>
                <c:pt idx="6">
                  <c:v>192</c:v>
                </c:pt>
                <c:pt idx="7">
                  <c:v>1799</c:v>
                </c:pt>
                <c:pt idx="8">
                  <c:v>1979</c:v>
                </c:pt>
                <c:pt idx="9">
                  <c:v>638</c:v>
                </c:pt>
                <c:pt idx="10">
                  <c:v>473</c:v>
                </c:pt>
                <c:pt idx="11">
                  <c:v>679</c:v>
                </c:pt>
                <c:pt idx="12">
                  <c:v>1131</c:v>
                </c:pt>
                <c:pt idx="13">
                  <c:v>1173</c:v>
                </c:pt>
                <c:pt idx="14">
                  <c:v>1037</c:v>
                </c:pt>
                <c:pt idx="15">
                  <c:v>725</c:v>
                </c:pt>
                <c:pt idx="16">
                  <c:v>460</c:v>
                </c:pt>
                <c:pt idx="17">
                  <c:v>191</c:v>
                </c:pt>
                <c:pt idx="18">
                  <c:v>71</c:v>
                </c:pt>
                <c:pt idx="19">
                  <c:v>31</c:v>
                </c:pt>
                <c:pt idx="20">
                  <c:v>29</c:v>
                </c:pt>
                <c:pt idx="21">
                  <c:v>22</c:v>
                </c:pt>
                <c:pt idx="22">
                  <c:v>12</c:v>
                </c:pt>
                <c:pt idx="23">
                  <c:v>11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'Tab&amp;Fig4.5.1b  et c_Picturatus'!$P$5:$P$34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4.0469445568595712E-2</c:v>
                </c:pt>
                <c:pt idx="4">
                  <c:v>4.0469445568595712E-2</c:v>
                </c:pt>
                <c:pt idx="5">
                  <c:v>0.16187778227438285</c:v>
                </c:pt>
                <c:pt idx="6">
                  <c:v>0.12140833670578713</c:v>
                </c:pt>
                <c:pt idx="7">
                  <c:v>0.36422501011736141</c:v>
                </c:pt>
                <c:pt idx="8">
                  <c:v>5.7061918251719952</c:v>
                </c:pt>
                <c:pt idx="9">
                  <c:v>18.049372723593688</c:v>
                </c:pt>
                <c:pt idx="10">
                  <c:v>16.956697693241601</c:v>
                </c:pt>
                <c:pt idx="11">
                  <c:v>12.909753136382031</c:v>
                </c:pt>
                <c:pt idx="12">
                  <c:v>7.8510724403075676</c:v>
                </c:pt>
                <c:pt idx="13">
                  <c:v>8.8223391339538644</c:v>
                </c:pt>
                <c:pt idx="14">
                  <c:v>7.729664103601781</c:v>
                </c:pt>
                <c:pt idx="15">
                  <c:v>7.5273168757588023</c:v>
                </c:pt>
                <c:pt idx="16">
                  <c:v>4.4516390125455283</c:v>
                </c:pt>
                <c:pt idx="17">
                  <c:v>1.3354917037636584</c:v>
                </c:pt>
                <c:pt idx="18">
                  <c:v>0.4451639012545528</c:v>
                </c:pt>
                <c:pt idx="19">
                  <c:v>0.20234722784297854</c:v>
                </c:pt>
                <c:pt idx="20">
                  <c:v>4.0469445568595712E-2</c:v>
                </c:pt>
                <c:pt idx="21">
                  <c:v>0</c:v>
                </c:pt>
                <c:pt idx="22">
                  <c:v>4.0469445568595712E-2</c:v>
                </c:pt>
                <c:pt idx="23">
                  <c:v>4.0469445568595712E-2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E-4B36-AB6C-B9DD6270A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2085376"/>
        <c:axId val="82087296"/>
      </c:barChart>
      <c:catAx>
        <c:axId val="82085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992"/>
              <c:y val="0.8716995901828301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08729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82087296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085376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  <c:userShapes r:id="rId1"/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2018</a:t>
            </a:r>
          </a:p>
        </c:rich>
      </c:tx>
      <c:layout>
        <c:manualLayout>
          <c:xMode val="edge"/>
          <c:yMode val="edge"/>
          <c:x val="0.39642869906014017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962"/>
          <c:w val="0.72709690069313571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Ref>
              <c:f>'Tab&amp;Fig4.5.1b  et c_Picturatus'!$B$5:$B$34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</c:v>
                </c:pt>
                <c:pt idx="6">
                  <c:v>192</c:v>
                </c:pt>
                <c:pt idx="7">
                  <c:v>1799</c:v>
                </c:pt>
                <c:pt idx="8">
                  <c:v>1979</c:v>
                </c:pt>
                <c:pt idx="9">
                  <c:v>638</c:v>
                </c:pt>
                <c:pt idx="10">
                  <c:v>473</c:v>
                </c:pt>
                <c:pt idx="11">
                  <c:v>679</c:v>
                </c:pt>
                <c:pt idx="12">
                  <c:v>1131</c:v>
                </c:pt>
                <c:pt idx="13">
                  <c:v>1173</c:v>
                </c:pt>
                <c:pt idx="14">
                  <c:v>1037</c:v>
                </c:pt>
                <c:pt idx="15">
                  <c:v>725</c:v>
                </c:pt>
                <c:pt idx="16">
                  <c:v>460</c:v>
                </c:pt>
                <c:pt idx="17">
                  <c:v>191</c:v>
                </c:pt>
                <c:pt idx="18">
                  <c:v>71</c:v>
                </c:pt>
                <c:pt idx="19">
                  <c:v>31</c:v>
                </c:pt>
                <c:pt idx="20">
                  <c:v>29</c:v>
                </c:pt>
                <c:pt idx="21">
                  <c:v>22</c:v>
                </c:pt>
                <c:pt idx="22">
                  <c:v>12</c:v>
                </c:pt>
                <c:pt idx="23">
                  <c:v>11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'Tab&amp;Fig4.5.1b  et c_Picturatus'!$Q$5:$Q$34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0.11720276077614272</c:v>
                </c:pt>
                <c:pt idx="7">
                  <c:v>0.52090115900507883</c:v>
                </c:pt>
                <c:pt idx="8">
                  <c:v>1.1069149628857924</c:v>
                </c:pt>
                <c:pt idx="9">
                  <c:v>3.6593306420106786</c:v>
                </c:pt>
                <c:pt idx="10">
                  <c:v>12.918348743325954</c:v>
                </c:pt>
                <c:pt idx="11">
                  <c:v>25.888787602552416</c:v>
                </c:pt>
                <c:pt idx="12">
                  <c:v>23.180101575726006</c:v>
                </c:pt>
                <c:pt idx="13">
                  <c:v>16.3693189217346</c:v>
                </c:pt>
                <c:pt idx="14">
                  <c:v>8.295350957155879</c:v>
                </c:pt>
                <c:pt idx="15">
                  <c:v>2.5263706211746322</c:v>
                </c:pt>
                <c:pt idx="16">
                  <c:v>1.0287797890350305</c:v>
                </c:pt>
                <c:pt idx="17">
                  <c:v>0.36463081130355512</c:v>
                </c:pt>
                <c:pt idx="18">
                  <c:v>0.37765334027868214</c:v>
                </c:pt>
                <c:pt idx="19">
                  <c:v>5.2090115900507876E-2</c:v>
                </c:pt>
                <c:pt idx="20">
                  <c:v>3.9067586925380912E-2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D-4954-A802-E019793B2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2189312"/>
        <c:axId val="82197504"/>
      </c:barChart>
      <c:catAx>
        <c:axId val="82189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6053"/>
              <c:y val="0.8716995901828313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19750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82197504"/>
        <c:scaling>
          <c:orientation val="minMax"/>
          <c:max val="25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189312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  <c:userShapes r:id="rId1"/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2013</a:t>
            </a:r>
          </a:p>
        </c:rich>
      </c:tx>
      <c:layout>
        <c:manualLayout>
          <c:xMode val="edge"/>
          <c:yMode val="edge"/>
          <c:x val="0.39642869906013573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834"/>
          <c:w val="0.72709690069313004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frequency 2013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6">
                <c:v>1</c:v>
              </c:pt>
              <c:pt idx="7">
                <c:v>75</c:v>
              </c:pt>
              <c:pt idx="8">
                <c:v>712</c:v>
              </c:pt>
              <c:pt idx="9">
                <c:v>3641</c:v>
              </c:pt>
              <c:pt idx="10">
                <c:v>3550</c:v>
              </c:pt>
              <c:pt idx="11">
                <c:v>1931</c:v>
              </c:pt>
              <c:pt idx="12">
                <c:v>1095</c:v>
              </c:pt>
              <c:pt idx="13">
                <c:v>660</c:v>
              </c:pt>
              <c:pt idx="14">
                <c:v>203</c:v>
              </c:pt>
              <c:pt idx="15">
                <c:v>95</c:v>
              </c:pt>
              <c:pt idx="16">
                <c:v>47</c:v>
              </c:pt>
              <c:pt idx="17">
                <c:v>31</c:v>
              </c:pt>
              <c:pt idx="18">
                <c:v>14</c:v>
              </c:pt>
              <c:pt idx="19">
                <c:v>9</c:v>
              </c:pt>
              <c:pt idx="20">
                <c:v>4</c:v>
              </c:pt>
              <c:pt idx="21">
                <c:v>2</c:v>
              </c:pt>
              <c:pt idx="22">
                <c:v>1</c:v>
              </c:pt>
              <c:pt idx="24">
                <c:v>3</c:v>
              </c:pt>
              <c:pt idx="25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24D4-4E46-B79C-0A1CF30F5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2236928"/>
        <c:axId val="82269312"/>
      </c:barChart>
      <c:catAx>
        <c:axId val="82236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737"/>
              <c:y val="0.87169959018282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26931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82269312"/>
        <c:scaling>
          <c:orientation val="minMax"/>
          <c:max val="25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236928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39" footer="0.49212598450000739"/>
    <c:pageSetup paperSize="9" orientation="landscape" horizontalDpi="-1" verticalDpi="0"/>
  </c:printSettings>
  <c:userShapes r:id="rId1"/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2014</a:t>
            </a:r>
          </a:p>
        </c:rich>
      </c:tx>
      <c:layout>
        <c:manualLayout>
          <c:xMode val="edge"/>
          <c:yMode val="edge"/>
          <c:x val="0.396428699060136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842"/>
          <c:w val="0.72709690069313027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frequency 2014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1.6923337282112032E-2</c:v>
              </c:pt>
              <c:pt idx="6">
                <c:v>0.22846505330851244</c:v>
              </c:pt>
              <c:pt idx="7">
                <c:v>0.97309189372144189</c:v>
              </c:pt>
              <c:pt idx="8">
                <c:v>4.6539177525808091</c:v>
              </c:pt>
              <c:pt idx="9">
                <c:v>10.957860890167542</c:v>
              </c:pt>
              <c:pt idx="10">
                <c:v>17.803350820781858</c:v>
              </c:pt>
              <c:pt idx="11">
                <c:v>20.697241496023015</c:v>
              </c:pt>
              <c:pt idx="12">
                <c:v>19.123371128786598</c:v>
              </c:pt>
              <c:pt idx="13">
                <c:v>12.794042985276697</c:v>
              </c:pt>
              <c:pt idx="14">
                <c:v>6.5070231849720761</c:v>
              </c:pt>
              <c:pt idx="15">
                <c:v>2.8854290066001016</c:v>
              </c:pt>
              <c:pt idx="16">
                <c:v>1.5992553731595871</c:v>
              </c:pt>
              <c:pt idx="17">
                <c:v>0.8461668641056016</c:v>
              </c:pt>
              <c:pt idx="18">
                <c:v>0.55847013030969705</c:v>
              </c:pt>
              <c:pt idx="19">
                <c:v>0.22000338466745642</c:v>
              </c:pt>
              <c:pt idx="20">
                <c:v>0.11846336097478423</c:v>
              </c:pt>
              <c:pt idx="21">
                <c:v>8.4616686410560159E-3</c:v>
              </c:pt>
              <c:pt idx="22">
                <c:v>8.4616686410560159E-3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AD5-46B5-A588-8A5857A8F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2318464"/>
        <c:axId val="82320384"/>
      </c:barChart>
      <c:catAx>
        <c:axId val="8231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748"/>
              <c:y val="0.871699590182825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32038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82320384"/>
        <c:scaling>
          <c:orientation val="minMax"/>
          <c:max val="25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318464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5" footer="0.4921259845000075"/>
    <c:pageSetup paperSize="9" orientation="landscape" horizontalDpi="-1" verticalDpi="0"/>
  </c:printSettings>
  <c:userShapes r:id="rId1"/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2015</a:t>
            </a:r>
          </a:p>
        </c:rich>
      </c:tx>
      <c:layout>
        <c:manualLayout>
          <c:xMode val="edge"/>
          <c:yMode val="edge"/>
          <c:x val="0.39642869906013622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848"/>
          <c:w val="0.72709690069313071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frequency 2015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6.5666041275797379E-2</c:v>
              </c:pt>
              <c:pt idx="6">
                <c:v>1.8011257035647279</c:v>
              </c:pt>
              <c:pt idx="7">
                <c:v>16.876172607879926</c:v>
              </c:pt>
              <c:pt idx="8">
                <c:v>18.564727954971858</c:v>
              </c:pt>
              <c:pt idx="9">
                <c:v>5.9849906191369602</c:v>
              </c:pt>
              <c:pt idx="10">
                <c:v>4.4371482176360226</c:v>
              </c:pt>
              <c:pt idx="11">
                <c:v>6.3696060037523452</c:v>
              </c:pt>
              <c:pt idx="12">
                <c:v>10.609756097560975</c:v>
              </c:pt>
              <c:pt idx="13">
                <c:v>11.00375234521576</c:v>
              </c:pt>
              <c:pt idx="14">
                <c:v>9.727954971857411</c:v>
              </c:pt>
              <c:pt idx="15">
                <c:v>6.8011257035647281</c:v>
              </c:pt>
              <c:pt idx="16">
                <c:v>4.3151969981238274</c:v>
              </c:pt>
              <c:pt idx="17">
                <c:v>1.7917448405253282</c:v>
              </c:pt>
              <c:pt idx="18">
                <c:v>0.66604127579737338</c:v>
              </c:pt>
              <c:pt idx="19">
                <c:v>0.29080675422138835</c:v>
              </c:pt>
              <c:pt idx="20">
                <c:v>0.27204502814258913</c:v>
              </c:pt>
              <c:pt idx="21">
                <c:v>0.20637898686679174</c:v>
              </c:pt>
              <c:pt idx="22">
                <c:v>0.11257035647279549</c:v>
              </c:pt>
              <c:pt idx="23">
                <c:v>0.10318949343339587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D76-4D7A-A7E1-A3F3723A7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2349056"/>
        <c:axId val="82367616"/>
      </c:barChart>
      <c:catAx>
        <c:axId val="82349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764"/>
              <c:y val="0.871699590182826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36761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82367616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349056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61" footer="0.49212598450000761"/>
    <c:pageSetup paperSize="9" orientation="landscape" horizontalDpi="-1" verticalDpi="0"/>
  </c:printSettings>
  <c:userShapes r:id="rId1"/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2016</a:t>
            </a:r>
          </a:p>
        </c:rich>
      </c:tx>
      <c:layout>
        <c:manualLayout>
          <c:xMode val="edge"/>
          <c:yMode val="edge"/>
          <c:x val="0.39642869906013678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862"/>
          <c:w val="0.72709690069313127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frequency 2016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9.0966978986627856E-3</c:v>
              </c:pt>
              <c:pt idx="4">
                <c:v>9.0966978986627856E-3</c:v>
              </c:pt>
              <c:pt idx="5">
                <c:v>3.6386791594651142E-2</c:v>
              </c:pt>
              <c:pt idx="6">
                <c:v>2.7290093695988355E-2</c:v>
              </c:pt>
              <c:pt idx="7">
                <c:v>0.55489857181842994</c:v>
              </c:pt>
              <c:pt idx="8">
                <c:v>4.0571272628036024</c:v>
              </c:pt>
              <c:pt idx="9">
                <c:v>9.2513417629400525</c:v>
              </c:pt>
              <c:pt idx="10">
                <c:v>11.962157736741563</c:v>
              </c:pt>
              <c:pt idx="11">
                <c:v>12.107704903120167</c:v>
              </c:pt>
              <c:pt idx="12">
                <c:v>10.870553988902028</c:v>
              </c:pt>
              <c:pt idx="13">
                <c:v>10.279268625488948</c:v>
              </c:pt>
              <c:pt idx="14">
                <c:v>11.070681342672611</c:v>
              </c:pt>
              <c:pt idx="15">
                <c:v>11.289002092240517</c:v>
              </c:pt>
              <c:pt idx="16">
                <c:v>8.0050941508232505</c:v>
              </c:pt>
              <c:pt idx="17">
                <c:v>4.6666060220140091</c:v>
              </c:pt>
              <c:pt idx="18">
                <c:v>3.092877285545347</c:v>
              </c:pt>
              <c:pt idx="19">
                <c:v>1.5464386427726735</c:v>
              </c:pt>
              <c:pt idx="20">
                <c:v>0.70954243609569723</c:v>
              </c:pt>
              <c:pt idx="21">
                <c:v>0.254707541162558</c:v>
              </c:pt>
              <c:pt idx="22">
                <c:v>0.10916037478395342</c:v>
              </c:pt>
              <c:pt idx="23">
                <c:v>6.3676885290639501E-2</c:v>
              </c:pt>
              <c:pt idx="24">
                <c:v>2.7290093695988355E-2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4BB-4C43-88E1-646D784BA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2470016"/>
        <c:axId val="82471936"/>
      </c:barChart>
      <c:catAx>
        <c:axId val="82470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803"/>
              <c:y val="0.871699590182826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47193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82471936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470016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  <c:userShapes r:id="rId1"/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2017</a:t>
            </a:r>
          </a:p>
        </c:rich>
      </c:tx>
      <c:layout>
        <c:manualLayout>
          <c:xMode val="edge"/>
          <c:yMode val="edge"/>
          <c:x val="0.39642869906013811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903"/>
          <c:w val="0.72709690069313304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frequency 2017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4.3591979075850044E-2</c:v>
              </c:pt>
              <c:pt idx="4">
                <c:v>4.3591979075850044E-2</c:v>
              </c:pt>
              <c:pt idx="5">
                <c:v>0.17436791630340018</c:v>
              </c:pt>
              <c:pt idx="6">
                <c:v>0.13077593722755013</c:v>
              </c:pt>
              <c:pt idx="7">
                <c:v>0.39232781168265041</c:v>
              </c:pt>
              <c:pt idx="8">
                <c:v>6.146469049694856</c:v>
              </c:pt>
              <c:pt idx="9">
                <c:v>19.442022667829118</c:v>
              </c:pt>
              <c:pt idx="10">
                <c:v>18.265039232781167</c:v>
              </c:pt>
              <c:pt idx="11">
                <c:v>13.905841325196164</c:v>
              </c:pt>
              <c:pt idx="12">
                <c:v>8.4568439407149079</c:v>
              </c:pt>
              <c:pt idx="13">
                <c:v>9.5030514385353086</c:v>
              </c:pt>
              <c:pt idx="14">
                <c:v>8.3260680034873591</c:v>
              </c:pt>
              <c:pt idx="15">
                <c:v>8.1081081081081088</c:v>
              </c:pt>
              <c:pt idx="16">
                <c:v>4.7951176983435051</c:v>
              </c:pt>
              <c:pt idx="17">
                <c:v>1.4385353095030515</c:v>
              </c:pt>
              <c:pt idx="18">
                <c:v>0.47951176983435045</c:v>
              </c:pt>
              <c:pt idx="19">
                <c:v>0.21795989537925023</c:v>
              </c:pt>
              <c:pt idx="20">
                <c:v>4.3591979075850044E-2</c:v>
              </c:pt>
              <c:pt idx="21">
                <c:v>0</c:v>
              </c:pt>
              <c:pt idx="22">
                <c:v>4.3591979075850044E-2</c:v>
              </c:pt>
              <c:pt idx="23">
                <c:v>4.3591979075850044E-2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647-4174-8746-6C7369D26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2529280"/>
        <c:axId val="82556032"/>
      </c:barChart>
      <c:catAx>
        <c:axId val="82529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903"/>
              <c:y val="0.871699590182828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55603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82556032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529280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  <c:userShapes r:id="rId1"/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2018</a:t>
            </a:r>
          </a:p>
        </c:rich>
      </c:tx>
      <c:layout>
        <c:manualLayout>
          <c:xMode val="edge"/>
          <c:yMode val="edge"/>
          <c:x val="0.396428699060139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931"/>
          <c:w val="0.72709690069313415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0.12152308938698353</c:v>
              </c:pt>
              <c:pt idx="7">
                <c:v>0.54010261949770455</c:v>
              </c:pt>
              <c:pt idx="8">
                <c:v>1.1477180664326223</c:v>
              </c:pt>
              <c:pt idx="9">
                <c:v>3.7942209019713746</c:v>
              </c:pt>
              <c:pt idx="10">
                <c:v>13.394544963543073</c:v>
              </c:pt>
              <c:pt idx="11">
                <c:v>26.843100189035916</c:v>
              </c:pt>
              <c:pt idx="12">
                <c:v>24.034566567647854</c:v>
              </c:pt>
              <c:pt idx="13">
                <c:v>16.972724817715367</c:v>
              </c:pt>
              <c:pt idx="14">
                <c:v>8.6011342155009451</c:v>
              </c:pt>
              <c:pt idx="15">
                <c:v>2.6194977045638672</c:v>
              </c:pt>
              <c:pt idx="16">
                <c:v>1.0667026735079665</c:v>
              </c:pt>
              <c:pt idx="17">
                <c:v>0.3780718336483932</c:v>
              </c:pt>
              <c:pt idx="18">
                <c:v>0.3915743991358358</c:v>
              </c:pt>
              <c:pt idx="19">
                <c:v>5.4010261949770454E-2</c:v>
              </c:pt>
              <c:pt idx="20">
                <c:v>4.0507696462327845E-2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111-439E-9333-D56CCA426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2613376"/>
        <c:axId val="82615296"/>
      </c:barChart>
      <c:catAx>
        <c:axId val="82613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975"/>
              <c:y val="0.871699590182829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61529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82615296"/>
        <c:scaling>
          <c:orientation val="minMax"/>
          <c:max val="25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613376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  <c:userShapes r:id="rId1"/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2013</a:t>
            </a:r>
          </a:p>
        </c:rich>
      </c:tx>
      <c:layout>
        <c:manualLayout>
          <c:xMode val="edge"/>
          <c:yMode val="edge"/>
          <c:x val="0.39642869906013767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892"/>
          <c:w val="0.72709690069313249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distribution 2013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2</c:v>
              </c:pt>
              <c:pt idx="6">
                <c:v>27</c:v>
              </c:pt>
              <c:pt idx="7">
                <c:v>115</c:v>
              </c:pt>
              <c:pt idx="8">
                <c:v>550</c:v>
              </c:pt>
              <c:pt idx="9">
                <c:v>1295</c:v>
              </c:pt>
              <c:pt idx="10">
                <c:v>2104</c:v>
              </c:pt>
              <c:pt idx="11">
                <c:v>2446</c:v>
              </c:pt>
              <c:pt idx="12">
                <c:v>2260</c:v>
              </c:pt>
              <c:pt idx="13">
                <c:v>1512</c:v>
              </c:pt>
              <c:pt idx="14">
                <c:v>769</c:v>
              </c:pt>
              <c:pt idx="15">
                <c:v>341</c:v>
              </c:pt>
              <c:pt idx="16">
                <c:v>189</c:v>
              </c:pt>
              <c:pt idx="17">
                <c:v>100</c:v>
              </c:pt>
              <c:pt idx="18">
                <c:v>66</c:v>
              </c:pt>
              <c:pt idx="19">
                <c:v>26</c:v>
              </c:pt>
              <c:pt idx="20">
                <c:v>14</c:v>
              </c:pt>
              <c:pt idx="21">
                <c:v>1</c:v>
              </c:pt>
              <c:pt idx="22">
                <c:v>1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265-41C7-8676-A94AD0099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2635008"/>
        <c:axId val="82646144"/>
      </c:barChart>
      <c:catAx>
        <c:axId val="82635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875"/>
              <c:y val="0.871699590182828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64614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826461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6350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2014</a:t>
            </a:r>
          </a:p>
        </c:rich>
      </c:tx>
      <c:layout>
        <c:manualLayout>
          <c:xMode val="edge"/>
          <c:yMode val="edge"/>
          <c:x val="0.39642869906013789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898"/>
          <c:w val="0.72709690069313282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distribution 2014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7</c:v>
              </c:pt>
              <c:pt idx="6">
                <c:v>192</c:v>
              </c:pt>
              <c:pt idx="7">
                <c:v>1799</c:v>
              </c:pt>
              <c:pt idx="8">
                <c:v>1979</c:v>
              </c:pt>
              <c:pt idx="9">
                <c:v>638</c:v>
              </c:pt>
              <c:pt idx="10">
                <c:v>473</c:v>
              </c:pt>
              <c:pt idx="11">
                <c:v>679</c:v>
              </c:pt>
              <c:pt idx="12">
                <c:v>1131</c:v>
              </c:pt>
              <c:pt idx="13">
                <c:v>1173</c:v>
              </c:pt>
              <c:pt idx="14">
                <c:v>1037</c:v>
              </c:pt>
              <c:pt idx="15">
                <c:v>725</c:v>
              </c:pt>
              <c:pt idx="16">
                <c:v>460</c:v>
              </c:pt>
              <c:pt idx="17">
                <c:v>191</c:v>
              </c:pt>
              <c:pt idx="18">
                <c:v>71</c:v>
              </c:pt>
              <c:pt idx="19">
                <c:v>31</c:v>
              </c:pt>
              <c:pt idx="20">
                <c:v>29</c:v>
              </c:pt>
              <c:pt idx="21">
                <c:v>22</c:v>
              </c:pt>
              <c:pt idx="22">
                <c:v>12</c:v>
              </c:pt>
              <c:pt idx="23">
                <c:v>11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000-42B3-A2A1-F8F6FFA9B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2699392"/>
        <c:axId val="82701312"/>
      </c:barChart>
      <c:catAx>
        <c:axId val="82699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892"/>
              <c:y val="0.871699590182828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70131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827013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6993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2015</a:t>
            </a:r>
          </a:p>
        </c:rich>
      </c:tx>
      <c:layout>
        <c:manualLayout>
          <c:xMode val="edge"/>
          <c:yMode val="edge"/>
          <c:x val="0.39642869906013811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903"/>
          <c:w val="0.72709690069313304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distribution 2015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1</c:v>
              </c:pt>
              <c:pt idx="4">
                <c:v>1</c:v>
              </c:pt>
              <c:pt idx="5">
                <c:v>4</c:v>
              </c:pt>
              <c:pt idx="6">
                <c:v>3</c:v>
              </c:pt>
              <c:pt idx="7">
                <c:v>61</c:v>
              </c:pt>
              <c:pt idx="8">
                <c:v>446</c:v>
              </c:pt>
              <c:pt idx="9">
                <c:v>1017</c:v>
              </c:pt>
              <c:pt idx="10">
                <c:v>1315</c:v>
              </c:pt>
              <c:pt idx="11">
                <c:v>1331</c:v>
              </c:pt>
              <c:pt idx="12">
                <c:v>1195</c:v>
              </c:pt>
              <c:pt idx="13">
                <c:v>1130</c:v>
              </c:pt>
              <c:pt idx="14">
                <c:v>1217</c:v>
              </c:pt>
              <c:pt idx="15">
                <c:v>1241</c:v>
              </c:pt>
              <c:pt idx="16">
                <c:v>880</c:v>
              </c:pt>
              <c:pt idx="17">
                <c:v>513</c:v>
              </c:pt>
              <c:pt idx="18">
                <c:v>340</c:v>
              </c:pt>
              <c:pt idx="19">
                <c:v>170</c:v>
              </c:pt>
              <c:pt idx="20">
                <c:v>78</c:v>
              </c:pt>
              <c:pt idx="21">
                <c:v>28</c:v>
              </c:pt>
              <c:pt idx="22">
                <c:v>12</c:v>
              </c:pt>
              <c:pt idx="23">
                <c:v>7</c:v>
              </c:pt>
              <c:pt idx="24">
                <c:v>3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840-4C43-8BEC-67AA8E453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2725888"/>
        <c:axId val="82756736"/>
      </c:barChart>
      <c:catAx>
        <c:axId val="82725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903"/>
              <c:y val="0.871699590182828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75673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82756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72588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2013</a:t>
            </a:r>
          </a:p>
        </c:rich>
      </c:tx>
      <c:layout>
        <c:manualLayout>
          <c:xMode val="edge"/>
          <c:yMode val="edge"/>
          <c:x val="0.39642869906013767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892"/>
          <c:w val="0.72709690069313249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distribution 2013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1.6923337282112032E-2</c:v>
              </c:pt>
              <c:pt idx="6">
                <c:v>0.22846505330851244</c:v>
              </c:pt>
              <c:pt idx="7">
                <c:v>0.97309189372144189</c:v>
              </c:pt>
              <c:pt idx="8">
                <c:v>4.6539177525808091</c:v>
              </c:pt>
              <c:pt idx="9">
                <c:v>10.957860890167542</c:v>
              </c:pt>
              <c:pt idx="10">
                <c:v>17.803350820781858</c:v>
              </c:pt>
              <c:pt idx="11">
                <c:v>20.697241496023015</c:v>
              </c:pt>
              <c:pt idx="12">
                <c:v>19.123371128786598</c:v>
              </c:pt>
              <c:pt idx="13">
                <c:v>12.794042985276697</c:v>
              </c:pt>
              <c:pt idx="14">
                <c:v>6.5070231849720761</c:v>
              </c:pt>
              <c:pt idx="15">
                <c:v>2.8854290066001016</c:v>
              </c:pt>
              <c:pt idx="16">
                <c:v>1.5992553731595871</c:v>
              </c:pt>
              <c:pt idx="17">
                <c:v>0.8461668641056016</c:v>
              </c:pt>
              <c:pt idx="18">
                <c:v>0.55847013030969705</c:v>
              </c:pt>
              <c:pt idx="19">
                <c:v>0.22000338466745642</c:v>
              </c:pt>
              <c:pt idx="20">
                <c:v>0.11846336097478423</c:v>
              </c:pt>
              <c:pt idx="21">
                <c:v>8.4616686410560159E-3</c:v>
              </c:pt>
              <c:pt idx="22">
                <c:v>8.4616686410560159E-3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829-49F7-B4DB-7923838A3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2785408"/>
        <c:axId val="82787328"/>
      </c:barChart>
      <c:catAx>
        <c:axId val="82785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875"/>
              <c:y val="0.871699590182828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78732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82787328"/>
        <c:scaling>
          <c:orientation val="minMax"/>
          <c:max val="25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785408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  <c:userShapes r:id="rId1"/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2014</a:t>
            </a:r>
          </a:p>
        </c:rich>
      </c:tx>
      <c:layout>
        <c:manualLayout>
          <c:xMode val="edge"/>
          <c:yMode val="edge"/>
          <c:x val="0.39642869906013789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898"/>
          <c:w val="0.72709690069313282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distribution 2014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6.5666041275797379E-2</c:v>
              </c:pt>
              <c:pt idx="6">
                <c:v>1.8011257035647279</c:v>
              </c:pt>
              <c:pt idx="7">
                <c:v>16.876172607879926</c:v>
              </c:pt>
              <c:pt idx="8">
                <c:v>18.564727954971858</c:v>
              </c:pt>
              <c:pt idx="9">
                <c:v>5.9849906191369602</c:v>
              </c:pt>
              <c:pt idx="10">
                <c:v>4.4371482176360226</c:v>
              </c:pt>
              <c:pt idx="11">
                <c:v>6.3696060037523452</c:v>
              </c:pt>
              <c:pt idx="12">
                <c:v>10.609756097560975</c:v>
              </c:pt>
              <c:pt idx="13">
                <c:v>11.00375234521576</c:v>
              </c:pt>
              <c:pt idx="14">
                <c:v>9.727954971857411</c:v>
              </c:pt>
              <c:pt idx="15">
                <c:v>6.8011257035647281</c:v>
              </c:pt>
              <c:pt idx="16">
                <c:v>4.3151969981238274</c:v>
              </c:pt>
              <c:pt idx="17">
                <c:v>1.7917448405253282</c:v>
              </c:pt>
              <c:pt idx="18">
                <c:v>0.66604127579737338</c:v>
              </c:pt>
              <c:pt idx="19">
                <c:v>0.29080675422138835</c:v>
              </c:pt>
              <c:pt idx="20">
                <c:v>0.27204502814258913</c:v>
              </c:pt>
              <c:pt idx="21">
                <c:v>0.20637898686679174</c:v>
              </c:pt>
              <c:pt idx="22">
                <c:v>0.11257035647279549</c:v>
              </c:pt>
              <c:pt idx="23">
                <c:v>0.10318949343339587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1CF-4726-B398-74FADA052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2914304"/>
        <c:axId val="82924672"/>
      </c:barChart>
      <c:catAx>
        <c:axId val="82914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892"/>
              <c:y val="0.871699590182828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92467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82924672"/>
        <c:scaling>
          <c:orientation val="minMax"/>
          <c:max val="25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914304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  <c:userShapes r:id="rId1"/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2015</a:t>
            </a:r>
          </a:p>
        </c:rich>
      </c:tx>
      <c:layout>
        <c:manualLayout>
          <c:xMode val="edge"/>
          <c:yMode val="edge"/>
          <c:x val="0.39642869906013811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903"/>
          <c:w val="0.72709690069313304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distribution 2015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9.0966978986627856E-3</c:v>
              </c:pt>
              <c:pt idx="4">
                <c:v>9.0966978986627856E-3</c:v>
              </c:pt>
              <c:pt idx="5">
                <c:v>3.6386791594651142E-2</c:v>
              </c:pt>
              <c:pt idx="6">
                <c:v>2.7290093695988355E-2</c:v>
              </c:pt>
              <c:pt idx="7">
                <c:v>0.55489857181842994</c:v>
              </c:pt>
              <c:pt idx="8">
                <c:v>4.0571272628036024</c:v>
              </c:pt>
              <c:pt idx="9">
                <c:v>9.2513417629400525</c:v>
              </c:pt>
              <c:pt idx="10">
                <c:v>11.962157736741563</c:v>
              </c:pt>
              <c:pt idx="11">
                <c:v>12.107704903120167</c:v>
              </c:pt>
              <c:pt idx="12">
                <c:v>10.870553988902028</c:v>
              </c:pt>
              <c:pt idx="13">
                <c:v>10.279268625488948</c:v>
              </c:pt>
              <c:pt idx="14">
                <c:v>11.070681342672611</c:v>
              </c:pt>
              <c:pt idx="15">
                <c:v>11.289002092240517</c:v>
              </c:pt>
              <c:pt idx="16">
                <c:v>8.0050941508232505</c:v>
              </c:pt>
              <c:pt idx="17">
                <c:v>4.6666060220140091</c:v>
              </c:pt>
              <c:pt idx="18">
                <c:v>3.092877285545347</c:v>
              </c:pt>
              <c:pt idx="19">
                <c:v>1.5464386427726735</c:v>
              </c:pt>
              <c:pt idx="20">
                <c:v>0.70954243609569723</c:v>
              </c:pt>
              <c:pt idx="21">
                <c:v>0.254707541162558</c:v>
              </c:pt>
              <c:pt idx="22">
                <c:v>0.10916037478395342</c:v>
              </c:pt>
              <c:pt idx="23">
                <c:v>6.3676885290639501E-2</c:v>
              </c:pt>
              <c:pt idx="24">
                <c:v>2.7290093695988355E-2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D06-4A7F-9F16-414DBC286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2961536"/>
        <c:axId val="82963456"/>
      </c:barChart>
      <c:catAx>
        <c:axId val="82961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903"/>
              <c:y val="0.871699590182828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96345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82963456"/>
        <c:scaling>
          <c:orientation val="minMax"/>
          <c:max val="25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961536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  <c:userShapes r:id="rId1"/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2015</a:t>
            </a:r>
          </a:p>
        </c:rich>
      </c:tx>
      <c:layout>
        <c:manualLayout>
          <c:xMode val="edge"/>
          <c:yMode val="edge"/>
          <c:x val="0.39642869906013833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909"/>
          <c:w val="0.72709690069313326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distribution 2015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4.3591979075850044E-2</c:v>
              </c:pt>
              <c:pt idx="4">
                <c:v>4.3591979075850044E-2</c:v>
              </c:pt>
              <c:pt idx="5">
                <c:v>0.17436791630340018</c:v>
              </c:pt>
              <c:pt idx="6">
                <c:v>0.13077593722755013</c:v>
              </c:pt>
              <c:pt idx="7">
                <c:v>0.39232781168265041</c:v>
              </c:pt>
              <c:pt idx="8">
                <c:v>6.146469049694856</c:v>
              </c:pt>
              <c:pt idx="9">
                <c:v>19.442022667829118</c:v>
              </c:pt>
              <c:pt idx="10">
                <c:v>18.265039232781167</c:v>
              </c:pt>
              <c:pt idx="11">
                <c:v>13.905841325196164</c:v>
              </c:pt>
              <c:pt idx="12">
                <c:v>8.4568439407149079</c:v>
              </c:pt>
              <c:pt idx="13">
                <c:v>9.5030514385353086</c:v>
              </c:pt>
              <c:pt idx="14">
                <c:v>8.3260680034873591</c:v>
              </c:pt>
              <c:pt idx="15">
                <c:v>8.1081081081081088</c:v>
              </c:pt>
              <c:pt idx="16">
                <c:v>4.7951176983435051</c:v>
              </c:pt>
              <c:pt idx="17">
                <c:v>1.4385353095030515</c:v>
              </c:pt>
              <c:pt idx="18">
                <c:v>0.47951176983435045</c:v>
              </c:pt>
              <c:pt idx="19">
                <c:v>0.21795989537925023</c:v>
              </c:pt>
              <c:pt idx="20">
                <c:v>4.3591979075850044E-2</c:v>
              </c:pt>
              <c:pt idx="21">
                <c:v>0</c:v>
              </c:pt>
              <c:pt idx="22">
                <c:v>4.3591979075850044E-2</c:v>
              </c:pt>
              <c:pt idx="23">
                <c:v>4.3591979075850044E-2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F93-4692-985C-39E5C4F31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3016704"/>
        <c:axId val="82973824"/>
      </c:barChart>
      <c:catAx>
        <c:axId val="83016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925"/>
              <c:y val="0.871699590182829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297382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82973824"/>
        <c:scaling>
          <c:orientation val="minMax"/>
          <c:max val="25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3016704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  <c:userShapes r:id="rId1"/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2016</a:t>
            </a:r>
          </a:p>
        </c:rich>
      </c:tx>
      <c:layout>
        <c:manualLayout>
          <c:xMode val="edge"/>
          <c:yMode val="edge"/>
          <c:x val="0.39642869906013833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909"/>
          <c:w val="0.72709690069313326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distribution 2016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9</c:v>
              </c:pt>
              <c:pt idx="7">
                <c:v>40</c:v>
              </c:pt>
              <c:pt idx="8">
                <c:v>85</c:v>
              </c:pt>
              <c:pt idx="9">
                <c:v>281</c:v>
              </c:pt>
              <c:pt idx="10">
                <c:v>992</c:v>
              </c:pt>
              <c:pt idx="11">
                <c:v>1988</c:v>
              </c:pt>
              <c:pt idx="12">
                <c:v>1780</c:v>
              </c:pt>
              <c:pt idx="13">
                <c:v>1257</c:v>
              </c:pt>
              <c:pt idx="14">
                <c:v>637</c:v>
              </c:pt>
              <c:pt idx="15">
                <c:v>194</c:v>
              </c:pt>
              <c:pt idx="16">
                <c:v>79</c:v>
              </c:pt>
              <c:pt idx="17">
                <c:v>28</c:v>
              </c:pt>
              <c:pt idx="18">
                <c:v>29</c:v>
              </c:pt>
              <c:pt idx="19">
                <c:v>4</c:v>
              </c:pt>
              <c:pt idx="20">
                <c:v>3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FB0-4BDB-9016-9B953B745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4151808"/>
        <c:axId val="94153728"/>
      </c:barChart>
      <c:catAx>
        <c:axId val="94151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925"/>
              <c:y val="0.871699590182829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15372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41537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1518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2016</a:t>
            </a:r>
          </a:p>
        </c:rich>
      </c:tx>
      <c:layout>
        <c:manualLayout>
          <c:xMode val="edge"/>
          <c:yMode val="edge"/>
          <c:x val="0.39642869906013833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909"/>
          <c:w val="0.72709690069313326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distribution 2016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0.12152308938698353</c:v>
              </c:pt>
              <c:pt idx="7">
                <c:v>0.54010261949770455</c:v>
              </c:pt>
              <c:pt idx="8">
                <c:v>1.1477180664326223</c:v>
              </c:pt>
              <c:pt idx="9">
                <c:v>3.7942209019713746</c:v>
              </c:pt>
              <c:pt idx="10">
                <c:v>13.394544963543073</c:v>
              </c:pt>
              <c:pt idx="11">
                <c:v>26.843100189035916</c:v>
              </c:pt>
              <c:pt idx="12">
                <c:v>24.034566567647854</c:v>
              </c:pt>
              <c:pt idx="13">
                <c:v>16.972724817715367</c:v>
              </c:pt>
              <c:pt idx="14">
                <c:v>8.6011342155009451</c:v>
              </c:pt>
              <c:pt idx="15">
                <c:v>2.6194977045638672</c:v>
              </c:pt>
              <c:pt idx="16">
                <c:v>1.0667026735079665</c:v>
              </c:pt>
              <c:pt idx="17">
                <c:v>0.3780718336483932</c:v>
              </c:pt>
              <c:pt idx="18">
                <c:v>0.3915743991358358</c:v>
              </c:pt>
              <c:pt idx="19">
                <c:v>5.4010261949770454E-2</c:v>
              </c:pt>
              <c:pt idx="20">
                <c:v>4.0507696462327845E-2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6F8-4849-B0EC-05244BA9C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4268416"/>
        <c:axId val="94274688"/>
      </c:barChart>
      <c:catAx>
        <c:axId val="94268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925"/>
              <c:y val="0.871699590182829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27468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4274688"/>
        <c:scaling>
          <c:orientation val="minMax"/>
          <c:max val="25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268416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  <c:userShapes r:id="rId1"/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2017</a:t>
            </a:r>
          </a:p>
        </c:rich>
      </c:tx>
      <c:layout>
        <c:manualLayout>
          <c:xMode val="edge"/>
          <c:yMode val="edge"/>
          <c:x val="0.39642869906013856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917"/>
          <c:w val="0.72709690069313371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distribution 2017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2</c:v>
              </c:pt>
              <c:pt idx="7">
                <c:v>10</c:v>
              </c:pt>
              <c:pt idx="8">
                <c:v>46</c:v>
              </c:pt>
              <c:pt idx="9">
                <c:v>154</c:v>
              </c:pt>
              <c:pt idx="10">
                <c:v>399</c:v>
              </c:pt>
              <c:pt idx="11">
                <c:v>1039</c:v>
              </c:pt>
              <c:pt idx="12">
                <c:v>1115</c:v>
              </c:pt>
              <c:pt idx="13">
                <c:v>710</c:v>
              </c:pt>
              <c:pt idx="14">
                <c:v>486</c:v>
              </c:pt>
              <c:pt idx="15">
                <c:v>166</c:v>
              </c:pt>
              <c:pt idx="16">
                <c:v>72</c:v>
              </c:pt>
              <c:pt idx="17">
                <c:v>35</c:v>
              </c:pt>
              <c:pt idx="18">
                <c:v>29</c:v>
              </c:pt>
              <c:pt idx="19">
                <c:v>16</c:v>
              </c:pt>
              <c:pt idx="20">
                <c:v>14</c:v>
              </c:pt>
              <c:pt idx="21">
                <c:v>9</c:v>
              </c:pt>
              <c:pt idx="22">
                <c:v>5</c:v>
              </c:pt>
              <c:pt idx="23">
                <c:v>2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B8B-40E4-9511-C4D4F8D82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4317568"/>
        <c:axId val="94329856"/>
      </c:barChart>
      <c:catAx>
        <c:axId val="94317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942"/>
              <c:y val="0.871699590182829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32985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43298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3175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2017</a:t>
            </a:r>
          </a:p>
        </c:rich>
      </c:tx>
      <c:layout>
        <c:manualLayout>
          <c:xMode val="edge"/>
          <c:yMode val="edge"/>
          <c:x val="0.39642869906013856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917"/>
          <c:w val="0.72709690069313371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distribution 2017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4.6414481318171268E-2</c:v>
              </c:pt>
              <c:pt idx="7">
                <c:v>0.23207240659085634</c:v>
              </c:pt>
              <c:pt idx="8">
                <c:v>1.0675330703179391</c:v>
              </c:pt>
              <c:pt idx="9">
                <c:v>3.5739150614991879</c:v>
              </c:pt>
              <c:pt idx="10">
                <c:v>9.2596890229751683</c:v>
              </c:pt>
              <c:pt idx="11">
                <c:v>24.112323044789974</c:v>
              </c:pt>
              <c:pt idx="12">
                <c:v>25.876073334880484</c:v>
              </c:pt>
              <c:pt idx="13">
                <c:v>16.477140867950801</c:v>
              </c:pt>
              <c:pt idx="14">
                <c:v>11.278718960315619</c:v>
              </c:pt>
              <c:pt idx="15">
                <c:v>3.8524019494082156</c:v>
              </c:pt>
              <c:pt idx="16">
                <c:v>1.6709213274541657</c:v>
              </c:pt>
              <c:pt idx="17">
                <c:v>0.81225342306799719</c:v>
              </c:pt>
              <c:pt idx="18">
                <c:v>0.67300997911348337</c:v>
              </c:pt>
              <c:pt idx="19">
                <c:v>0.37131585054537014</c:v>
              </c:pt>
              <c:pt idx="20">
                <c:v>0.32490136922719887</c:v>
              </c:pt>
              <c:pt idx="21">
                <c:v>0.20886516593177071</c:v>
              </c:pt>
              <c:pt idx="22">
                <c:v>0.11603620329542817</c:v>
              </c:pt>
              <c:pt idx="23">
                <c:v>4.6414481318171268E-2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B97-49CC-8901-9B95BBAC4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4358528"/>
        <c:axId val="94385280"/>
      </c:barChart>
      <c:catAx>
        <c:axId val="94358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942"/>
              <c:y val="0.871699590182829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38528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4385280"/>
        <c:scaling>
          <c:orientation val="minMax"/>
          <c:max val="25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358528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  <c:userShapes r:id="rId1"/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2018</a:t>
            </a:r>
          </a:p>
        </c:rich>
      </c:tx>
      <c:layout>
        <c:manualLayout>
          <c:xMode val="edge"/>
          <c:yMode val="edge"/>
          <c:x val="0.39642869906013878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926"/>
          <c:w val="0.72709690069313393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1</c:v>
              </c:pt>
              <c:pt idx="5">
                <c:v>2</c:v>
              </c:pt>
              <c:pt idx="6">
                <c:v>16</c:v>
              </c:pt>
              <c:pt idx="7">
                <c:v>83</c:v>
              </c:pt>
              <c:pt idx="8">
                <c:v>328</c:v>
              </c:pt>
              <c:pt idx="9">
                <c:v>883</c:v>
              </c:pt>
              <c:pt idx="10">
                <c:v>1253</c:v>
              </c:pt>
              <c:pt idx="11">
                <c:v>1047</c:v>
              </c:pt>
              <c:pt idx="12">
                <c:v>1263</c:v>
              </c:pt>
              <c:pt idx="13">
                <c:v>1125</c:v>
              </c:pt>
              <c:pt idx="14">
                <c:v>796</c:v>
              </c:pt>
              <c:pt idx="15">
                <c:v>386</c:v>
              </c:pt>
              <c:pt idx="16">
                <c:v>211</c:v>
              </c:pt>
              <c:pt idx="17">
                <c:v>115</c:v>
              </c:pt>
              <c:pt idx="18">
                <c:v>61</c:v>
              </c:pt>
              <c:pt idx="19">
                <c:v>49</c:v>
              </c:pt>
              <c:pt idx="20">
                <c:v>26</c:v>
              </c:pt>
              <c:pt idx="21">
                <c:v>12</c:v>
              </c:pt>
              <c:pt idx="22">
                <c:v>3</c:v>
              </c:pt>
              <c:pt idx="23">
                <c:v>14</c:v>
              </c:pt>
              <c:pt idx="24">
                <c:v>3</c:v>
              </c:pt>
              <c:pt idx="25">
                <c:v>1</c:v>
              </c:pt>
              <c:pt idx="26">
                <c:v>1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D25-401C-831D-493E5DA95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3873280"/>
        <c:axId val="93875200"/>
      </c:barChart>
      <c:catAx>
        <c:axId val="93873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953"/>
              <c:y val="0.8716995901828297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387520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38752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38732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2018</a:t>
            </a:r>
          </a:p>
        </c:rich>
      </c:tx>
      <c:layout>
        <c:manualLayout>
          <c:xMode val="edge"/>
          <c:yMode val="edge"/>
          <c:x val="0.39642869906013878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926"/>
          <c:w val="0.72709690069313393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1.3022528975126969E-2</c:v>
              </c:pt>
              <c:pt idx="5">
                <c:v>2.6045057950253938E-2</c:v>
              </c:pt>
              <c:pt idx="6">
                <c:v>0.2083604636020315</c:v>
              </c:pt>
              <c:pt idx="7">
                <c:v>1.0808699049355386</c:v>
              </c:pt>
              <c:pt idx="8">
                <c:v>4.2713895038416458</c:v>
              </c:pt>
              <c:pt idx="9">
                <c:v>11.498893085037114</c:v>
              </c:pt>
              <c:pt idx="10">
                <c:v>16.317228805834095</c:v>
              </c:pt>
              <c:pt idx="11">
                <c:v>13.634587836957937</c:v>
              </c:pt>
              <c:pt idx="12">
                <c:v>16.447454095585364</c:v>
              </c:pt>
              <c:pt idx="13">
                <c:v>14.650345097017841</c:v>
              </c:pt>
              <c:pt idx="14">
                <c:v>10.365933064201068</c:v>
              </c:pt>
              <c:pt idx="15">
                <c:v>5.0266961843990101</c:v>
              </c:pt>
              <c:pt idx="16">
                <c:v>2.7477536137517906</c:v>
              </c:pt>
              <c:pt idx="17">
                <c:v>1.4975908321396014</c:v>
              </c:pt>
              <c:pt idx="18">
                <c:v>0.7943742674827452</c:v>
              </c:pt>
              <c:pt idx="19">
                <c:v>0.6381039197812215</c:v>
              </c:pt>
              <c:pt idx="20">
                <c:v>0.33858575335330121</c:v>
              </c:pt>
              <c:pt idx="21">
                <c:v>0.15627034770152365</c:v>
              </c:pt>
              <c:pt idx="22">
                <c:v>3.9067586925380912E-2</c:v>
              </c:pt>
              <c:pt idx="23">
                <c:v>0.18231540565177756</c:v>
              </c:pt>
              <c:pt idx="24">
                <c:v>3.9067586925380912E-2</c:v>
              </c:pt>
              <c:pt idx="25">
                <c:v>1.3022528975126969E-2</c:v>
              </c:pt>
              <c:pt idx="26">
                <c:v>1.3022528975126969E-2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3BC-4737-9250-1CE5225E4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3899776"/>
        <c:axId val="94422144"/>
      </c:barChart>
      <c:catAx>
        <c:axId val="93899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953"/>
              <c:y val="0.8716995901828297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42214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4422144"/>
        <c:scaling>
          <c:orientation val="minMax"/>
          <c:max val="25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3899776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  <c:userShapes r:id="rId1"/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2019</a:t>
            </a:r>
          </a:p>
        </c:rich>
      </c:tx>
      <c:layout>
        <c:manualLayout>
          <c:xMode val="edge"/>
          <c:yMode val="edge"/>
          <c:x val="0.396428699060139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931"/>
          <c:w val="0.72709690069313415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6">
                <c:v>1</c:v>
              </c:pt>
              <c:pt idx="7">
                <c:v>75</c:v>
              </c:pt>
              <c:pt idx="8">
                <c:v>712</c:v>
              </c:pt>
              <c:pt idx="9">
                <c:v>3641</c:v>
              </c:pt>
              <c:pt idx="10">
                <c:v>3550</c:v>
              </c:pt>
              <c:pt idx="11">
                <c:v>1931</c:v>
              </c:pt>
              <c:pt idx="12">
                <c:v>1095</c:v>
              </c:pt>
              <c:pt idx="13">
                <c:v>660</c:v>
              </c:pt>
              <c:pt idx="14">
                <c:v>203</c:v>
              </c:pt>
              <c:pt idx="15">
                <c:v>95</c:v>
              </c:pt>
              <c:pt idx="16">
                <c:v>47</c:v>
              </c:pt>
              <c:pt idx="17">
                <c:v>31</c:v>
              </c:pt>
              <c:pt idx="18">
                <c:v>14</c:v>
              </c:pt>
              <c:pt idx="19">
                <c:v>9</c:v>
              </c:pt>
              <c:pt idx="20">
                <c:v>4</c:v>
              </c:pt>
              <c:pt idx="21">
                <c:v>2</c:v>
              </c:pt>
              <c:pt idx="22">
                <c:v>1</c:v>
              </c:pt>
              <c:pt idx="24">
                <c:v>3</c:v>
              </c:pt>
              <c:pt idx="25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B1C4-4A87-A05E-EEC6FAC6B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4463104"/>
        <c:axId val="94465024"/>
      </c:barChart>
      <c:catAx>
        <c:axId val="94463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975"/>
              <c:y val="0.871699590182829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46502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44650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46310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2019</a:t>
            </a:r>
          </a:p>
        </c:rich>
      </c:tx>
      <c:layout>
        <c:manualLayout>
          <c:xMode val="edge"/>
          <c:yMode val="edge"/>
          <c:x val="0.396428699060139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931"/>
          <c:w val="0.72709690069313415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8.2808877111626364E-3</c:v>
              </c:pt>
              <c:pt idx="7">
                <c:v>0.62106657833719769</c:v>
              </c:pt>
              <c:pt idx="8">
                <c:v>5.8959920503477976</c:v>
              </c:pt>
              <c:pt idx="9">
                <c:v>30.150712156343161</c:v>
              </c:pt>
              <c:pt idx="10">
                <c:v>29.397151374627359</c:v>
              </c:pt>
              <c:pt idx="11">
                <c:v>15.990394170255051</c:v>
              </c:pt>
              <c:pt idx="12">
                <c:v>9.0675720437230876</c:v>
              </c:pt>
              <c:pt idx="13">
                <c:v>5.4653858893673402</c:v>
              </c:pt>
              <c:pt idx="14">
                <c:v>1.6810202053660153</c:v>
              </c:pt>
              <c:pt idx="15">
                <c:v>0.78668433256045045</c:v>
              </c:pt>
              <c:pt idx="16">
                <c:v>0.3892017224246439</c:v>
              </c:pt>
              <c:pt idx="17">
                <c:v>0.25670751904604172</c:v>
              </c:pt>
              <c:pt idx="18">
                <c:v>0.11593242795627691</c:v>
              </c:pt>
              <c:pt idx="19">
                <c:v>7.4527989400463734E-2</c:v>
              </c:pt>
              <c:pt idx="20">
                <c:v>3.3123550844650546E-2</c:v>
              </c:pt>
              <c:pt idx="21">
                <c:v>1.6561775422325273E-2</c:v>
              </c:pt>
              <c:pt idx="22">
                <c:v>8.2808877111626364E-3</c:v>
              </c:pt>
              <c:pt idx="23">
                <c:v>0</c:v>
              </c:pt>
              <c:pt idx="24">
                <c:v>2.4842663133487909E-2</c:v>
              </c:pt>
              <c:pt idx="25">
                <c:v>1.6561775422325273E-2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A56-427C-A165-653DA70BB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4485504"/>
        <c:axId val="94524544"/>
      </c:barChart>
      <c:catAx>
        <c:axId val="94485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975"/>
              <c:y val="0.871699590182829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52454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4524544"/>
        <c:scaling>
          <c:orientation val="minMax"/>
          <c:max val="25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485504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  <c:userShapes r:id="rId1"/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2013</a:t>
            </a:r>
          </a:p>
        </c:rich>
      </c:tx>
      <c:layout>
        <c:manualLayout>
          <c:xMode val="edge"/>
          <c:yMode val="edge"/>
          <c:x val="0.39642869906013678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862"/>
          <c:w val="0.72709690069313127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distribution 2013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2</c:v>
              </c:pt>
              <c:pt idx="6">
                <c:v>27</c:v>
              </c:pt>
              <c:pt idx="7">
                <c:v>115</c:v>
              </c:pt>
              <c:pt idx="8">
                <c:v>550</c:v>
              </c:pt>
              <c:pt idx="9">
                <c:v>1295</c:v>
              </c:pt>
              <c:pt idx="10">
                <c:v>2104</c:v>
              </c:pt>
              <c:pt idx="11">
                <c:v>2446</c:v>
              </c:pt>
              <c:pt idx="12">
                <c:v>2260</c:v>
              </c:pt>
              <c:pt idx="13">
                <c:v>1512</c:v>
              </c:pt>
              <c:pt idx="14">
                <c:v>769</c:v>
              </c:pt>
              <c:pt idx="15">
                <c:v>341</c:v>
              </c:pt>
              <c:pt idx="16">
                <c:v>189</c:v>
              </c:pt>
              <c:pt idx="17">
                <c:v>100</c:v>
              </c:pt>
              <c:pt idx="18">
                <c:v>66</c:v>
              </c:pt>
              <c:pt idx="19">
                <c:v>26</c:v>
              </c:pt>
              <c:pt idx="20">
                <c:v>14</c:v>
              </c:pt>
              <c:pt idx="21">
                <c:v>1</c:v>
              </c:pt>
              <c:pt idx="22">
                <c:v>1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ACC-4E98-AFF7-68B959D8C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4565120"/>
        <c:axId val="94567040"/>
      </c:barChart>
      <c:catAx>
        <c:axId val="94565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803"/>
              <c:y val="0.871699590182826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56704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4567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5651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2014</a:t>
            </a:r>
          </a:p>
        </c:rich>
      </c:tx>
      <c:layout>
        <c:manualLayout>
          <c:xMode val="edge"/>
          <c:yMode val="edge"/>
          <c:x val="0.396428699060137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873"/>
          <c:w val="0.72709690069313171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distribution 2014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7</c:v>
              </c:pt>
              <c:pt idx="6">
                <c:v>192</c:v>
              </c:pt>
              <c:pt idx="7">
                <c:v>1799</c:v>
              </c:pt>
              <c:pt idx="8">
                <c:v>1979</c:v>
              </c:pt>
              <c:pt idx="9">
                <c:v>638</c:v>
              </c:pt>
              <c:pt idx="10">
                <c:v>473</c:v>
              </c:pt>
              <c:pt idx="11">
                <c:v>679</c:v>
              </c:pt>
              <c:pt idx="12">
                <c:v>1131</c:v>
              </c:pt>
              <c:pt idx="13">
                <c:v>1173</c:v>
              </c:pt>
              <c:pt idx="14">
                <c:v>1037</c:v>
              </c:pt>
              <c:pt idx="15">
                <c:v>725</c:v>
              </c:pt>
              <c:pt idx="16">
                <c:v>460</c:v>
              </c:pt>
              <c:pt idx="17">
                <c:v>191</c:v>
              </c:pt>
              <c:pt idx="18">
                <c:v>71</c:v>
              </c:pt>
              <c:pt idx="19">
                <c:v>31</c:v>
              </c:pt>
              <c:pt idx="20">
                <c:v>29</c:v>
              </c:pt>
              <c:pt idx="21">
                <c:v>22</c:v>
              </c:pt>
              <c:pt idx="22">
                <c:v>12</c:v>
              </c:pt>
              <c:pt idx="23">
                <c:v>11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B7F-4853-9192-FB9E5FDE1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4583040"/>
        <c:axId val="94630272"/>
      </c:barChart>
      <c:catAx>
        <c:axId val="94583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825"/>
              <c:y val="0.871699590182827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63027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463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5830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2015</a:t>
            </a:r>
          </a:p>
        </c:rich>
      </c:tx>
      <c:layout>
        <c:manualLayout>
          <c:xMode val="edge"/>
          <c:yMode val="edge"/>
          <c:x val="0.39642869906013722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878"/>
          <c:w val="0.72709690069313193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distribution 2015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1</c:v>
              </c:pt>
              <c:pt idx="4">
                <c:v>1</c:v>
              </c:pt>
              <c:pt idx="5">
                <c:v>4</c:v>
              </c:pt>
              <c:pt idx="6">
                <c:v>3</c:v>
              </c:pt>
              <c:pt idx="7">
                <c:v>61</c:v>
              </c:pt>
              <c:pt idx="8">
                <c:v>446</c:v>
              </c:pt>
              <c:pt idx="9">
                <c:v>1017</c:v>
              </c:pt>
              <c:pt idx="10">
                <c:v>1315</c:v>
              </c:pt>
              <c:pt idx="11">
                <c:v>1331</c:v>
              </c:pt>
              <c:pt idx="12">
                <c:v>1195</c:v>
              </c:pt>
              <c:pt idx="13">
                <c:v>1130</c:v>
              </c:pt>
              <c:pt idx="14">
                <c:v>1217</c:v>
              </c:pt>
              <c:pt idx="15">
                <c:v>1241</c:v>
              </c:pt>
              <c:pt idx="16">
                <c:v>880</c:v>
              </c:pt>
              <c:pt idx="17">
                <c:v>513</c:v>
              </c:pt>
              <c:pt idx="18">
                <c:v>340</c:v>
              </c:pt>
              <c:pt idx="19">
                <c:v>170</c:v>
              </c:pt>
              <c:pt idx="20">
                <c:v>78</c:v>
              </c:pt>
              <c:pt idx="21">
                <c:v>28</c:v>
              </c:pt>
              <c:pt idx="22">
                <c:v>12</c:v>
              </c:pt>
              <c:pt idx="23">
                <c:v>7</c:v>
              </c:pt>
              <c:pt idx="24">
                <c:v>3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FC4-48A1-9EBD-492B4CC2F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4666752"/>
        <c:axId val="94668672"/>
      </c:barChart>
      <c:catAx>
        <c:axId val="94666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842"/>
              <c:y val="0.8716995901828277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66867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46686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6667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2013</a:t>
            </a:r>
          </a:p>
        </c:rich>
      </c:tx>
      <c:layout>
        <c:manualLayout>
          <c:xMode val="edge"/>
          <c:yMode val="edge"/>
          <c:x val="0.39642869906013678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862"/>
          <c:w val="0.72709690069313127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distribution 2013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1.6923337282112032E-2</c:v>
              </c:pt>
              <c:pt idx="6">
                <c:v>0.22846505330851244</c:v>
              </c:pt>
              <c:pt idx="7">
                <c:v>0.97309189372144189</c:v>
              </c:pt>
              <c:pt idx="8">
                <c:v>4.6539177525808091</c:v>
              </c:pt>
              <c:pt idx="9">
                <c:v>10.957860890167542</c:v>
              </c:pt>
              <c:pt idx="10">
                <c:v>17.803350820781858</c:v>
              </c:pt>
              <c:pt idx="11">
                <c:v>20.697241496023015</c:v>
              </c:pt>
              <c:pt idx="12">
                <c:v>19.123371128786598</c:v>
              </c:pt>
              <c:pt idx="13">
                <c:v>12.794042985276697</c:v>
              </c:pt>
              <c:pt idx="14">
                <c:v>6.5070231849720761</c:v>
              </c:pt>
              <c:pt idx="15">
                <c:v>2.8854290066001016</c:v>
              </c:pt>
              <c:pt idx="16">
                <c:v>1.5992553731595871</c:v>
              </c:pt>
              <c:pt idx="17">
                <c:v>0.8461668641056016</c:v>
              </c:pt>
              <c:pt idx="18">
                <c:v>0.55847013030969705</c:v>
              </c:pt>
              <c:pt idx="19">
                <c:v>0.22000338466745642</c:v>
              </c:pt>
              <c:pt idx="20">
                <c:v>0.11846336097478423</c:v>
              </c:pt>
              <c:pt idx="21">
                <c:v>8.4616686410560159E-3</c:v>
              </c:pt>
              <c:pt idx="22">
                <c:v>8.4616686410560159E-3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33E-485E-BA2D-6211564E7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4688768"/>
        <c:axId val="94690688"/>
      </c:barChart>
      <c:catAx>
        <c:axId val="94688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803"/>
              <c:y val="0.871699590182826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69068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4690688"/>
        <c:scaling>
          <c:orientation val="minMax"/>
          <c:max val="25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688768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  <c:userShapes r:id="rId1"/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2014</a:t>
            </a:r>
          </a:p>
        </c:rich>
      </c:tx>
      <c:layout>
        <c:manualLayout>
          <c:xMode val="edge"/>
          <c:yMode val="edge"/>
          <c:x val="0.396428699060137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873"/>
          <c:w val="0.72709690069313171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distribution 2014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6.5666041275797379E-2</c:v>
              </c:pt>
              <c:pt idx="6">
                <c:v>1.8011257035647279</c:v>
              </c:pt>
              <c:pt idx="7">
                <c:v>16.876172607879926</c:v>
              </c:pt>
              <c:pt idx="8">
                <c:v>18.564727954971858</c:v>
              </c:pt>
              <c:pt idx="9">
                <c:v>5.9849906191369602</c:v>
              </c:pt>
              <c:pt idx="10">
                <c:v>4.4371482176360226</c:v>
              </c:pt>
              <c:pt idx="11">
                <c:v>6.3696060037523452</c:v>
              </c:pt>
              <c:pt idx="12">
                <c:v>10.609756097560975</c:v>
              </c:pt>
              <c:pt idx="13">
                <c:v>11.00375234521576</c:v>
              </c:pt>
              <c:pt idx="14">
                <c:v>9.727954971857411</c:v>
              </c:pt>
              <c:pt idx="15">
                <c:v>6.8011257035647281</c:v>
              </c:pt>
              <c:pt idx="16">
                <c:v>4.3151969981238274</c:v>
              </c:pt>
              <c:pt idx="17">
                <c:v>1.7917448405253282</c:v>
              </c:pt>
              <c:pt idx="18">
                <c:v>0.66604127579737338</c:v>
              </c:pt>
              <c:pt idx="19">
                <c:v>0.29080675422138835</c:v>
              </c:pt>
              <c:pt idx="20">
                <c:v>0.27204502814258913</c:v>
              </c:pt>
              <c:pt idx="21">
                <c:v>0.20637898686679174</c:v>
              </c:pt>
              <c:pt idx="22">
                <c:v>0.11257035647279549</c:v>
              </c:pt>
              <c:pt idx="23">
                <c:v>0.10318949343339587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4E3-4C08-AA26-7AD692B92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4746112"/>
        <c:axId val="94774400"/>
      </c:barChart>
      <c:catAx>
        <c:axId val="94746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825"/>
              <c:y val="0.871699590182827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77440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4774400"/>
        <c:scaling>
          <c:orientation val="minMax"/>
          <c:max val="25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746112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  <c:userShapes r:id="rId1"/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2015</a:t>
            </a:r>
          </a:p>
        </c:rich>
      </c:tx>
      <c:layout>
        <c:manualLayout>
          <c:xMode val="edge"/>
          <c:yMode val="edge"/>
          <c:x val="0.39642869906013722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878"/>
          <c:w val="0.72709690069313193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distribution 2015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9.0966978986627856E-3</c:v>
              </c:pt>
              <c:pt idx="4">
                <c:v>9.0966978986627856E-3</c:v>
              </c:pt>
              <c:pt idx="5">
                <c:v>3.6386791594651142E-2</c:v>
              </c:pt>
              <c:pt idx="6">
                <c:v>2.7290093695988355E-2</c:v>
              </c:pt>
              <c:pt idx="7">
                <c:v>0.55489857181842994</c:v>
              </c:pt>
              <c:pt idx="8">
                <c:v>4.0571272628036024</c:v>
              </c:pt>
              <c:pt idx="9">
                <c:v>9.2513417629400525</c:v>
              </c:pt>
              <c:pt idx="10">
                <c:v>11.962157736741563</c:v>
              </c:pt>
              <c:pt idx="11">
                <c:v>12.107704903120167</c:v>
              </c:pt>
              <c:pt idx="12">
                <c:v>10.870553988902028</c:v>
              </c:pt>
              <c:pt idx="13">
                <c:v>10.279268625488948</c:v>
              </c:pt>
              <c:pt idx="14">
                <c:v>11.070681342672611</c:v>
              </c:pt>
              <c:pt idx="15">
                <c:v>11.289002092240517</c:v>
              </c:pt>
              <c:pt idx="16">
                <c:v>8.0050941508232505</c:v>
              </c:pt>
              <c:pt idx="17">
                <c:v>4.6666060220140091</c:v>
              </c:pt>
              <c:pt idx="18">
                <c:v>3.092877285545347</c:v>
              </c:pt>
              <c:pt idx="19">
                <c:v>1.5464386427726735</c:v>
              </c:pt>
              <c:pt idx="20">
                <c:v>0.70954243609569723</c:v>
              </c:pt>
              <c:pt idx="21">
                <c:v>0.254707541162558</c:v>
              </c:pt>
              <c:pt idx="22">
                <c:v>0.10916037478395342</c:v>
              </c:pt>
              <c:pt idx="23">
                <c:v>6.3676885290639501E-2</c:v>
              </c:pt>
              <c:pt idx="24">
                <c:v>2.7290093695988355E-2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1FC-4336-8E49-235C27228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4823168"/>
        <c:axId val="94825088"/>
      </c:barChart>
      <c:catAx>
        <c:axId val="94823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842"/>
              <c:y val="0.8716995901828277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82508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4825088"/>
        <c:scaling>
          <c:orientation val="minMax"/>
          <c:max val="25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823168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  <c:userShapes r:id="rId1"/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2015</a:t>
            </a:r>
          </a:p>
        </c:rich>
      </c:tx>
      <c:layout>
        <c:manualLayout>
          <c:xMode val="edge"/>
          <c:yMode val="edge"/>
          <c:x val="0.39642869906013745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884"/>
          <c:w val="0.72709690069313215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distribution 2015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4.3591979075850044E-2</c:v>
              </c:pt>
              <c:pt idx="4">
                <c:v>4.3591979075850044E-2</c:v>
              </c:pt>
              <c:pt idx="5">
                <c:v>0.17436791630340018</c:v>
              </c:pt>
              <c:pt idx="6">
                <c:v>0.13077593722755013</c:v>
              </c:pt>
              <c:pt idx="7">
                <c:v>0.39232781168265041</c:v>
              </c:pt>
              <c:pt idx="8">
                <c:v>6.146469049694856</c:v>
              </c:pt>
              <c:pt idx="9">
                <c:v>19.442022667829118</c:v>
              </c:pt>
              <c:pt idx="10">
                <c:v>18.265039232781167</c:v>
              </c:pt>
              <c:pt idx="11">
                <c:v>13.905841325196164</c:v>
              </c:pt>
              <c:pt idx="12">
                <c:v>8.4568439407149079</c:v>
              </c:pt>
              <c:pt idx="13">
                <c:v>9.5030514385353086</c:v>
              </c:pt>
              <c:pt idx="14">
                <c:v>8.3260680034873591</c:v>
              </c:pt>
              <c:pt idx="15">
                <c:v>8.1081081081081088</c:v>
              </c:pt>
              <c:pt idx="16">
                <c:v>4.7951176983435051</c:v>
              </c:pt>
              <c:pt idx="17">
                <c:v>1.4385353095030515</c:v>
              </c:pt>
              <c:pt idx="18">
                <c:v>0.47951176983435045</c:v>
              </c:pt>
              <c:pt idx="19">
                <c:v>0.21795989537925023</c:v>
              </c:pt>
              <c:pt idx="20">
                <c:v>4.3591979075850044E-2</c:v>
              </c:pt>
              <c:pt idx="21">
                <c:v>0</c:v>
              </c:pt>
              <c:pt idx="22">
                <c:v>4.3591979075850044E-2</c:v>
              </c:pt>
              <c:pt idx="23">
                <c:v>4.3591979075850044E-2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CBB-4495-BCB5-E00568876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4847744"/>
        <c:axId val="94867840"/>
      </c:barChart>
      <c:catAx>
        <c:axId val="94847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853"/>
              <c:y val="0.871699590182827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86784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4867840"/>
        <c:scaling>
          <c:orientation val="minMax"/>
          <c:max val="25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847744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  <c:userShapes r:id="rId1"/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2016</a:t>
            </a:r>
          </a:p>
        </c:rich>
      </c:tx>
      <c:layout>
        <c:manualLayout>
          <c:xMode val="edge"/>
          <c:yMode val="edge"/>
          <c:x val="0.39642869906013745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884"/>
          <c:w val="0.72709690069313215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distribution 2016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9</c:v>
              </c:pt>
              <c:pt idx="7">
                <c:v>40</c:v>
              </c:pt>
              <c:pt idx="8">
                <c:v>85</c:v>
              </c:pt>
              <c:pt idx="9">
                <c:v>281</c:v>
              </c:pt>
              <c:pt idx="10">
                <c:v>992</c:v>
              </c:pt>
              <c:pt idx="11">
                <c:v>1988</c:v>
              </c:pt>
              <c:pt idx="12">
                <c:v>1780</c:v>
              </c:pt>
              <c:pt idx="13">
                <c:v>1257</c:v>
              </c:pt>
              <c:pt idx="14">
                <c:v>637</c:v>
              </c:pt>
              <c:pt idx="15">
                <c:v>194</c:v>
              </c:pt>
              <c:pt idx="16">
                <c:v>79</c:v>
              </c:pt>
              <c:pt idx="17">
                <c:v>28</c:v>
              </c:pt>
              <c:pt idx="18">
                <c:v>29</c:v>
              </c:pt>
              <c:pt idx="19">
                <c:v>4</c:v>
              </c:pt>
              <c:pt idx="20">
                <c:v>3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4F6-451F-8AD5-2F06EC12D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4994432"/>
        <c:axId val="94996352"/>
      </c:barChart>
      <c:catAx>
        <c:axId val="94994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853"/>
              <c:y val="0.871699590182827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99635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49963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9944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2016</a:t>
            </a:r>
          </a:p>
        </c:rich>
      </c:tx>
      <c:layout>
        <c:manualLayout>
          <c:xMode val="edge"/>
          <c:yMode val="edge"/>
          <c:x val="0.39642869906013745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884"/>
          <c:w val="0.72709690069313215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distribution 2016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0.12152308938698353</c:v>
              </c:pt>
              <c:pt idx="7">
                <c:v>0.54010261949770455</c:v>
              </c:pt>
              <c:pt idx="8">
                <c:v>1.1477180664326223</c:v>
              </c:pt>
              <c:pt idx="9">
                <c:v>3.7942209019713746</c:v>
              </c:pt>
              <c:pt idx="10">
                <c:v>13.394544963543073</c:v>
              </c:pt>
              <c:pt idx="11">
                <c:v>26.843100189035916</c:v>
              </c:pt>
              <c:pt idx="12">
                <c:v>24.034566567647854</c:v>
              </c:pt>
              <c:pt idx="13">
                <c:v>16.972724817715367</c:v>
              </c:pt>
              <c:pt idx="14">
                <c:v>8.6011342155009451</c:v>
              </c:pt>
              <c:pt idx="15">
                <c:v>2.6194977045638672</c:v>
              </c:pt>
              <c:pt idx="16">
                <c:v>1.0667026735079665</c:v>
              </c:pt>
              <c:pt idx="17">
                <c:v>0.3780718336483932</c:v>
              </c:pt>
              <c:pt idx="18">
                <c:v>0.3915743991358358</c:v>
              </c:pt>
              <c:pt idx="19">
                <c:v>5.4010261949770454E-2</c:v>
              </c:pt>
              <c:pt idx="20">
                <c:v>4.0507696462327845E-2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F6A-4647-A619-44E74BBAD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5020544"/>
        <c:axId val="95022464"/>
      </c:barChart>
      <c:catAx>
        <c:axId val="95020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853"/>
              <c:y val="0.871699590182827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02246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5022464"/>
        <c:scaling>
          <c:orientation val="minMax"/>
          <c:max val="25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020544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  <c:userShapes r:id="rId1"/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2017</a:t>
            </a:r>
          </a:p>
        </c:rich>
      </c:tx>
      <c:layout>
        <c:manualLayout>
          <c:xMode val="edge"/>
          <c:yMode val="edge"/>
          <c:x val="0.39642869906013767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892"/>
          <c:w val="0.72709690069313249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distribution 2017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2</c:v>
              </c:pt>
              <c:pt idx="7">
                <c:v>10</c:v>
              </c:pt>
              <c:pt idx="8">
                <c:v>46</c:v>
              </c:pt>
              <c:pt idx="9">
                <c:v>154</c:v>
              </c:pt>
              <c:pt idx="10">
                <c:v>399</c:v>
              </c:pt>
              <c:pt idx="11">
                <c:v>1039</c:v>
              </c:pt>
              <c:pt idx="12">
                <c:v>1115</c:v>
              </c:pt>
              <c:pt idx="13">
                <c:v>710</c:v>
              </c:pt>
              <c:pt idx="14">
                <c:v>486</c:v>
              </c:pt>
              <c:pt idx="15">
                <c:v>166</c:v>
              </c:pt>
              <c:pt idx="16">
                <c:v>72</c:v>
              </c:pt>
              <c:pt idx="17">
                <c:v>35</c:v>
              </c:pt>
              <c:pt idx="18">
                <c:v>29</c:v>
              </c:pt>
              <c:pt idx="19">
                <c:v>16</c:v>
              </c:pt>
              <c:pt idx="20">
                <c:v>14</c:v>
              </c:pt>
              <c:pt idx="21">
                <c:v>9</c:v>
              </c:pt>
              <c:pt idx="22">
                <c:v>5</c:v>
              </c:pt>
              <c:pt idx="23">
                <c:v>2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A49-4AF0-973A-09B29A6C2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4920064"/>
        <c:axId val="94943872"/>
      </c:barChart>
      <c:catAx>
        <c:axId val="94920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875"/>
              <c:y val="0.871699590182828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94387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49438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9200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2017</a:t>
            </a:r>
          </a:p>
        </c:rich>
      </c:tx>
      <c:layout>
        <c:manualLayout>
          <c:xMode val="edge"/>
          <c:yMode val="edge"/>
          <c:x val="0.39642869906013767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892"/>
          <c:w val="0.72709690069313249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tx>
            <c:v>Length distribution 2017</c:v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4.6414481318171268E-2</c:v>
              </c:pt>
              <c:pt idx="7">
                <c:v>0.23207240659085634</c:v>
              </c:pt>
              <c:pt idx="8">
                <c:v>1.0675330703179391</c:v>
              </c:pt>
              <c:pt idx="9">
                <c:v>3.5739150614991879</c:v>
              </c:pt>
              <c:pt idx="10">
                <c:v>9.2596890229751683</c:v>
              </c:pt>
              <c:pt idx="11">
                <c:v>24.112323044789974</c:v>
              </c:pt>
              <c:pt idx="12">
                <c:v>25.876073334880484</c:v>
              </c:pt>
              <c:pt idx="13">
                <c:v>16.477140867950801</c:v>
              </c:pt>
              <c:pt idx="14">
                <c:v>11.278718960315619</c:v>
              </c:pt>
              <c:pt idx="15">
                <c:v>3.8524019494082156</c:v>
              </c:pt>
              <c:pt idx="16">
                <c:v>1.6709213274541657</c:v>
              </c:pt>
              <c:pt idx="17">
                <c:v>0.81225342306799719</c:v>
              </c:pt>
              <c:pt idx="18">
                <c:v>0.67300997911348337</c:v>
              </c:pt>
              <c:pt idx="19">
                <c:v>0.37131585054537014</c:v>
              </c:pt>
              <c:pt idx="20">
                <c:v>0.32490136922719887</c:v>
              </c:pt>
              <c:pt idx="21">
                <c:v>0.20886516593177071</c:v>
              </c:pt>
              <c:pt idx="22">
                <c:v>0.11603620329542817</c:v>
              </c:pt>
              <c:pt idx="23">
                <c:v>4.6414481318171268E-2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6BD-48F1-A91D-75A0DD4D2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5061120"/>
        <c:axId val="95063040"/>
      </c:barChart>
      <c:catAx>
        <c:axId val="95061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875"/>
              <c:y val="0.871699590182828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06304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5063040"/>
        <c:scaling>
          <c:orientation val="minMax"/>
          <c:max val="25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061120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  <c:userShapes r:id="rId1"/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2018</a:t>
            </a:r>
          </a:p>
        </c:rich>
      </c:tx>
      <c:layout>
        <c:manualLayout>
          <c:xMode val="edge"/>
          <c:yMode val="edge"/>
          <c:x val="0.39642869906013789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898"/>
          <c:w val="0.72709690069313282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1</c:v>
              </c:pt>
              <c:pt idx="5">
                <c:v>2</c:v>
              </c:pt>
              <c:pt idx="6">
                <c:v>16</c:v>
              </c:pt>
              <c:pt idx="7">
                <c:v>83</c:v>
              </c:pt>
              <c:pt idx="8">
                <c:v>328</c:v>
              </c:pt>
              <c:pt idx="9">
                <c:v>883</c:v>
              </c:pt>
              <c:pt idx="10">
                <c:v>1253</c:v>
              </c:pt>
              <c:pt idx="11">
                <c:v>1047</c:v>
              </c:pt>
              <c:pt idx="12">
                <c:v>1263</c:v>
              </c:pt>
              <c:pt idx="13">
                <c:v>1125</c:v>
              </c:pt>
              <c:pt idx="14">
                <c:v>796</c:v>
              </c:pt>
              <c:pt idx="15">
                <c:v>386</c:v>
              </c:pt>
              <c:pt idx="16">
                <c:v>211</c:v>
              </c:pt>
              <c:pt idx="17">
                <c:v>115</c:v>
              </c:pt>
              <c:pt idx="18">
                <c:v>61</c:v>
              </c:pt>
              <c:pt idx="19">
                <c:v>49</c:v>
              </c:pt>
              <c:pt idx="20">
                <c:v>26</c:v>
              </c:pt>
              <c:pt idx="21">
                <c:v>12</c:v>
              </c:pt>
              <c:pt idx="22">
                <c:v>3</c:v>
              </c:pt>
              <c:pt idx="23">
                <c:v>14</c:v>
              </c:pt>
              <c:pt idx="24">
                <c:v>3</c:v>
              </c:pt>
              <c:pt idx="25">
                <c:v>1</c:v>
              </c:pt>
              <c:pt idx="26">
                <c:v>1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28C-478B-B557-3F6E27FD1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5090560"/>
        <c:axId val="95175424"/>
      </c:barChart>
      <c:catAx>
        <c:axId val="95090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892"/>
              <c:y val="0.871699590182828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17542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51754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0905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2018</a:t>
            </a:r>
          </a:p>
        </c:rich>
      </c:tx>
      <c:layout>
        <c:manualLayout>
          <c:xMode val="edge"/>
          <c:yMode val="edge"/>
          <c:x val="0.39642869906013789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898"/>
          <c:w val="0.72709690069313282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1.3022528975126969E-2</c:v>
              </c:pt>
              <c:pt idx="5">
                <c:v>2.6045057950253938E-2</c:v>
              </c:pt>
              <c:pt idx="6">
                <c:v>0.2083604636020315</c:v>
              </c:pt>
              <c:pt idx="7">
                <c:v>1.0808699049355386</c:v>
              </c:pt>
              <c:pt idx="8">
                <c:v>4.2713895038416458</c:v>
              </c:pt>
              <c:pt idx="9">
                <c:v>11.498893085037114</c:v>
              </c:pt>
              <c:pt idx="10">
                <c:v>16.317228805834095</c:v>
              </c:pt>
              <c:pt idx="11">
                <c:v>13.634587836957937</c:v>
              </c:pt>
              <c:pt idx="12">
                <c:v>16.447454095585364</c:v>
              </c:pt>
              <c:pt idx="13">
                <c:v>14.650345097017841</c:v>
              </c:pt>
              <c:pt idx="14">
                <c:v>10.365933064201068</c:v>
              </c:pt>
              <c:pt idx="15">
                <c:v>5.0266961843990101</c:v>
              </c:pt>
              <c:pt idx="16">
                <c:v>2.7477536137517906</c:v>
              </c:pt>
              <c:pt idx="17">
                <c:v>1.4975908321396014</c:v>
              </c:pt>
              <c:pt idx="18">
                <c:v>0.7943742674827452</c:v>
              </c:pt>
              <c:pt idx="19">
                <c:v>0.6381039197812215</c:v>
              </c:pt>
              <c:pt idx="20">
                <c:v>0.33858575335330121</c:v>
              </c:pt>
              <c:pt idx="21">
                <c:v>0.15627034770152365</c:v>
              </c:pt>
              <c:pt idx="22">
                <c:v>3.9067586925380912E-2</c:v>
              </c:pt>
              <c:pt idx="23">
                <c:v>0.18231540565177756</c:v>
              </c:pt>
              <c:pt idx="24">
                <c:v>3.9067586925380912E-2</c:v>
              </c:pt>
              <c:pt idx="25">
                <c:v>1.3022528975126969E-2</c:v>
              </c:pt>
              <c:pt idx="26">
                <c:v>1.3022528975126969E-2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066-4E07-86E2-11CE72E4B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5220096"/>
        <c:axId val="95222016"/>
      </c:barChart>
      <c:catAx>
        <c:axId val="95220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892"/>
              <c:y val="0.871699590182828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22201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5222016"/>
        <c:scaling>
          <c:orientation val="minMax"/>
          <c:max val="25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220096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  <c:userShapes r:id="rId1"/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2019</a:t>
            </a:r>
          </a:p>
        </c:rich>
      </c:tx>
      <c:layout>
        <c:manualLayout>
          <c:xMode val="edge"/>
          <c:yMode val="edge"/>
          <c:x val="0.39642869906013811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903"/>
          <c:w val="0.72709690069313304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6">
                <c:v>1</c:v>
              </c:pt>
              <c:pt idx="7">
                <c:v>75</c:v>
              </c:pt>
              <c:pt idx="8">
                <c:v>712</c:v>
              </c:pt>
              <c:pt idx="9">
                <c:v>3641</c:v>
              </c:pt>
              <c:pt idx="10">
                <c:v>3550</c:v>
              </c:pt>
              <c:pt idx="11">
                <c:v>1931</c:v>
              </c:pt>
              <c:pt idx="12">
                <c:v>1095</c:v>
              </c:pt>
              <c:pt idx="13">
                <c:v>660</c:v>
              </c:pt>
              <c:pt idx="14">
                <c:v>203</c:v>
              </c:pt>
              <c:pt idx="15">
                <c:v>95</c:v>
              </c:pt>
              <c:pt idx="16">
                <c:v>47</c:v>
              </c:pt>
              <c:pt idx="17">
                <c:v>31</c:v>
              </c:pt>
              <c:pt idx="18">
                <c:v>14</c:v>
              </c:pt>
              <c:pt idx="19">
                <c:v>9</c:v>
              </c:pt>
              <c:pt idx="20">
                <c:v>4</c:v>
              </c:pt>
              <c:pt idx="21">
                <c:v>2</c:v>
              </c:pt>
              <c:pt idx="22">
                <c:v>1</c:v>
              </c:pt>
              <c:pt idx="24">
                <c:v>3</c:v>
              </c:pt>
              <c:pt idx="25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ED6D-49AF-9239-748B00D48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5237248"/>
        <c:axId val="95281152"/>
      </c:barChart>
      <c:catAx>
        <c:axId val="95237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903"/>
              <c:y val="0.871699590182828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28115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52811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2372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2019</a:t>
            </a:r>
          </a:p>
        </c:rich>
      </c:tx>
      <c:layout>
        <c:manualLayout>
          <c:xMode val="edge"/>
          <c:yMode val="edge"/>
          <c:x val="0.39642869906013811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903"/>
          <c:w val="0.72709690069313304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8.2808877111626364E-3</c:v>
              </c:pt>
              <c:pt idx="7">
                <c:v>0.62106657833719769</c:v>
              </c:pt>
              <c:pt idx="8">
                <c:v>5.8959920503477976</c:v>
              </c:pt>
              <c:pt idx="9">
                <c:v>30.150712156343161</c:v>
              </c:pt>
              <c:pt idx="10">
                <c:v>29.397151374627359</c:v>
              </c:pt>
              <c:pt idx="11">
                <c:v>15.990394170255051</c:v>
              </c:pt>
              <c:pt idx="12">
                <c:v>9.0675720437230876</c:v>
              </c:pt>
              <c:pt idx="13">
                <c:v>5.4653858893673402</c:v>
              </c:pt>
              <c:pt idx="14">
                <c:v>1.6810202053660153</c:v>
              </c:pt>
              <c:pt idx="15">
                <c:v>0.78668433256045045</c:v>
              </c:pt>
              <c:pt idx="16">
                <c:v>0.3892017224246439</c:v>
              </c:pt>
              <c:pt idx="17">
                <c:v>0.25670751904604172</c:v>
              </c:pt>
              <c:pt idx="18">
                <c:v>0.11593242795627691</c:v>
              </c:pt>
              <c:pt idx="19">
                <c:v>7.4527989400463734E-2</c:v>
              </c:pt>
              <c:pt idx="20">
                <c:v>3.3123550844650546E-2</c:v>
              </c:pt>
              <c:pt idx="21">
                <c:v>1.6561775422325273E-2</c:v>
              </c:pt>
              <c:pt idx="22">
                <c:v>8.2808877111626364E-3</c:v>
              </c:pt>
              <c:pt idx="23">
                <c:v>0</c:v>
              </c:pt>
              <c:pt idx="24">
                <c:v>2.4842663133487909E-2</c:v>
              </c:pt>
              <c:pt idx="25">
                <c:v>1.6561775422325273E-2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DEA-4489-BFB9-630FCC2F5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5305088"/>
        <c:axId val="95311360"/>
      </c:barChart>
      <c:catAx>
        <c:axId val="95305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903"/>
              <c:y val="0.871699590182828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31136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5311360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305088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  <c:userShapes r:id="rId1"/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2020</a:t>
            </a:r>
          </a:p>
        </c:rich>
      </c:tx>
      <c:layout>
        <c:manualLayout>
          <c:xMode val="edge"/>
          <c:yMode val="edge"/>
          <c:x val="0.39642869906013833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909"/>
          <c:w val="0.72709690069313326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7">
                <c:v>4</c:v>
              </c:pt>
              <c:pt idx="8">
                <c:v>46</c:v>
              </c:pt>
              <c:pt idx="9">
                <c:v>304</c:v>
              </c:pt>
              <c:pt idx="10">
                <c:v>589</c:v>
              </c:pt>
              <c:pt idx="11">
                <c:v>519</c:v>
              </c:pt>
              <c:pt idx="12">
                <c:v>382</c:v>
              </c:pt>
              <c:pt idx="13">
                <c:v>187</c:v>
              </c:pt>
              <c:pt idx="14">
                <c:v>86</c:v>
              </c:pt>
              <c:pt idx="15">
                <c:v>31</c:v>
              </c:pt>
              <c:pt idx="16">
                <c:v>11</c:v>
              </c:pt>
              <c:pt idx="17">
                <c:v>18</c:v>
              </c:pt>
              <c:pt idx="18">
                <c:v>6</c:v>
              </c:pt>
              <c:pt idx="19">
                <c:v>1</c:v>
              </c:pt>
              <c:pt idx="2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5E76-489A-AB26-1BF41A187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5351168"/>
        <c:axId val="95353856"/>
      </c:barChart>
      <c:catAx>
        <c:axId val="95351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925"/>
              <c:y val="0.871699590182829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35385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53538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Numbers </a:t>
                </a:r>
              </a:p>
            </c:rich>
          </c:tx>
          <c:layout>
            <c:manualLayout>
              <c:xMode val="edge"/>
              <c:yMode val="edge"/>
              <c:x val="1.7857100313292913E-2"/>
              <c:y val="0.23773656582400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3511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1" strike="noStrike">
                <a:solidFill>
                  <a:srgbClr val="000000"/>
                </a:solidFill>
                <a:latin typeface="Times New Roman"/>
                <a:cs typeface="Times New Roman"/>
              </a:rPr>
              <a:t>Trachurus picturatus</a:t>
            </a: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Canary Islands</a:t>
            </a:r>
            <a:r>
              <a:rPr lang="fr-FR" sz="1025" b="1" i="0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(Spain)</a:t>
            </a:r>
            <a:endParaRPr lang="fr-FR" sz="1025" b="1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025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2020</a:t>
            </a:r>
          </a:p>
        </c:rich>
      </c:tx>
      <c:layout>
        <c:manualLayout>
          <c:xMode val="edge"/>
          <c:yMode val="edge"/>
          <c:x val="0.39642869906013833"/>
          <c:y val="3.77361821000445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909"/>
          <c:w val="0.72709690069313326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0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0.18306636155606407</c:v>
              </c:pt>
              <c:pt idx="8">
                <c:v>2.1052631578947367</c:v>
              </c:pt>
              <c:pt idx="9">
                <c:v>13.913043478260869</c:v>
              </c:pt>
              <c:pt idx="10">
                <c:v>26.956521739130434</c:v>
              </c:pt>
              <c:pt idx="11">
                <c:v>23.752860411899313</c:v>
              </c:pt>
              <c:pt idx="12">
                <c:v>17.482837528604119</c:v>
              </c:pt>
              <c:pt idx="13">
                <c:v>8.5583524027459958</c:v>
              </c:pt>
              <c:pt idx="14">
                <c:v>3.9359267734553778</c:v>
              </c:pt>
              <c:pt idx="15">
                <c:v>1.4187643020594967</c:v>
              </c:pt>
              <c:pt idx="16">
                <c:v>0.50343249427917625</c:v>
              </c:pt>
              <c:pt idx="17">
                <c:v>0.82379862700228834</c:v>
              </c:pt>
              <c:pt idx="18">
                <c:v>0.27459954233409611</c:v>
              </c:pt>
              <c:pt idx="19">
                <c:v>4.5766590389016017E-2</c:v>
              </c:pt>
              <c:pt idx="20">
                <c:v>4.5766590389016017E-2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B6F-4027-8C93-B7E7B0805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5390336"/>
        <c:axId val="95417088"/>
      </c:barChart>
      <c:catAx>
        <c:axId val="95390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925"/>
              <c:y val="0.871699590182829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41708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5417088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390336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  <c:userShapes r:id="rId1"/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lang="pt-PT"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200" b="1" i="1" baseline="0">
                <a:effectLst/>
              </a:rPr>
              <a:t>Trachurus p.</a:t>
            </a:r>
            <a:endParaRPr lang="fr-CA" sz="1200">
              <a:effectLst/>
            </a:endParaRPr>
          </a:p>
          <a:p>
            <a:pPr>
              <a:defRPr lang="pt-PT"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200" b="1" i="0" baseline="0">
                <a:effectLst/>
              </a:rPr>
              <a:t>Canary Islands (Spain)</a:t>
            </a:r>
            <a:endParaRPr lang="fr-CA" sz="1200">
              <a:effectLst/>
            </a:endParaRPr>
          </a:p>
          <a:p>
            <a:pPr>
              <a:defRPr lang="pt-PT"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200" b="1" i="0" baseline="0">
                <a:effectLst/>
              </a:rPr>
              <a:t>2022</a:t>
            </a:r>
            <a:endParaRPr lang="fr-CA" sz="1200">
              <a:effectLst/>
            </a:endParaRPr>
          </a:p>
          <a:p>
            <a:pPr>
              <a:defRPr lang="pt-PT"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CA" sz="1200"/>
              <a:t> </a:t>
            </a:r>
          </a:p>
        </c:rich>
      </c:tx>
      <c:layout>
        <c:manualLayout>
          <c:xMode val="edge"/>
          <c:yMode val="edge"/>
          <c:x val="0.39642873212277036"/>
          <c:y val="4.87051778491125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09775161761321"/>
          <c:y val="0.17977593843610862"/>
          <c:w val="0.72709690069313127"/>
          <c:h val="0.558054475562079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34"/>
              <c:pt idx="0">
                <c:v>6</c:v>
              </c:pt>
              <c:pt idx="1">
                <c:v>7</c:v>
              </c:pt>
              <c:pt idx="2">
                <c:v>8</c:v>
              </c:pt>
              <c:pt idx="3">
                <c:v>9</c:v>
              </c:pt>
              <c:pt idx="4">
                <c:v>10</c:v>
              </c:pt>
              <c:pt idx="5">
                <c:v>11</c:v>
              </c:pt>
              <c:pt idx="6">
                <c:v>12</c:v>
              </c:pt>
              <c:pt idx="7">
                <c:v>13</c:v>
              </c:pt>
              <c:pt idx="8">
                <c:v>14</c:v>
              </c:pt>
              <c:pt idx="9">
                <c:v>15</c:v>
              </c:pt>
              <c:pt idx="10">
                <c:v>16</c:v>
              </c:pt>
              <c:pt idx="11">
                <c:v>17</c:v>
              </c:pt>
              <c:pt idx="12">
                <c:v>18</c:v>
              </c:pt>
              <c:pt idx="13">
                <c:v>19</c:v>
              </c:pt>
              <c:pt idx="14">
                <c:v>20</c:v>
              </c:pt>
              <c:pt idx="15">
                <c:v>21</c:v>
              </c:pt>
              <c:pt idx="16">
                <c:v>22</c:v>
              </c:pt>
              <c:pt idx="17">
                <c:v>23</c:v>
              </c:pt>
              <c:pt idx="18">
                <c:v>24</c:v>
              </c:pt>
              <c:pt idx="19">
                <c:v>25</c:v>
              </c:pt>
              <c:pt idx="20">
                <c:v>26</c:v>
              </c:pt>
              <c:pt idx="21">
                <c:v>27</c:v>
              </c:pt>
              <c:pt idx="22">
                <c:v>28</c:v>
              </c:pt>
              <c:pt idx="23">
                <c:v>29</c:v>
              </c:pt>
              <c:pt idx="24">
                <c:v>30</c:v>
              </c:pt>
              <c:pt idx="25">
                <c:v>31</c:v>
              </c:pt>
              <c:pt idx="26">
                <c:v>32</c:v>
              </c:pt>
              <c:pt idx="27">
                <c:v>33</c:v>
              </c:pt>
              <c:pt idx="28">
                <c:v>34</c:v>
              </c:pt>
              <c:pt idx="29">
                <c:v>35</c:v>
              </c:pt>
              <c:pt idx="30">
                <c:v>36</c:v>
              </c:pt>
              <c:pt idx="31">
                <c:v>37</c:v>
              </c:pt>
              <c:pt idx="32">
                <c:v>38</c:v>
              </c:pt>
              <c:pt idx="33">
                <c:v>39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7.3324534389206586E-3</c:v>
              </c:pt>
              <c:pt idx="4">
                <c:v>0</c:v>
              </c:pt>
              <c:pt idx="5">
                <c:v>0</c:v>
              </c:pt>
              <c:pt idx="6">
                <c:v>4.3994720633523957E-2</c:v>
              </c:pt>
              <c:pt idx="7">
                <c:v>0.10265434814488922</c:v>
              </c:pt>
              <c:pt idx="8">
                <c:v>1.7817861856577202</c:v>
              </c:pt>
              <c:pt idx="9">
                <c:v>19.599648042234925</c:v>
              </c:pt>
              <c:pt idx="10">
                <c:v>26.968763748350188</c:v>
              </c:pt>
              <c:pt idx="11">
                <c:v>19.922275993547434</c:v>
              </c:pt>
              <c:pt idx="12">
                <c:v>11.614606247250325</c:v>
              </c:pt>
              <c:pt idx="13">
                <c:v>8.7402844991934252</c:v>
              </c:pt>
              <c:pt idx="14">
                <c:v>5.316028743217478</c:v>
              </c:pt>
              <c:pt idx="15">
                <c:v>2.8083296671066122</c:v>
              </c:pt>
              <c:pt idx="16">
                <c:v>1.6644669306349897</c:v>
              </c:pt>
              <c:pt idx="17">
                <c:v>0.78457251796451055</c:v>
              </c:pt>
              <c:pt idx="18">
                <c:v>0.32996040475142968</c:v>
              </c:pt>
              <c:pt idx="19">
                <c:v>0.18331133597301646</c:v>
              </c:pt>
              <c:pt idx="20">
                <c:v>5.1327174072444609E-2</c:v>
              </c:pt>
              <c:pt idx="21">
                <c:v>2.9329813755682634E-2</c:v>
              </c:pt>
              <c:pt idx="22">
                <c:v>0</c:v>
              </c:pt>
              <c:pt idx="23">
                <c:v>2.1997360316761978E-2</c:v>
              </c:pt>
              <c:pt idx="24">
                <c:v>7.3324534389206586E-3</c:v>
              </c:pt>
              <c:pt idx="25">
                <c:v>7.3324534389206586E-3</c:v>
              </c:pt>
              <c:pt idx="26">
                <c:v>0</c:v>
              </c:pt>
              <c:pt idx="27">
                <c:v>7.3324534389206586E-3</c:v>
              </c:pt>
              <c:pt idx="28">
                <c:v>0</c:v>
              </c:pt>
              <c:pt idx="29">
                <c:v>0</c:v>
              </c:pt>
              <c:pt idx="30">
                <c:v>7.3324534389206586E-3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18B-4149-99D2-6458E6054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4688768"/>
        <c:axId val="94690688"/>
      </c:barChart>
      <c:catAx>
        <c:axId val="94688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CA"/>
                  <a:t>Lt (cm)</a:t>
                </a:r>
              </a:p>
            </c:rich>
          </c:tx>
          <c:layout>
            <c:manualLayout>
              <c:xMode val="edge"/>
              <c:yMode val="edge"/>
              <c:x val="0.48392855015665803"/>
              <c:y val="0.871699590182826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69068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4690688"/>
        <c:scaling>
          <c:orientation val="minMax"/>
          <c:max val="25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lang="pt-PT" sz="10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CA"/>
                  <a:t>%</a:t>
                </a:r>
              </a:p>
            </c:rich>
          </c:tx>
          <c:layout>
            <c:manualLayout>
              <c:xMode val="edge"/>
              <c:yMode val="edge"/>
              <c:x val="3.4826819374850874E-2"/>
              <c:y val="0.41009218049142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688768"/>
        <c:crosses val="autoZero"/>
        <c:crossBetween val="between"/>
        <c:maj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  <c:userShapes r:id="rId2"/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 i="1" baseline="0">
                <a:effectLst/>
              </a:rPr>
              <a:t>Trachurus picturatus</a:t>
            </a:r>
            <a:endParaRPr lang="fr-FR">
              <a:effectLst/>
            </a:endParaRPr>
          </a:p>
          <a:p>
            <a:pPr>
              <a:defRPr/>
            </a:pPr>
            <a:r>
              <a:rPr lang="fr-FR" sz="1800" b="1" i="0" baseline="0">
                <a:effectLst/>
              </a:rPr>
              <a:t>Canary Islands (Spain)</a:t>
            </a:r>
            <a:endParaRPr lang="fr-FR">
              <a:effectLst/>
            </a:endParaRPr>
          </a:p>
          <a:p>
            <a:pPr>
              <a:defRPr/>
            </a:pPr>
            <a:r>
              <a:rPr lang="fr-FR" sz="1800" b="1" i="0" baseline="0">
                <a:effectLst/>
              </a:rPr>
              <a:t>2023</a:t>
            </a:r>
            <a:endParaRPr lang="fr-F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7527680661538931E-2"/>
          <c:y val="0.27771997696946432"/>
          <c:w val="0.93458279877177519"/>
          <c:h val="0.6666955269870450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'Tab&amp;Fig4.5.1b  et c_Picturatus'!$AN$5:$AN$29</c:f>
              <c:numCache>
                <c:formatCode>0.00</c:formatCode>
                <c:ptCount val="25"/>
                <c:pt idx="0">
                  <c:v>6.5</c:v>
                </c:pt>
                <c:pt idx="1">
                  <c:v>7.5</c:v>
                </c:pt>
                <c:pt idx="2">
                  <c:v>8.5</c:v>
                </c:pt>
                <c:pt idx="3">
                  <c:v>9.5</c:v>
                </c:pt>
                <c:pt idx="4">
                  <c:v>10.5</c:v>
                </c:pt>
                <c:pt idx="5">
                  <c:v>11.5</c:v>
                </c:pt>
                <c:pt idx="6">
                  <c:v>12.5</c:v>
                </c:pt>
                <c:pt idx="7">
                  <c:v>13.5</c:v>
                </c:pt>
                <c:pt idx="8">
                  <c:v>14.5</c:v>
                </c:pt>
                <c:pt idx="9">
                  <c:v>15.5</c:v>
                </c:pt>
                <c:pt idx="10">
                  <c:v>16.5</c:v>
                </c:pt>
                <c:pt idx="11">
                  <c:v>17.5</c:v>
                </c:pt>
                <c:pt idx="12">
                  <c:v>18.5</c:v>
                </c:pt>
                <c:pt idx="13">
                  <c:v>19.5</c:v>
                </c:pt>
                <c:pt idx="14">
                  <c:v>20.5</c:v>
                </c:pt>
                <c:pt idx="15">
                  <c:v>21.5</c:v>
                </c:pt>
                <c:pt idx="16">
                  <c:v>22.5</c:v>
                </c:pt>
                <c:pt idx="17">
                  <c:v>23.5</c:v>
                </c:pt>
                <c:pt idx="18">
                  <c:v>24.5</c:v>
                </c:pt>
                <c:pt idx="19">
                  <c:v>25.5</c:v>
                </c:pt>
                <c:pt idx="20">
                  <c:v>26.5</c:v>
                </c:pt>
                <c:pt idx="21">
                  <c:v>27.5</c:v>
                </c:pt>
                <c:pt idx="22">
                  <c:v>28.5</c:v>
                </c:pt>
                <c:pt idx="23">
                  <c:v>29.5</c:v>
                </c:pt>
                <c:pt idx="24">
                  <c:v>30.5</c:v>
                </c:pt>
              </c:numCache>
            </c:numRef>
          </c:cat>
          <c:val>
            <c:numRef>
              <c:f>'Tab&amp;Fig4.5.1b  et c_Picturatus'!#REF!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B-40BE-8C73-93C634017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2718456"/>
        <c:axId val="492719112"/>
      </c:barChart>
      <c:catAx>
        <c:axId val="492718456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2719112"/>
        <c:crosses val="autoZero"/>
        <c:auto val="1"/>
        <c:lblAlgn val="ctr"/>
        <c:lblOffset val="100"/>
        <c:noMultiLvlLbl val="0"/>
      </c:catAx>
      <c:valAx>
        <c:axId val="492719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2718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'Tab&amp;Fig4.5.1b  et c_Picturatus'!$AN$11:$AN$38</c:f>
              <c:numCache>
                <c:formatCode>0.00</c:formatCode>
                <c:ptCount val="28"/>
                <c:pt idx="0">
                  <c:v>12.5</c:v>
                </c:pt>
                <c:pt idx="1">
                  <c:v>13.5</c:v>
                </c:pt>
                <c:pt idx="2">
                  <c:v>14.5</c:v>
                </c:pt>
                <c:pt idx="3">
                  <c:v>15.5</c:v>
                </c:pt>
                <c:pt idx="4">
                  <c:v>16.5</c:v>
                </c:pt>
                <c:pt idx="5">
                  <c:v>17.5</c:v>
                </c:pt>
                <c:pt idx="6">
                  <c:v>18.5</c:v>
                </c:pt>
                <c:pt idx="7">
                  <c:v>19.5</c:v>
                </c:pt>
                <c:pt idx="8">
                  <c:v>20.5</c:v>
                </c:pt>
                <c:pt idx="9">
                  <c:v>21.5</c:v>
                </c:pt>
                <c:pt idx="10">
                  <c:v>22.5</c:v>
                </c:pt>
                <c:pt idx="11">
                  <c:v>23.5</c:v>
                </c:pt>
                <c:pt idx="12">
                  <c:v>24.5</c:v>
                </c:pt>
                <c:pt idx="13">
                  <c:v>25.5</c:v>
                </c:pt>
                <c:pt idx="14">
                  <c:v>26.5</c:v>
                </c:pt>
                <c:pt idx="15">
                  <c:v>27.5</c:v>
                </c:pt>
                <c:pt idx="16">
                  <c:v>28.5</c:v>
                </c:pt>
                <c:pt idx="17">
                  <c:v>29.5</c:v>
                </c:pt>
                <c:pt idx="18">
                  <c:v>30.5</c:v>
                </c:pt>
                <c:pt idx="19">
                  <c:v>31.5</c:v>
                </c:pt>
                <c:pt idx="20">
                  <c:v>32.5</c:v>
                </c:pt>
                <c:pt idx="21">
                  <c:v>33.5</c:v>
                </c:pt>
                <c:pt idx="22">
                  <c:v>34.5</c:v>
                </c:pt>
                <c:pt idx="23">
                  <c:v>35.5</c:v>
                </c:pt>
                <c:pt idx="24">
                  <c:v>36.5</c:v>
                </c:pt>
                <c:pt idx="25">
                  <c:v>37.5</c:v>
                </c:pt>
                <c:pt idx="26">
                  <c:v>38.5</c:v>
                </c:pt>
                <c:pt idx="27">
                  <c:v>39.5</c:v>
                </c:pt>
              </c:numCache>
            </c:numRef>
          </c:cat>
          <c:val>
            <c:numRef>
              <c:f>'Tab&amp;Fig4.5.1b  et c_Picturatus'!$BG$10:$BG$39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8.0580177276390005E-4</c:v>
                </c:pt>
                <c:pt idx="4">
                  <c:v>0.11925866236905722</c:v>
                </c:pt>
                <c:pt idx="5">
                  <c:v>0.14302981466559225</c:v>
                </c:pt>
                <c:pt idx="6">
                  <c:v>4.1095890410958902E-2</c:v>
                </c:pt>
                <c:pt idx="7">
                  <c:v>6.3658340048348111E-2</c:v>
                </c:pt>
                <c:pt idx="8">
                  <c:v>0.12087026591458501</c:v>
                </c:pt>
                <c:pt idx="9">
                  <c:v>0.11563255439161967</c:v>
                </c:pt>
                <c:pt idx="10">
                  <c:v>8.7832393231265113E-2</c:v>
                </c:pt>
                <c:pt idx="11">
                  <c:v>9.0249798549556809E-2</c:v>
                </c:pt>
                <c:pt idx="12">
                  <c:v>6.4061240934730063E-2</c:v>
                </c:pt>
                <c:pt idx="13">
                  <c:v>4.0290088638195005E-2</c:v>
                </c:pt>
                <c:pt idx="14">
                  <c:v>2.6994359387590653E-2</c:v>
                </c:pt>
                <c:pt idx="15">
                  <c:v>1.8130539887187751E-2</c:v>
                </c:pt>
                <c:pt idx="16">
                  <c:v>1.1281224818694601E-2</c:v>
                </c:pt>
                <c:pt idx="17">
                  <c:v>9.2667203867848515E-3</c:v>
                </c:pt>
                <c:pt idx="18">
                  <c:v>7.2522159548751011E-3</c:v>
                </c:pt>
                <c:pt idx="19">
                  <c:v>6.0435132957292505E-3</c:v>
                </c:pt>
                <c:pt idx="20">
                  <c:v>5.2377115229653506E-3</c:v>
                </c:pt>
                <c:pt idx="21">
                  <c:v>3.2232070910556002E-3</c:v>
                </c:pt>
                <c:pt idx="22">
                  <c:v>5.2377115229653506E-3</c:v>
                </c:pt>
                <c:pt idx="23">
                  <c:v>4.4319097502014508E-3</c:v>
                </c:pt>
                <c:pt idx="24">
                  <c:v>6.8493150684931503E-3</c:v>
                </c:pt>
                <c:pt idx="25">
                  <c:v>3.2232070910556002E-3</c:v>
                </c:pt>
                <c:pt idx="26">
                  <c:v>2.01450443190975E-3</c:v>
                </c:pt>
                <c:pt idx="27">
                  <c:v>3.2232070910556002E-3</c:v>
                </c:pt>
                <c:pt idx="28">
                  <c:v>4.0290088638195002E-4</c:v>
                </c:pt>
                <c:pt idx="29">
                  <c:v>4.0290088638195002E-4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F-41E5-8FF1-B6C61D4DB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3077552"/>
        <c:axId val="423082544"/>
      </c:barChart>
      <c:catAx>
        <c:axId val="423077552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3082544"/>
        <c:crosses val="autoZero"/>
        <c:auto val="1"/>
        <c:lblAlgn val="ctr"/>
        <c:lblOffset val="100"/>
        <c:noMultiLvlLbl val="0"/>
      </c:catAx>
      <c:valAx>
        <c:axId val="42308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3077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 i="1" baseline="0">
                <a:effectLst/>
              </a:rPr>
              <a:t>Trachurus picturatus</a:t>
            </a:r>
            <a:endParaRPr lang="fr-FR">
              <a:effectLst/>
            </a:endParaRP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 i="0" baseline="0">
                <a:effectLst/>
              </a:rPr>
              <a:t>Canary Islands (Spain)</a:t>
            </a:r>
            <a:endParaRPr lang="fr-FR">
              <a:effectLst/>
            </a:endParaRP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 i="0" baseline="0">
                <a:effectLst/>
              </a:rPr>
              <a:t>2024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7527680661538931E-2"/>
          <c:y val="0.27771997696946432"/>
          <c:w val="0.93458279877177519"/>
          <c:h val="0.66669552698704504"/>
        </c:manualLayout>
      </c:layout>
      <c:barChart>
        <c:barDir val="col"/>
        <c:grouping val="clustered"/>
        <c:varyColors val="0"/>
        <c:ser>
          <c:idx val="1"/>
          <c:order val="0"/>
          <c:invertIfNegative val="0"/>
          <c:cat>
            <c:numRef>
              <c:f>'Tab&amp;Fig4.5.1b  et c_Picturatus'!$AN$11:$AN$38</c:f>
              <c:numCache>
                <c:formatCode>0.00</c:formatCode>
                <c:ptCount val="28"/>
                <c:pt idx="0">
                  <c:v>12.5</c:v>
                </c:pt>
                <c:pt idx="1">
                  <c:v>13.5</c:v>
                </c:pt>
                <c:pt idx="2">
                  <c:v>14.5</c:v>
                </c:pt>
                <c:pt idx="3">
                  <c:v>15.5</c:v>
                </c:pt>
                <c:pt idx="4">
                  <c:v>16.5</c:v>
                </c:pt>
                <c:pt idx="5">
                  <c:v>17.5</c:v>
                </c:pt>
                <c:pt idx="6">
                  <c:v>18.5</c:v>
                </c:pt>
                <c:pt idx="7">
                  <c:v>19.5</c:v>
                </c:pt>
                <c:pt idx="8">
                  <c:v>20.5</c:v>
                </c:pt>
                <c:pt idx="9">
                  <c:v>21.5</c:v>
                </c:pt>
                <c:pt idx="10">
                  <c:v>22.5</c:v>
                </c:pt>
                <c:pt idx="11">
                  <c:v>23.5</c:v>
                </c:pt>
                <c:pt idx="12">
                  <c:v>24.5</c:v>
                </c:pt>
                <c:pt idx="13">
                  <c:v>25.5</c:v>
                </c:pt>
                <c:pt idx="14">
                  <c:v>26.5</c:v>
                </c:pt>
                <c:pt idx="15">
                  <c:v>27.5</c:v>
                </c:pt>
                <c:pt idx="16">
                  <c:v>28.5</c:v>
                </c:pt>
                <c:pt idx="17">
                  <c:v>29.5</c:v>
                </c:pt>
                <c:pt idx="18">
                  <c:v>30.5</c:v>
                </c:pt>
                <c:pt idx="19">
                  <c:v>31.5</c:v>
                </c:pt>
                <c:pt idx="20">
                  <c:v>32.5</c:v>
                </c:pt>
                <c:pt idx="21">
                  <c:v>33.5</c:v>
                </c:pt>
                <c:pt idx="22">
                  <c:v>34.5</c:v>
                </c:pt>
                <c:pt idx="23">
                  <c:v>35.5</c:v>
                </c:pt>
                <c:pt idx="24">
                  <c:v>36.5</c:v>
                </c:pt>
                <c:pt idx="25">
                  <c:v>37.5</c:v>
                </c:pt>
                <c:pt idx="26">
                  <c:v>38.5</c:v>
                </c:pt>
                <c:pt idx="27">
                  <c:v>39.5</c:v>
                </c:pt>
              </c:numCache>
            </c:numRef>
          </c:cat>
          <c:val>
            <c:numRef>
              <c:f>'Tab&amp;Fig4.5.1b  et c_Picturatus'!#REF!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85-4023-A089-12C2715BA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2718456"/>
        <c:axId val="492719112"/>
      </c:barChart>
      <c:catAx>
        <c:axId val="492718456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2719112"/>
        <c:crosses val="autoZero"/>
        <c:auto val="1"/>
        <c:lblAlgn val="ctr"/>
        <c:lblOffset val="100"/>
        <c:noMultiLvlLbl val="0"/>
      </c:catAx>
      <c:valAx>
        <c:axId val="492719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271845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en-US" sz="1000" i="1"/>
              <a:t>Trachurus treace</a:t>
            </a:r>
          </a:p>
          <a:p>
            <a:pPr>
              <a:defRPr lang="pt-PT" sz="1000"/>
            </a:pPr>
            <a:r>
              <a:rPr lang="en-US" sz="1000"/>
              <a:t>South Cap Blanc </a:t>
            </a:r>
          </a:p>
          <a:p>
            <a:pPr>
              <a:defRPr lang="pt-PT" sz="1000"/>
            </a:pPr>
            <a:r>
              <a:rPr lang="en-US" sz="1000"/>
              <a:t>R/ ATLANTIDA december 2011 </a:t>
            </a:r>
          </a:p>
        </c:rich>
      </c:tx>
      <c:layout>
        <c:manualLayout>
          <c:xMode val="edge"/>
          <c:yMode val="edge"/>
          <c:x val="0.21243044619422999"/>
          <c:y val="2.777793570027637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68285214348222"/>
          <c:y val="2.8252405949256338E-2"/>
          <c:w val="0.86992738407699033"/>
          <c:h val="0.82315543890348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'Tab&amp;Fig4.5.1,dout'!$S$2</c:f>
              <c:strCache>
                <c:ptCount val="1"/>
                <c:pt idx="0">
                  <c:v>Nb (million)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12700">
              <a:solidFill>
                <a:schemeClr val="tx1">
                  <a:lumMod val="65000"/>
                  <a:lumOff val="35000"/>
                </a:schemeClr>
              </a:solidFill>
            </a:ln>
          </c:spPr>
          <c:invertIfNegative val="0"/>
          <c:cat>
            <c:numRef>
              <c:f>'Tab&amp;Fig4.5.1,dout'!$R$7:$R$43</c:f>
              <c:numCache>
                <c:formatCode>General</c:formatCode>
                <c:ptCount val="37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  <c:pt idx="25">
                  <c:v>34</c:v>
                </c:pt>
                <c:pt idx="26">
                  <c:v>35</c:v>
                </c:pt>
                <c:pt idx="27">
                  <c:v>36</c:v>
                </c:pt>
                <c:pt idx="28">
                  <c:v>37</c:v>
                </c:pt>
                <c:pt idx="29">
                  <c:v>38</c:v>
                </c:pt>
                <c:pt idx="30">
                  <c:v>39</c:v>
                </c:pt>
                <c:pt idx="31">
                  <c:v>40</c:v>
                </c:pt>
                <c:pt idx="32">
                  <c:v>41</c:v>
                </c:pt>
                <c:pt idx="33">
                  <c:v>42</c:v>
                </c:pt>
                <c:pt idx="34">
                  <c:v>43</c:v>
                </c:pt>
                <c:pt idx="35">
                  <c:v>44</c:v>
                </c:pt>
                <c:pt idx="36">
                  <c:v>45</c:v>
                </c:pt>
              </c:numCache>
            </c:numRef>
          </c:cat>
          <c:val>
            <c:numRef>
              <c:f>'Tab&amp;Fig4.5.1,dout'!$S$7:$S$43</c:f>
              <c:numCache>
                <c:formatCode>General</c:formatCode>
                <c:ptCount val="37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  <c:pt idx="8">
                  <c:v>34</c:v>
                </c:pt>
                <c:pt idx="9">
                  <c:v>57</c:v>
                </c:pt>
                <c:pt idx="10">
                  <c:v>38</c:v>
                </c:pt>
                <c:pt idx="11">
                  <c:v>15</c:v>
                </c:pt>
                <c:pt idx="12">
                  <c:v>14</c:v>
                </c:pt>
                <c:pt idx="13">
                  <c:v>18</c:v>
                </c:pt>
                <c:pt idx="14">
                  <c:v>20</c:v>
                </c:pt>
                <c:pt idx="15">
                  <c:v>11</c:v>
                </c:pt>
                <c:pt idx="16">
                  <c:v>9</c:v>
                </c:pt>
                <c:pt idx="17">
                  <c:v>4</c:v>
                </c:pt>
                <c:pt idx="18">
                  <c:v>18</c:v>
                </c:pt>
                <c:pt idx="19">
                  <c:v>21</c:v>
                </c:pt>
                <c:pt idx="20">
                  <c:v>48</c:v>
                </c:pt>
                <c:pt idx="21">
                  <c:v>132</c:v>
                </c:pt>
                <c:pt idx="22">
                  <c:v>253</c:v>
                </c:pt>
                <c:pt idx="23">
                  <c:v>227</c:v>
                </c:pt>
                <c:pt idx="24">
                  <c:v>158</c:v>
                </c:pt>
                <c:pt idx="25">
                  <c:v>63</c:v>
                </c:pt>
                <c:pt idx="26">
                  <c:v>29</c:v>
                </c:pt>
                <c:pt idx="27">
                  <c:v>3</c:v>
                </c:pt>
                <c:pt idx="28">
                  <c:v>11</c:v>
                </c:pt>
                <c:pt idx="29">
                  <c:v>15</c:v>
                </c:pt>
                <c:pt idx="30">
                  <c:v>0</c:v>
                </c:pt>
                <c:pt idx="31">
                  <c:v>0</c:v>
                </c:pt>
                <c:pt idx="32">
                  <c:v>3</c:v>
                </c:pt>
                <c:pt idx="33">
                  <c:v>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9-4942-9CCC-F5A5E1C5E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axId val="95431296"/>
        <c:axId val="95456640"/>
      </c:barChart>
      <c:catAx>
        <c:axId val="95431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5456640"/>
        <c:crosses val="autoZero"/>
        <c:auto val="1"/>
        <c:lblAlgn val="ctr"/>
        <c:lblOffset val="100"/>
        <c:noMultiLvlLbl val="0"/>
      </c:catAx>
      <c:valAx>
        <c:axId val="9545664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Nb in millions d'individus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54312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1066" l="0.70000000000000062" r="0.70000000000000062" t="0.75000000000001066" header="0.30000000000000032" footer="0.30000000000000032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lang="pt-PT"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1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rPr>
              <a:t>Trachurus trachurus</a:t>
            </a:r>
          </a:p>
          <a:p>
            <a:pPr algn="ctr" rtl="0">
              <a:defRPr lang="pt-PT"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rPr>
              <a:t>North</a:t>
            </a:r>
            <a:r>
              <a:rPr lang="en-US" sz="1000"/>
              <a:t> of Cap Blanc</a:t>
            </a:r>
          </a:p>
          <a:p>
            <a:pPr algn="ctr" rtl="0">
              <a:defRPr lang="pt-PT"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rPr>
              <a:t>R/V ATLANTIDA 2011</a:t>
            </a:r>
          </a:p>
        </c:rich>
      </c:tx>
      <c:layout>
        <c:manualLayout>
          <c:xMode val="edge"/>
          <c:yMode val="edge"/>
          <c:x val="0.51800810083923932"/>
          <c:y val="2.328982210557025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773565341369394"/>
          <c:y val="0.12542198891805187"/>
          <c:w val="0.81821690807167557"/>
          <c:h val="0.750749807677003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'Tab&amp;Fig4.5.1,dout'!$B$5</c:f>
              <c:strCache>
                <c:ptCount val="1"/>
                <c:pt idx="0">
                  <c:v>млн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12700">
              <a:solidFill>
                <a:schemeClr val="tx1">
                  <a:lumMod val="95000"/>
                  <a:lumOff val="5000"/>
                </a:schemeClr>
              </a:solidFill>
            </a:ln>
          </c:spPr>
          <c:invertIfNegative val="0"/>
          <c:cat>
            <c:numRef>
              <c:f>'Tab&amp;Fig4.5.1,dout'!$A$7:$A$39</c:f>
              <c:numCache>
                <c:formatCode>General</c:formatCode>
                <c:ptCount val="33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28</c:v>
                </c:pt>
                <c:pt idx="21">
                  <c:v>29</c:v>
                </c:pt>
                <c:pt idx="22">
                  <c:v>30</c:v>
                </c:pt>
                <c:pt idx="23">
                  <c:v>31</c:v>
                </c:pt>
                <c:pt idx="24">
                  <c:v>32</c:v>
                </c:pt>
                <c:pt idx="25">
                  <c:v>33</c:v>
                </c:pt>
                <c:pt idx="26">
                  <c:v>34</c:v>
                </c:pt>
                <c:pt idx="27">
                  <c:v>35</c:v>
                </c:pt>
                <c:pt idx="28">
                  <c:v>36</c:v>
                </c:pt>
                <c:pt idx="29">
                  <c:v>37</c:v>
                </c:pt>
                <c:pt idx="30">
                  <c:v>38</c:v>
                </c:pt>
                <c:pt idx="31">
                  <c:v>39</c:v>
                </c:pt>
                <c:pt idx="32">
                  <c:v>40</c:v>
                </c:pt>
              </c:numCache>
            </c:numRef>
          </c:cat>
          <c:val>
            <c:numRef>
              <c:f>'Tab&amp;Fig4.5.1,dout'!$B$7:$B$39</c:f>
              <c:numCache>
                <c:formatCode>General</c:formatCode>
                <c:ptCount val="33"/>
                <c:pt idx="2">
                  <c:v>0.2</c:v>
                </c:pt>
                <c:pt idx="3">
                  <c:v>0.4</c:v>
                </c:pt>
                <c:pt idx="4">
                  <c:v>0.7</c:v>
                </c:pt>
                <c:pt idx="5">
                  <c:v>0.4</c:v>
                </c:pt>
                <c:pt idx="6">
                  <c:v>0.03</c:v>
                </c:pt>
                <c:pt idx="7">
                  <c:v>0.4</c:v>
                </c:pt>
                <c:pt idx="8">
                  <c:v>4</c:v>
                </c:pt>
                <c:pt idx="9">
                  <c:v>38</c:v>
                </c:pt>
                <c:pt idx="10">
                  <c:v>346.7</c:v>
                </c:pt>
                <c:pt idx="11">
                  <c:v>910.6</c:v>
                </c:pt>
                <c:pt idx="12">
                  <c:v>819</c:v>
                </c:pt>
                <c:pt idx="13">
                  <c:v>252.7</c:v>
                </c:pt>
                <c:pt idx="14">
                  <c:v>194.8</c:v>
                </c:pt>
                <c:pt idx="15">
                  <c:v>105.3</c:v>
                </c:pt>
                <c:pt idx="16">
                  <c:v>35.799999999999997</c:v>
                </c:pt>
                <c:pt idx="17">
                  <c:v>6.2</c:v>
                </c:pt>
                <c:pt idx="18">
                  <c:v>1.6</c:v>
                </c:pt>
                <c:pt idx="19">
                  <c:v>0.1</c:v>
                </c:pt>
                <c:pt idx="20">
                  <c:v>1.7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0.01</c:v>
                </c:pt>
                <c:pt idx="27">
                  <c:v>0.01</c:v>
                </c:pt>
                <c:pt idx="28">
                  <c:v>0</c:v>
                </c:pt>
                <c:pt idx="29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5-184D-8A66-F66BC4DA0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5645056"/>
        <c:axId val="95655424"/>
      </c:barChart>
      <c:catAx>
        <c:axId val="95645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5655424"/>
        <c:crosses val="autoZero"/>
        <c:auto val="1"/>
        <c:lblAlgn val="ctr"/>
        <c:lblOffset val="100"/>
        <c:noMultiLvlLbl val="0"/>
      </c:catAx>
      <c:valAx>
        <c:axId val="9565542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 b="0"/>
                </a:pPr>
                <a:r>
                  <a:rPr lang="en-US" b="0"/>
                  <a:t>Nb</a:t>
                </a:r>
                <a:r>
                  <a:rPr lang="en-US" b="0" baseline="0"/>
                  <a:t> in millions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2.1443245520236633E-3"/>
              <c:y val="0.2430931466899994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9564505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lang="pt-PT"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1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rPr>
              <a:t>Trachurus trecae</a:t>
            </a:r>
          </a:p>
          <a:p>
            <a:pPr algn="ctr" rtl="0">
              <a:defRPr lang="pt-PT"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rPr>
              <a:t>North</a:t>
            </a:r>
            <a:r>
              <a:rPr lang="en-US" sz="1000"/>
              <a:t> of Cap Blanc</a:t>
            </a:r>
          </a:p>
          <a:p>
            <a:pPr algn="ctr" rtl="0">
              <a:defRPr lang="pt-PT"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rPr>
              <a:t>R/V ATLANTIDA 2011</a:t>
            </a:r>
          </a:p>
        </c:rich>
      </c:tx>
      <c:layout>
        <c:manualLayout>
          <c:xMode val="edge"/>
          <c:yMode val="edge"/>
          <c:x val="0.44228793623019325"/>
          <c:y val="3.458920968212372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394718252811586"/>
          <c:y val="5.4310740840246119E-2"/>
          <c:w val="0.80175600272188263"/>
          <c:h val="0.750749807677004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'Tab&amp;Fig4.5.1,dout'!$B$5</c:f>
              <c:strCache>
                <c:ptCount val="1"/>
                <c:pt idx="0">
                  <c:v>млн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12700">
              <a:solidFill>
                <a:schemeClr val="tx1">
                  <a:lumMod val="95000"/>
                  <a:lumOff val="5000"/>
                </a:schemeClr>
              </a:solidFill>
            </a:ln>
          </c:spPr>
          <c:invertIfNegative val="0"/>
          <c:cat>
            <c:numRef>
              <c:f>'Tab&amp;Fig4.5.1,dout'!$A$7:$A$39</c:f>
              <c:numCache>
                <c:formatCode>General</c:formatCode>
                <c:ptCount val="33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28</c:v>
                </c:pt>
                <c:pt idx="21">
                  <c:v>29</c:v>
                </c:pt>
                <c:pt idx="22">
                  <c:v>30</c:v>
                </c:pt>
                <c:pt idx="23">
                  <c:v>31</c:v>
                </c:pt>
                <c:pt idx="24">
                  <c:v>32</c:v>
                </c:pt>
                <c:pt idx="25">
                  <c:v>33</c:v>
                </c:pt>
                <c:pt idx="26">
                  <c:v>34</c:v>
                </c:pt>
                <c:pt idx="27">
                  <c:v>35</c:v>
                </c:pt>
                <c:pt idx="28">
                  <c:v>36</c:v>
                </c:pt>
                <c:pt idx="29">
                  <c:v>37</c:v>
                </c:pt>
                <c:pt idx="30">
                  <c:v>38</c:v>
                </c:pt>
                <c:pt idx="31">
                  <c:v>39</c:v>
                </c:pt>
                <c:pt idx="32">
                  <c:v>40</c:v>
                </c:pt>
              </c:numCache>
            </c:numRef>
          </c:cat>
          <c:val>
            <c:numRef>
              <c:f>'Tab&amp;Fig4.5.1,dout'!$D$7:$D$39</c:f>
              <c:numCache>
                <c:formatCode>General</c:formatCode>
                <c:ptCount val="33"/>
                <c:pt idx="1">
                  <c:v>7.3</c:v>
                </c:pt>
                <c:pt idx="2">
                  <c:v>475.8</c:v>
                </c:pt>
                <c:pt idx="3">
                  <c:v>1215</c:v>
                </c:pt>
                <c:pt idx="4">
                  <c:v>102.4</c:v>
                </c:pt>
                <c:pt idx="5">
                  <c:v>29.3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36.6</c:v>
                </c:pt>
                <c:pt idx="11">
                  <c:v>29.4</c:v>
                </c:pt>
                <c:pt idx="12">
                  <c:v>64.7</c:v>
                </c:pt>
                <c:pt idx="13">
                  <c:v>132.80000000000001</c:v>
                </c:pt>
                <c:pt idx="14">
                  <c:v>230.4</c:v>
                </c:pt>
                <c:pt idx="15">
                  <c:v>298.2</c:v>
                </c:pt>
                <c:pt idx="16">
                  <c:v>326.7</c:v>
                </c:pt>
                <c:pt idx="17">
                  <c:v>213.4</c:v>
                </c:pt>
                <c:pt idx="18">
                  <c:v>111.3</c:v>
                </c:pt>
                <c:pt idx="19">
                  <c:v>60.3</c:v>
                </c:pt>
                <c:pt idx="20">
                  <c:v>18.899999999999999</c:v>
                </c:pt>
                <c:pt idx="21">
                  <c:v>13</c:v>
                </c:pt>
                <c:pt idx="22">
                  <c:v>1.2</c:v>
                </c:pt>
                <c:pt idx="23">
                  <c:v>3.7</c:v>
                </c:pt>
                <c:pt idx="24">
                  <c:v>7.8</c:v>
                </c:pt>
                <c:pt idx="25">
                  <c:v>11.1</c:v>
                </c:pt>
                <c:pt idx="26">
                  <c:v>7.5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3-174C-90C5-94FFE88E8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5671808"/>
        <c:axId val="95673728"/>
      </c:barChart>
      <c:catAx>
        <c:axId val="95671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95673728"/>
        <c:crosses val="autoZero"/>
        <c:auto val="1"/>
        <c:lblAlgn val="ctr"/>
        <c:lblOffset val="100"/>
        <c:noMultiLvlLbl val="0"/>
      </c:catAx>
      <c:valAx>
        <c:axId val="9567372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 b="0"/>
                </a:pPr>
                <a:r>
                  <a:rPr lang="en-US" b="0"/>
                  <a:t>Nb</a:t>
                </a:r>
                <a:r>
                  <a:rPr lang="en-US" b="0" baseline="0"/>
                  <a:t> in millions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1.8949483166456266E-3"/>
              <c:y val="0.2608709244677748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lang="pt-PT"/>
            </a:pPr>
            <a:endParaRPr lang="fr-FR"/>
          </a:p>
        </c:txPr>
        <c:crossAx val="9567180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lang="pt-PT"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1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rPr>
              <a:t>Trachurus trecae</a:t>
            </a:r>
          </a:p>
          <a:p>
            <a:pPr algn="ctr" rtl="0">
              <a:defRPr lang="pt-PT"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rPr>
              <a:t>South</a:t>
            </a:r>
            <a:r>
              <a:rPr lang="en-US" sz="1000"/>
              <a:t> of Cap Blanc</a:t>
            </a:r>
          </a:p>
          <a:p>
            <a:pPr algn="ctr" rtl="0">
              <a:defRPr lang="pt-PT"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rPr>
              <a:t>R/V ATLANTIDA 2011</a:t>
            </a:r>
          </a:p>
        </c:rich>
      </c:tx>
      <c:layout>
        <c:manualLayout>
          <c:xMode val="edge"/>
          <c:yMode val="edge"/>
          <c:x val="0.37315213376105782"/>
          <c:y val="2.893945460207305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718959204173551"/>
          <c:y val="5.4310740840246223E-2"/>
          <c:w val="0.79846382165191065"/>
          <c:h val="0.750749807677005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'Tab&amp;Fig4.5.1,dout'!$B$5</c:f>
              <c:strCache>
                <c:ptCount val="1"/>
                <c:pt idx="0">
                  <c:v>млн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12700">
              <a:solidFill>
                <a:schemeClr val="tx1">
                  <a:lumMod val="95000"/>
                  <a:lumOff val="5000"/>
                </a:schemeClr>
              </a:solidFill>
            </a:ln>
          </c:spPr>
          <c:invertIfNegative val="0"/>
          <c:cat>
            <c:numRef>
              <c:f>'Tab&amp;Fig4.5.1,dout'!$A$7:$A$39</c:f>
              <c:numCache>
                <c:formatCode>General</c:formatCode>
                <c:ptCount val="33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28</c:v>
                </c:pt>
                <c:pt idx="21">
                  <c:v>29</c:v>
                </c:pt>
                <c:pt idx="22">
                  <c:v>30</c:v>
                </c:pt>
                <c:pt idx="23">
                  <c:v>31</c:v>
                </c:pt>
                <c:pt idx="24">
                  <c:v>32</c:v>
                </c:pt>
                <c:pt idx="25">
                  <c:v>33</c:v>
                </c:pt>
                <c:pt idx="26">
                  <c:v>34</c:v>
                </c:pt>
                <c:pt idx="27">
                  <c:v>35</c:v>
                </c:pt>
                <c:pt idx="28">
                  <c:v>36</c:v>
                </c:pt>
                <c:pt idx="29">
                  <c:v>37</c:v>
                </c:pt>
                <c:pt idx="30">
                  <c:v>38</c:v>
                </c:pt>
                <c:pt idx="31">
                  <c:v>39</c:v>
                </c:pt>
                <c:pt idx="32">
                  <c:v>40</c:v>
                </c:pt>
              </c:numCache>
            </c:numRef>
          </c:cat>
          <c:val>
            <c:numRef>
              <c:f>'Tab&amp;Fig4.5.1,dout'!$I$7:$I$39</c:f>
              <c:numCache>
                <c:formatCode>General</c:formatCode>
                <c:ptCount val="33"/>
                <c:pt idx="0">
                  <c:v>0.2</c:v>
                </c:pt>
                <c:pt idx="1">
                  <c:v>59.7</c:v>
                </c:pt>
                <c:pt idx="2">
                  <c:v>1162.2</c:v>
                </c:pt>
                <c:pt idx="3">
                  <c:v>737.7</c:v>
                </c:pt>
                <c:pt idx="4">
                  <c:v>8.8000000000000007</c:v>
                </c:pt>
                <c:pt idx="5">
                  <c:v>0.5</c:v>
                </c:pt>
                <c:pt idx="6">
                  <c:v>0.01</c:v>
                </c:pt>
                <c:pt idx="7">
                  <c:v>0.1</c:v>
                </c:pt>
                <c:pt idx="8">
                  <c:v>0.1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</c:v>
                </c:pt>
                <c:pt idx="13">
                  <c:v>0.5</c:v>
                </c:pt>
                <c:pt idx="14">
                  <c:v>0.1</c:v>
                </c:pt>
                <c:pt idx="15">
                  <c:v>0.4</c:v>
                </c:pt>
                <c:pt idx="16">
                  <c:v>0.5</c:v>
                </c:pt>
                <c:pt idx="17">
                  <c:v>0.2</c:v>
                </c:pt>
                <c:pt idx="18">
                  <c:v>0.8</c:v>
                </c:pt>
                <c:pt idx="19">
                  <c:v>0.7</c:v>
                </c:pt>
                <c:pt idx="20">
                  <c:v>0.04</c:v>
                </c:pt>
                <c:pt idx="21">
                  <c:v>0.03</c:v>
                </c:pt>
                <c:pt idx="22">
                  <c:v>0.1</c:v>
                </c:pt>
                <c:pt idx="23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7-F44C-A0E1-0854F051E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5591808"/>
        <c:axId val="95598080"/>
      </c:barChart>
      <c:catAx>
        <c:axId val="95591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 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5598080"/>
        <c:crosses val="autoZero"/>
        <c:auto val="1"/>
        <c:lblAlgn val="ctr"/>
        <c:lblOffset val="100"/>
        <c:noMultiLvlLbl val="0"/>
      </c:catAx>
      <c:valAx>
        <c:axId val="9559808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Nb</a:t>
                </a:r>
                <a:r>
                  <a:rPr lang="en-US" baseline="0"/>
                  <a:t> in millions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559180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en-US" sz="1000" i="1"/>
              <a:t>Trachurus trachurus</a:t>
            </a:r>
          </a:p>
          <a:p>
            <a:pPr>
              <a:defRPr lang="pt-PT" sz="1000"/>
            </a:pPr>
            <a:r>
              <a:rPr lang="en-US" sz="1000"/>
              <a:t>South Cap</a:t>
            </a:r>
            <a:r>
              <a:rPr lang="en-US" sz="1000" baseline="0"/>
              <a:t> Blanc </a:t>
            </a:r>
          </a:p>
          <a:p>
            <a:pPr>
              <a:defRPr lang="pt-PT" sz="1000"/>
            </a:pPr>
            <a:r>
              <a:rPr lang="en-US" sz="1000" baseline="0"/>
              <a:t>R/V ATLANTIDA december 2012</a:t>
            </a:r>
            <a:endParaRPr lang="en-US" sz="1000"/>
          </a:p>
        </c:rich>
      </c:tx>
      <c:layout>
        <c:manualLayout>
          <c:xMode val="edge"/>
          <c:yMode val="edge"/>
          <c:x val="0.60084033245845769"/>
          <c:y val="3.700476464832140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412729658792652"/>
          <c:y val="4.9618328958880131E-2"/>
          <c:w val="0.87598447069118246"/>
          <c:h val="0.79071579467200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'Tab&amp;Fig4.5.1,dout'!$G$45</c:f>
              <c:strCache>
                <c:ptCount val="1"/>
                <c:pt idx="0">
                  <c:v>T.trachurus</c:v>
                </c:pt>
              </c:strCache>
            </c:strRef>
          </c:tx>
          <c:spPr>
            <a:solidFill>
              <a:prstClr val="white">
                <a:lumMod val="50000"/>
              </a:prstClr>
            </a:solidFill>
            <a:ln w="12700">
              <a:solidFill>
                <a:prstClr val="black">
                  <a:lumMod val="65000"/>
                  <a:lumOff val="35000"/>
                </a:prstClr>
              </a:solidFill>
            </a:ln>
          </c:spPr>
          <c:invertIfNegative val="0"/>
          <c:cat>
            <c:numRef>
              <c:f>'Tab&amp;Fig4.5.1,dout'!$F$46:$F$85</c:f>
              <c:numCache>
                <c:formatCode>General</c:formatCode>
                <c:ptCount val="4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  <c:pt idx="38">
                  <c:v>45</c:v>
                </c:pt>
                <c:pt idx="39">
                  <c:v>50</c:v>
                </c:pt>
              </c:numCache>
            </c:numRef>
          </c:cat>
          <c:val>
            <c:numRef>
              <c:f>'Tab&amp;Fig4.5.1,dout'!$I$46:$I$85</c:f>
              <c:numCache>
                <c:formatCode>General</c:formatCode>
                <c:ptCount val="40"/>
                <c:pt idx="0">
                  <c:v>0</c:v>
                </c:pt>
                <c:pt idx="1">
                  <c:v>1.8404907975460123</c:v>
                </c:pt>
                <c:pt idx="2">
                  <c:v>1.8404907975460123</c:v>
                </c:pt>
                <c:pt idx="3">
                  <c:v>1.2269938650306749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0.30674846625766872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0.30674846625766872</c:v>
                </c:pt>
                <c:pt idx="16">
                  <c:v>1.8404907975460123</c:v>
                </c:pt>
                <c:pt idx="17">
                  <c:v>21.165644171779142</c:v>
                </c:pt>
                <c:pt idx="18">
                  <c:v>29.141104294478527</c:v>
                </c:pt>
                <c:pt idx="19">
                  <c:v>20.552147239263803</c:v>
                </c:pt>
                <c:pt idx="20">
                  <c:v>14.110429447852759</c:v>
                </c:pt>
                <c:pt idx="21">
                  <c:v>6.1349693251533743</c:v>
                </c:pt>
                <c:pt idx="22">
                  <c:v>1.2269938650306749</c:v>
                </c:pt>
                <c:pt idx="23">
                  <c:v>0.30674846625766872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7-044D-8B82-CB186BD48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"/>
        <c:axId val="95815168"/>
        <c:axId val="95817088"/>
      </c:barChart>
      <c:catAx>
        <c:axId val="95815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5817088"/>
        <c:crosses val="autoZero"/>
        <c:auto val="1"/>
        <c:lblAlgn val="ctr"/>
        <c:lblOffset val="100"/>
        <c:noMultiLvlLbl val="0"/>
      </c:catAx>
      <c:valAx>
        <c:axId val="9581708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%</a:t>
                </a:r>
                <a:r>
                  <a:rPr lang="en-US" baseline="0"/>
                  <a:t> d'individus 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5815168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1066" l="0.70000000000000062" r="0.70000000000000062" t="0.75000000000001066" header="0.30000000000000032" footer="0.30000000000000032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en-US" sz="1000" i="1"/>
              <a:t>Trachurus treace</a:t>
            </a:r>
          </a:p>
          <a:p>
            <a:pPr>
              <a:defRPr lang="pt-PT" sz="1000"/>
            </a:pPr>
            <a:r>
              <a:rPr lang="en-US" sz="1000"/>
              <a:t>South Cap</a:t>
            </a:r>
            <a:r>
              <a:rPr lang="en-US" sz="1000" baseline="0"/>
              <a:t> Blanc </a:t>
            </a:r>
          </a:p>
          <a:p>
            <a:pPr>
              <a:defRPr lang="pt-PT" sz="1000"/>
            </a:pPr>
            <a:r>
              <a:rPr lang="en-US" sz="1000" baseline="0"/>
              <a:t>R/V ATLANTIDA december 2012</a:t>
            </a:r>
            <a:endParaRPr lang="en-US" sz="1000"/>
          </a:p>
        </c:rich>
      </c:tx>
      <c:layout>
        <c:manualLayout>
          <c:xMode val="edge"/>
          <c:yMode val="edge"/>
          <c:x val="0.54250699912510936"/>
          <c:y val="3.700476464832140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412729658792652"/>
          <c:y val="4.9618328958880131E-2"/>
          <c:w val="0.87598447069118301"/>
          <c:h val="0.79071579467200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'Tab&amp;Fig4.5.1,dout'!$G$45</c:f>
              <c:strCache>
                <c:ptCount val="1"/>
                <c:pt idx="0">
                  <c:v>T.trachurus</c:v>
                </c:pt>
              </c:strCache>
            </c:strRef>
          </c:tx>
          <c:spPr>
            <a:solidFill>
              <a:prstClr val="white">
                <a:lumMod val="50000"/>
              </a:prstClr>
            </a:solidFill>
            <a:ln w="12700">
              <a:solidFill>
                <a:prstClr val="black">
                  <a:lumMod val="65000"/>
                  <a:lumOff val="35000"/>
                </a:prstClr>
              </a:solidFill>
            </a:ln>
          </c:spPr>
          <c:invertIfNegative val="0"/>
          <c:cat>
            <c:numRef>
              <c:f>'Tab&amp;Fig4.5.1,dout'!$F$46:$F$85</c:f>
              <c:numCache>
                <c:formatCode>General</c:formatCode>
                <c:ptCount val="4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  <c:pt idx="38">
                  <c:v>45</c:v>
                </c:pt>
                <c:pt idx="39">
                  <c:v>50</c:v>
                </c:pt>
              </c:numCache>
            </c:numRef>
          </c:cat>
          <c:val>
            <c:numRef>
              <c:f>'Tab&amp;Fig4.5.1,dout'!$J$46:$J$85</c:f>
              <c:numCache>
                <c:formatCode>General</c:formatCode>
                <c:ptCount val="40"/>
                <c:pt idx="0">
                  <c:v>0.3160270880361174</c:v>
                </c:pt>
                <c:pt idx="1">
                  <c:v>0.49661399548532731</c:v>
                </c:pt>
                <c:pt idx="2">
                  <c:v>0.27088036117381487</c:v>
                </c:pt>
                <c:pt idx="3">
                  <c:v>4.5146726862302478E-2</c:v>
                </c:pt>
                <c:pt idx="4">
                  <c:v>0</c:v>
                </c:pt>
                <c:pt idx="5">
                  <c:v>4.5146726862302478E-2</c:v>
                </c:pt>
                <c:pt idx="6">
                  <c:v>9.0293453724604955E-2</c:v>
                </c:pt>
                <c:pt idx="7">
                  <c:v>4.5146726862302478E-2</c:v>
                </c:pt>
                <c:pt idx="8">
                  <c:v>0.3160270880361174</c:v>
                </c:pt>
                <c:pt idx="9">
                  <c:v>2.6185101580135437</c:v>
                </c:pt>
                <c:pt idx="10">
                  <c:v>17.923250564334086</c:v>
                </c:pt>
                <c:pt idx="11">
                  <c:v>41.083521444695258</c:v>
                </c:pt>
                <c:pt idx="12">
                  <c:v>18.1489841986456</c:v>
                </c:pt>
                <c:pt idx="13">
                  <c:v>5.282167042889391</c:v>
                </c:pt>
                <c:pt idx="14">
                  <c:v>0.90293453724604955</c:v>
                </c:pt>
                <c:pt idx="15">
                  <c:v>0.13544018058690743</c:v>
                </c:pt>
                <c:pt idx="16">
                  <c:v>0.36117381489841982</c:v>
                </c:pt>
                <c:pt idx="17">
                  <c:v>0.67720090293453727</c:v>
                </c:pt>
                <c:pt idx="18">
                  <c:v>0.6320541760722348</c:v>
                </c:pt>
                <c:pt idx="19">
                  <c:v>1.038374717832957</c:v>
                </c:pt>
                <c:pt idx="20">
                  <c:v>2.5733634311512414</c:v>
                </c:pt>
                <c:pt idx="21">
                  <c:v>1.3544018058690745</c:v>
                </c:pt>
                <c:pt idx="22">
                  <c:v>0.67720090293453727</c:v>
                </c:pt>
                <c:pt idx="23">
                  <c:v>0.40632054176072235</c:v>
                </c:pt>
                <c:pt idx="24">
                  <c:v>0.18058690744920991</c:v>
                </c:pt>
                <c:pt idx="25">
                  <c:v>0.36117381489841982</c:v>
                </c:pt>
                <c:pt idx="26">
                  <c:v>0.3160270880361174</c:v>
                </c:pt>
                <c:pt idx="27">
                  <c:v>0.45146726862302478</c:v>
                </c:pt>
                <c:pt idx="28">
                  <c:v>0.67720090293453727</c:v>
                </c:pt>
                <c:pt idx="29">
                  <c:v>1.399548532731377</c:v>
                </c:pt>
                <c:pt idx="30">
                  <c:v>0.6320541760722348</c:v>
                </c:pt>
                <c:pt idx="31">
                  <c:v>0.22573363431151239</c:v>
                </c:pt>
                <c:pt idx="32">
                  <c:v>0.3160270880361174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7E-6343-91A2-A35F416BB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"/>
        <c:axId val="95853952"/>
        <c:axId val="95868416"/>
      </c:barChart>
      <c:catAx>
        <c:axId val="95853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5868416"/>
        <c:crosses val="autoZero"/>
        <c:auto val="1"/>
        <c:lblAlgn val="ctr"/>
        <c:lblOffset val="100"/>
        <c:noMultiLvlLbl val="0"/>
      </c:catAx>
      <c:valAx>
        <c:axId val="9586841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%</a:t>
                </a:r>
                <a:r>
                  <a:rPr lang="en-US" baseline="0"/>
                  <a:t> d'individus 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585395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1088" l="0.70000000000000062" r="0.70000000000000062" t="0.75000000000001088" header="0.30000000000000032" footer="0.30000000000000032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Trachurus trecae</a:t>
            </a:r>
            <a:endParaRPr lang="pt-PT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Cap Bojdor - Cap Blanc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R/V Al Amir Nov. 2012</a:t>
            </a:r>
          </a:p>
        </c:rich>
      </c:tx>
      <c:layout>
        <c:manualLayout>
          <c:xMode val="edge"/>
          <c:yMode val="edge"/>
          <c:x val="0.34210570984016231"/>
          <c:y val="3.7312882358106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868286671218121"/>
          <c:y val="0.24673125896437817"/>
          <c:w val="0.79640834991394482"/>
          <c:h val="0.49771624271873077"/>
        </c:manualLayout>
      </c:layout>
      <c:barChart>
        <c:barDir val="col"/>
        <c:grouping val="clustered"/>
        <c:varyColors val="0"/>
        <c:ser>
          <c:idx val="1"/>
          <c:order val="0"/>
          <c:tx>
            <c:v>T. trecae</c:v>
          </c:tx>
          <c:spPr>
            <a:solidFill>
              <a:srgbClr val="80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Lit>
              <c:formatCode>General</c:formatCode>
              <c:ptCount val="36"/>
              <c:pt idx="0">
                <c:v>5</c:v>
              </c:pt>
              <c:pt idx="1">
                <c:v>6</c:v>
              </c:pt>
              <c:pt idx="2">
                <c:v>7</c:v>
              </c:pt>
              <c:pt idx="3">
                <c:v>8</c:v>
              </c:pt>
              <c:pt idx="4">
                <c:v>9</c:v>
              </c:pt>
              <c:pt idx="5">
                <c:v>10</c:v>
              </c:pt>
              <c:pt idx="6">
                <c:v>11</c:v>
              </c:pt>
              <c:pt idx="7">
                <c:v>12</c:v>
              </c:pt>
              <c:pt idx="8">
                <c:v>13</c:v>
              </c:pt>
              <c:pt idx="9">
                <c:v>14</c:v>
              </c:pt>
              <c:pt idx="10">
                <c:v>15</c:v>
              </c:pt>
              <c:pt idx="11">
                <c:v>16</c:v>
              </c:pt>
              <c:pt idx="12">
                <c:v>17</c:v>
              </c:pt>
              <c:pt idx="13">
                <c:v>18</c:v>
              </c:pt>
              <c:pt idx="14">
                <c:v>19</c:v>
              </c:pt>
              <c:pt idx="15">
                <c:v>20</c:v>
              </c:pt>
              <c:pt idx="16">
                <c:v>21</c:v>
              </c:pt>
              <c:pt idx="17">
                <c:v>22</c:v>
              </c:pt>
              <c:pt idx="18">
                <c:v>23</c:v>
              </c:pt>
              <c:pt idx="19">
                <c:v>24</c:v>
              </c:pt>
              <c:pt idx="20">
                <c:v>25</c:v>
              </c:pt>
              <c:pt idx="21">
                <c:v>26</c:v>
              </c:pt>
              <c:pt idx="22">
                <c:v>27</c:v>
              </c:pt>
              <c:pt idx="23">
                <c:v>28</c:v>
              </c:pt>
              <c:pt idx="24">
                <c:v>29</c:v>
              </c:pt>
              <c:pt idx="25">
                <c:v>30</c:v>
              </c:pt>
              <c:pt idx="26">
                <c:v>31</c:v>
              </c:pt>
              <c:pt idx="27">
                <c:v>32</c:v>
              </c:pt>
              <c:pt idx="28">
                <c:v>33</c:v>
              </c:pt>
              <c:pt idx="29">
                <c:v>34</c:v>
              </c:pt>
              <c:pt idx="30">
                <c:v>35</c:v>
              </c:pt>
              <c:pt idx="31">
                <c:v>36</c:v>
              </c:pt>
              <c:pt idx="32">
                <c:v>37</c:v>
              </c:pt>
              <c:pt idx="33">
                <c:v>38</c:v>
              </c:pt>
              <c:pt idx="34">
                <c:v>39</c:v>
              </c:pt>
              <c:pt idx="35">
                <c:v>40</c:v>
              </c:pt>
            </c:numLit>
          </c:cat>
          <c:val>
            <c:numLit>
              <c:formatCode>General</c:formatCode>
              <c:ptCount val="3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6.4290566599088601</c:v>
              </c:pt>
              <c:pt idx="11">
                <c:v>2.7553099971037969</c:v>
              </c:pt>
              <c:pt idx="12">
                <c:v>0.91843666570124871</c:v>
              </c:pt>
              <c:pt idx="13">
                <c:v>2.0135283820787087</c:v>
              </c:pt>
              <c:pt idx="14">
                <c:v>2.7376317529712471</c:v>
              </c:pt>
              <c:pt idx="15">
                <c:v>13.084753128631268</c:v>
              </c:pt>
              <c:pt idx="16">
                <c:v>24.088692150907068</c:v>
              </c:pt>
              <c:pt idx="17">
                <c:v>51.842671077927847</c:v>
              </c:pt>
              <c:pt idx="18">
                <c:v>71.131926787002925</c:v>
              </c:pt>
              <c:pt idx="19">
                <c:v>31.683966581745789</c:v>
              </c:pt>
              <c:pt idx="20">
                <c:v>11.339518613498136</c:v>
              </c:pt>
              <c:pt idx="21">
                <c:v>2.9349763898275629</c:v>
              </c:pt>
              <c:pt idx="22">
                <c:v>12.27443193176032</c:v>
              </c:pt>
              <c:pt idx="23">
                <c:v>2.9379877318751602</c:v>
              </c:pt>
              <c:pt idx="24">
                <c:v>0.92144800774885405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733-D54F-87EB-720E81DA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5799168"/>
        <c:axId val="95805440"/>
      </c:barChart>
      <c:catAx>
        <c:axId val="95799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TL (cm)</a:t>
                </a:r>
              </a:p>
            </c:rich>
          </c:tx>
          <c:layout>
            <c:manualLayout>
              <c:xMode val="edge"/>
              <c:yMode val="edge"/>
              <c:x val="0.51435459789083249"/>
              <c:y val="0.861941866932061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80544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95805440"/>
        <c:scaling>
          <c:orientation val="minMax"/>
          <c:max val="10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Nb in millions</a:t>
                </a:r>
              </a:p>
            </c:rich>
          </c:tx>
          <c:layout>
            <c:manualLayout>
              <c:xMode val="edge"/>
              <c:yMode val="edge"/>
              <c:x val="1.1961902965722101E-2"/>
              <c:y val="0.391791899618495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7991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Trachurus trachurus</a:t>
            </a:r>
            <a:endParaRPr lang="pt-PT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Cap Bojdor - Cap Blanc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R/V Al Amir Nov. 2012</a:t>
            </a:r>
          </a:p>
        </c:rich>
      </c:tx>
      <c:layout>
        <c:manualLayout>
          <c:xMode val="edge"/>
          <c:yMode val="edge"/>
          <c:x val="0.34210570984016231"/>
          <c:y val="3.731311363857359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868286671218121"/>
          <c:y val="0.30000108507336931"/>
          <c:w val="0.79640834991394482"/>
          <c:h val="0.44444605196054682"/>
        </c:manualLayout>
      </c:layout>
      <c:barChart>
        <c:barDir val="col"/>
        <c:grouping val="clustered"/>
        <c:varyColors val="0"/>
        <c:ser>
          <c:idx val="1"/>
          <c:order val="0"/>
          <c:tx>
            <c:v>T.trachurus</c:v>
          </c:tx>
          <c:spPr>
            <a:solidFill>
              <a:srgbClr val="80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Lit>
              <c:formatCode>General</c:formatCode>
              <c:ptCount val="36"/>
              <c:pt idx="0">
                <c:v>5</c:v>
              </c:pt>
              <c:pt idx="1">
                <c:v>6</c:v>
              </c:pt>
              <c:pt idx="2">
                <c:v>7</c:v>
              </c:pt>
              <c:pt idx="3">
                <c:v>8</c:v>
              </c:pt>
              <c:pt idx="4">
                <c:v>9</c:v>
              </c:pt>
              <c:pt idx="5">
                <c:v>10</c:v>
              </c:pt>
              <c:pt idx="6">
                <c:v>11</c:v>
              </c:pt>
              <c:pt idx="7">
                <c:v>12</c:v>
              </c:pt>
              <c:pt idx="8">
                <c:v>13</c:v>
              </c:pt>
              <c:pt idx="9">
                <c:v>14</c:v>
              </c:pt>
              <c:pt idx="10">
                <c:v>15</c:v>
              </c:pt>
              <c:pt idx="11">
                <c:v>16</c:v>
              </c:pt>
              <c:pt idx="12">
                <c:v>17</c:v>
              </c:pt>
              <c:pt idx="13">
                <c:v>18</c:v>
              </c:pt>
              <c:pt idx="14">
                <c:v>19</c:v>
              </c:pt>
              <c:pt idx="15">
                <c:v>20</c:v>
              </c:pt>
              <c:pt idx="16">
                <c:v>21</c:v>
              </c:pt>
              <c:pt idx="17">
                <c:v>22</c:v>
              </c:pt>
              <c:pt idx="18">
                <c:v>23</c:v>
              </c:pt>
              <c:pt idx="19">
                <c:v>24</c:v>
              </c:pt>
              <c:pt idx="20">
                <c:v>25</c:v>
              </c:pt>
              <c:pt idx="21">
                <c:v>26</c:v>
              </c:pt>
              <c:pt idx="22">
                <c:v>27</c:v>
              </c:pt>
              <c:pt idx="23">
                <c:v>28</c:v>
              </c:pt>
              <c:pt idx="24">
                <c:v>29</c:v>
              </c:pt>
              <c:pt idx="25">
                <c:v>30</c:v>
              </c:pt>
              <c:pt idx="26">
                <c:v>31</c:v>
              </c:pt>
              <c:pt idx="27">
                <c:v>32</c:v>
              </c:pt>
              <c:pt idx="28">
                <c:v>33</c:v>
              </c:pt>
              <c:pt idx="29">
                <c:v>34</c:v>
              </c:pt>
              <c:pt idx="30">
                <c:v>35</c:v>
              </c:pt>
              <c:pt idx="31">
                <c:v>36</c:v>
              </c:pt>
              <c:pt idx="32">
                <c:v>37</c:v>
              </c:pt>
              <c:pt idx="33">
                <c:v>38</c:v>
              </c:pt>
              <c:pt idx="34">
                <c:v>39</c:v>
              </c:pt>
              <c:pt idx="35">
                <c:v>40</c:v>
              </c:pt>
            </c:numLit>
          </c:cat>
          <c:val>
            <c:numLit>
              <c:formatCode>General</c:formatCode>
              <c:ptCount val="3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2.0379849609168454</c:v>
              </c:pt>
              <c:pt idx="5">
                <c:v>0</c:v>
              </c:pt>
              <c:pt idx="6">
                <c:v>2.0379849609168454</c:v>
              </c:pt>
              <c:pt idx="7">
                <c:v>2.4455819531002145</c:v>
              </c:pt>
              <c:pt idx="8">
                <c:v>4.8298571156752885</c:v>
              </c:pt>
              <c:pt idx="9">
                <c:v>29.335733179529679</c:v>
              </c:pt>
              <c:pt idx="10">
                <c:v>53.170540690645126</c:v>
              </c:pt>
              <c:pt idx="11">
                <c:v>133.35914800834701</c:v>
              </c:pt>
              <c:pt idx="12">
                <c:v>136.77710648612526</c:v>
              </c:pt>
              <c:pt idx="13">
                <c:v>91.5047619299161</c:v>
              </c:pt>
              <c:pt idx="14">
                <c:v>53.119715339330035</c:v>
              </c:pt>
              <c:pt idx="15">
                <c:v>69.831706956162719</c:v>
              </c:pt>
              <c:pt idx="16">
                <c:v>202.52485795440421</c:v>
              </c:pt>
              <c:pt idx="17">
                <c:v>181.73084718856441</c:v>
              </c:pt>
              <c:pt idx="18">
                <c:v>95.383720368371812</c:v>
              </c:pt>
              <c:pt idx="19">
                <c:v>62.070948860488002</c:v>
              </c:pt>
              <c:pt idx="20">
                <c:v>16.863650642018808</c:v>
              </c:pt>
              <c:pt idx="21">
                <c:v>2.6589617190488104</c:v>
              </c:pt>
              <c:pt idx="22">
                <c:v>1.6150069501605191</c:v>
              </c:pt>
              <c:pt idx="23">
                <c:v>4.7369502220816724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970-1046-8017-C3FD1D9A4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5911936"/>
        <c:axId val="95913856"/>
      </c:barChart>
      <c:catAx>
        <c:axId val="95911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TL (cm)</a:t>
                </a:r>
              </a:p>
            </c:rich>
          </c:tx>
          <c:layout>
            <c:manualLayout>
              <c:xMode val="edge"/>
              <c:yMode val="edge"/>
              <c:x val="0.51435459789083249"/>
              <c:y val="0.861941868377574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913856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95913856"/>
        <c:scaling>
          <c:orientation val="minMax"/>
          <c:max val="300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Nb in millions</a:t>
                </a:r>
              </a:p>
            </c:rich>
          </c:tx>
          <c:layout>
            <c:manualLayout>
              <c:xMode val="edge"/>
              <c:yMode val="edge"/>
              <c:x val="1.1961902965722101E-2"/>
              <c:y val="0.391791970448138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59119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 paperSize="9" orientation="landscape" horizontalDpi="-1" verticalDpi="0"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/>
            </a:pPr>
            <a:r>
              <a:rPr lang="pt-PT" sz="1050" b="0" i="1" baseline="0"/>
              <a:t>Trachurus trachurus</a:t>
            </a:r>
            <a:endParaRPr lang="pt-PT" sz="1050" b="0" i="0" baseline="0"/>
          </a:p>
          <a:p>
            <a:pPr>
              <a:defRPr lang="pt-PT"/>
            </a:pPr>
            <a:r>
              <a:rPr lang="pt-PT" sz="1050" b="0" i="0" baseline="0"/>
              <a:t>Cap Bojdor - Cap Blanc</a:t>
            </a:r>
            <a:endParaRPr lang="fr-FR" sz="1050"/>
          </a:p>
          <a:p>
            <a:pPr>
              <a:defRPr lang="pt-PT"/>
            </a:pPr>
            <a:r>
              <a:rPr lang="pt-PT"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R/V Al Amir Nov2013</a:t>
            </a:r>
            <a:endParaRPr lang="fr-FR"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'Tab&amp;Fig4.5.1eout'!$U$64</c:f>
              <c:strCache>
                <c:ptCount val="1"/>
                <c:pt idx="0">
                  <c:v>N millions</c:v>
                </c:pt>
              </c:strCache>
            </c:strRef>
          </c:tx>
          <c:invertIfNegative val="0"/>
          <c:cat>
            <c:numRef>
              <c:f>'Tab&amp;Fig4.5.1eout'!$T$65:$T$110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'Tab&amp;Fig4.5.1eout'!$U$65:$U$110</c:f>
              <c:numCache>
                <c:formatCode>General</c:formatCode>
                <c:ptCount val="46"/>
                <c:pt idx="18">
                  <c:v>1</c:v>
                </c:pt>
                <c:pt idx="19">
                  <c:v>9</c:v>
                </c:pt>
                <c:pt idx="20">
                  <c:v>19</c:v>
                </c:pt>
                <c:pt idx="21">
                  <c:v>51</c:v>
                </c:pt>
                <c:pt idx="22">
                  <c:v>92</c:v>
                </c:pt>
                <c:pt idx="23">
                  <c:v>99</c:v>
                </c:pt>
                <c:pt idx="24">
                  <c:v>63</c:v>
                </c:pt>
                <c:pt idx="25">
                  <c:v>12</c:v>
                </c:pt>
                <c:pt idx="26">
                  <c:v>1</c:v>
                </c:pt>
                <c:pt idx="27">
                  <c:v>1</c:v>
                </c:pt>
                <c:pt idx="2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F2-CD4C-B6BD-25DEA668C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264512"/>
        <c:axId val="93270400"/>
      </c:barChart>
      <c:catAx>
        <c:axId val="9326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3270400"/>
        <c:crosses val="autoZero"/>
        <c:auto val="1"/>
        <c:lblAlgn val="ctr"/>
        <c:lblOffset val="100"/>
        <c:noMultiLvlLbl val="0"/>
      </c:catAx>
      <c:valAx>
        <c:axId val="93270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32645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/>
            </a:pPr>
            <a:r>
              <a:rPr lang="pt-PT" sz="1050" b="0" i="1" baseline="0"/>
              <a:t>Trachurus trachurus</a:t>
            </a:r>
            <a:endParaRPr lang="pt-PT" sz="1050" b="0" i="0" baseline="0"/>
          </a:p>
          <a:p>
            <a:pPr>
              <a:defRPr lang="pt-PT"/>
            </a:pPr>
            <a:r>
              <a:rPr lang="pt-PT" sz="1050" b="0" i="0" baseline="0"/>
              <a:t>Cap Bojdor - Cap Blanc</a:t>
            </a:r>
            <a:endParaRPr lang="fr-FR" sz="1050"/>
          </a:p>
          <a:p>
            <a:pPr>
              <a:defRPr lang="pt-PT"/>
            </a:pPr>
            <a:r>
              <a:rPr lang="pt-PT" sz="1050" b="0" i="0" baseline="0"/>
              <a:t>2013</a:t>
            </a:r>
            <a:endParaRPr lang="fr-FR" sz="105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'Tab&amp;Fig4.5.1eout'!$T$65:$T$73</c:f>
              <c:strCache>
                <c:ptCount val="9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</c:strCache>
            </c:strRef>
          </c:tx>
          <c:invertIfNegative val="0"/>
          <c:val>
            <c:numRef>
              <c:f>'Tab&amp;Fig4.5.1eout'!$W$65:$W$110</c:f>
              <c:numCache>
                <c:formatCode>General</c:formatCode>
                <c:ptCount val="46"/>
                <c:pt idx="7">
                  <c:v>0</c:v>
                </c:pt>
                <c:pt idx="8">
                  <c:v>1</c:v>
                </c:pt>
                <c:pt idx="9">
                  <c:v>11</c:v>
                </c:pt>
                <c:pt idx="10">
                  <c:v>45</c:v>
                </c:pt>
                <c:pt idx="11">
                  <c:v>44</c:v>
                </c:pt>
                <c:pt idx="12">
                  <c:v>71</c:v>
                </c:pt>
                <c:pt idx="13">
                  <c:v>226</c:v>
                </c:pt>
                <c:pt idx="14">
                  <c:v>168</c:v>
                </c:pt>
                <c:pt idx="15">
                  <c:v>201</c:v>
                </c:pt>
                <c:pt idx="16">
                  <c:v>451</c:v>
                </c:pt>
                <c:pt idx="17">
                  <c:v>284</c:v>
                </c:pt>
                <c:pt idx="18">
                  <c:v>86</c:v>
                </c:pt>
                <c:pt idx="19">
                  <c:v>42</c:v>
                </c:pt>
                <c:pt idx="20">
                  <c:v>30</c:v>
                </c:pt>
                <c:pt idx="21">
                  <c:v>13</c:v>
                </c:pt>
                <c:pt idx="22">
                  <c:v>11</c:v>
                </c:pt>
                <c:pt idx="23">
                  <c:v>15</c:v>
                </c:pt>
                <c:pt idx="2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2-C349-BD7E-1776A7B0B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294976"/>
        <c:axId val="93296512"/>
      </c:barChart>
      <c:catAx>
        <c:axId val="9329497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3296512"/>
        <c:crosses val="autoZero"/>
        <c:auto val="1"/>
        <c:lblAlgn val="ctr"/>
        <c:lblOffset val="100"/>
        <c:noMultiLvlLbl val="0"/>
      </c:catAx>
      <c:valAx>
        <c:axId val="93296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32949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pt-PT"/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'Tab&amp;Fig4.5.1eout'!$U$64</c:f>
              <c:strCache>
                <c:ptCount val="1"/>
                <c:pt idx="0">
                  <c:v>N millions</c:v>
                </c:pt>
              </c:strCache>
            </c:strRef>
          </c:tx>
          <c:invertIfNegative val="0"/>
          <c:val>
            <c:numRef>
              <c:f>'Tab&amp;Fig4.5.1eout'!$U$65:$U$110</c:f>
              <c:numCache>
                <c:formatCode>General</c:formatCode>
                <c:ptCount val="46"/>
                <c:pt idx="18">
                  <c:v>1</c:v>
                </c:pt>
                <c:pt idx="19">
                  <c:v>9</c:v>
                </c:pt>
                <c:pt idx="20">
                  <c:v>19</c:v>
                </c:pt>
                <c:pt idx="21">
                  <c:v>51</c:v>
                </c:pt>
                <c:pt idx="22">
                  <c:v>92</c:v>
                </c:pt>
                <c:pt idx="23">
                  <c:v>99</c:v>
                </c:pt>
                <c:pt idx="24">
                  <c:v>63</c:v>
                </c:pt>
                <c:pt idx="25">
                  <c:v>12</c:v>
                </c:pt>
                <c:pt idx="26">
                  <c:v>1</c:v>
                </c:pt>
                <c:pt idx="27">
                  <c:v>1</c:v>
                </c:pt>
                <c:pt idx="2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7D-A94F-832B-7FF9469D1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244928"/>
        <c:axId val="83246464"/>
      </c:barChart>
      <c:catAx>
        <c:axId val="8324492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83246464"/>
        <c:crosses val="autoZero"/>
        <c:auto val="1"/>
        <c:lblAlgn val="ctr"/>
        <c:lblOffset val="100"/>
        <c:noMultiLvlLbl val="0"/>
      </c:catAx>
      <c:valAx>
        <c:axId val="83246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8324492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pt-PT"/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000000000000566" l="0.70000000000000062" r="0.70000000000000062" t="0.75000000000000566" header="0.30000000000000032" footer="0.30000000000000032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174605030225103E-2"/>
          <c:y val="9.7295700661045495E-2"/>
          <c:w val="0.89758621635710167"/>
          <c:h val="0.662220026098052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'Tab&amp;Fig4.5.1eout'!$AD$2</c:f>
              <c:strCache>
                <c:ptCount val="1"/>
                <c:pt idx="0">
                  <c:v>Nord</c:v>
                </c:pt>
              </c:strCache>
            </c:strRef>
          </c:tx>
          <c:spPr>
            <a:solidFill>
              <a:schemeClr val="accent1"/>
            </a:solidFill>
            <a:ln w="6350"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cat>
            <c:numRef>
              <c:f>'Tab&amp;Fig4.5.1eout'!$AC$3:$AC$35</c:f>
              <c:numCache>
                <c:formatCode>General</c:formatCode>
                <c:ptCount val="33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</c:numCache>
            </c:numRef>
          </c:cat>
          <c:val>
            <c:numRef>
              <c:f>'Tab&amp;Fig4.5.1eout'!$AD$3:$AD$35</c:f>
              <c:numCache>
                <c:formatCode>0.00</c:formatCode>
                <c:ptCount val="33"/>
                <c:pt idx="1">
                  <c:v>76.683956048098963</c:v>
                </c:pt>
                <c:pt idx="2">
                  <c:v>1334.9102400657328</c:v>
                </c:pt>
                <c:pt idx="3">
                  <c:v>3061.89508463418</c:v>
                </c:pt>
                <c:pt idx="4">
                  <c:v>1340.1281348456077</c:v>
                </c:pt>
                <c:pt idx="5">
                  <c:v>246.01205139667135</c:v>
                </c:pt>
                <c:pt idx="6">
                  <c:v>24.404951586790492</c:v>
                </c:pt>
                <c:pt idx="7">
                  <c:v>14.630944515102392</c:v>
                </c:pt>
                <c:pt idx="8">
                  <c:v>7.0033718934770715</c:v>
                </c:pt>
                <c:pt idx="9">
                  <c:v>4.4716963243987236</c:v>
                </c:pt>
                <c:pt idx="10">
                  <c:v>47.469257717608073</c:v>
                </c:pt>
                <c:pt idx="11">
                  <c:v>78.451940263087693</c:v>
                </c:pt>
                <c:pt idx="12">
                  <c:v>74.632574699601989</c:v>
                </c:pt>
                <c:pt idx="13">
                  <c:v>20.460886947244862</c:v>
                </c:pt>
                <c:pt idx="14">
                  <c:v>25.797049911364816</c:v>
                </c:pt>
                <c:pt idx="15">
                  <c:v>13.756248971683068</c:v>
                </c:pt>
                <c:pt idx="16">
                  <c:v>8.4156701259375932</c:v>
                </c:pt>
                <c:pt idx="17">
                  <c:v>8.4156701259375932</c:v>
                </c:pt>
                <c:pt idx="18">
                  <c:v>6.8202956490816211</c:v>
                </c:pt>
                <c:pt idx="19">
                  <c:v>2.1824946077061189</c:v>
                </c:pt>
                <c:pt idx="20">
                  <c:v>0</c:v>
                </c:pt>
                <c:pt idx="21">
                  <c:v>13.640591298163242</c:v>
                </c:pt>
                <c:pt idx="22">
                  <c:v>79.940261631415481</c:v>
                </c:pt>
                <c:pt idx="23">
                  <c:v>94.010818907985424</c:v>
                </c:pt>
                <c:pt idx="24">
                  <c:v>94.010818907985424</c:v>
                </c:pt>
                <c:pt idx="25">
                  <c:v>106.1780900269914</c:v>
                </c:pt>
                <c:pt idx="26">
                  <c:v>46.268749364414077</c:v>
                </c:pt>
                <c:pt idx="27">
                  <c:v>78.896907430664911</c:v>
                </c:pt>
                <c:pt idx="28">
                  <c:v>6.8202956490816211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59-4EA0-8B95-D1EC89B7AC51}"/>
            </c:ext>
          </c:extLst>
        </c:ser>
        <c:ser>
          <c:idx val="1"/>
          <c:order val="1"/>
          <c:tx>
            <c:strRef>
              <c:f>'Tab&amp;Fig4.5.1eout'!$AE$2</c:f>
              <c:strCache>
                <c:ptCount val="1"/>
                <c:pt idx="0">
                  <c:v>Centre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numRef>
              <c:f>'Tab&amp;Fig4.5.1eout'!$AC$3:$AC$35</c:f>
              <c:numCache>
                <c:formatCode>General</c:formatCode>
                <c:ptCount val="33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</c:numCache>
            </c:numRef>
          </c:cat>
          <c:val>
            <c:numRef>
              <c:f>'Tab&amp;Fig4.5.1eout'!$AE$3:$AE$35</c:f>
              <c:numCache>
                <c:formatCode>0.00</c:formatCode>
                <c:ptCount val="33"/>
                <c:pt idx="0">
                  <c:v>3.1088386354507516</c:v>
                </c:pt>
                <c:pt idx="1">
                  <c:v>59.590065878950462</c:v>
                </c:pt>
                <c:pt idx="2">
                  <c:v>430.91195040724767</c:v>
                </c:pt>
                <c:pt idx="3">
                  <c:v>807.69469091980841</c:v>
                </c:pt>
                <c:pt idx="4">
                  <c:v>245.17789262092884</c:v>
                </c:pt>
                <c:pt idx="5">
                  <c:v>58.948152940086821</c:v>
                </c:pt>
                <c:pt idx="6">
                  <c:v>4.3769397770227787</c:v>
                </c:pt>
                <c:pt idx="7">
                  <c:v>0.61377571784576113</c:v>
                </c:pt>
                <c:pt idx="8">
                  <c:v>10.90432058339567</c:v>
                </c:pt>
                <c:pt idx="9">
                  <c:v>32.114394068011535</c:v>
                </c:pt>
                <c:pt idx="10">
                  <c:v>67.431431562752664</c:v>
                </c:pt>
                <c:pt idx="11">
                  <c:v>63.580029335124244</c:v>
                </c:pt>
                <c:pt idx="12">
                  <c:v>50.614166418707434</c:v>
                </c:pt>
                <c:pt idx="13">
                  <c:v>35.938868976884919</c:v>
                </c:pt>
                <c:pt idx="14">
                  <c:v>19.381277357921974</c:v>
                </c:pt>
                <c:pt idx="15">
                  <c:v>12.964228257809408</c:v>
                </c:pt>
                <c:pt idx="16">
                  <c:v>4.0270752134916128</c:v>
                </c:pt>
                <c:pt idx="17">
                  <c:v>4.0270752134916128</c:v>
                </c:pt>
                <c:pt idx="18">
                  <c:v>8.937153044317796</c:v>
                </c:pt>
                <c:pt idx="19">
                  <c:v>4.6854964042978935</c:v>
                </c:pt>
                <c:pt idx="20">
                  <c:v>4.7348641904083211</c:v>
                </c:pt>
                <c:pt idx="21">
                  <c:v>28.270779279066474</c:v>
                </c:pt>
                <c:pt idx="22">
                  <c:v>56.926877834011407</c:v>
                </c:pt>
                <c:pt idx="23">
                  <c:v>85.702759885875111</c:v>
                </c:pt>
                <c:pt idx="24">
                  <c:v>91.284133361662157</c:v>
                </c:pt>
                <c:pt idx="25">
                  <c:v>50.370169111303284</c:v>
                </c:pt>
                <c:pt idx="26">
                  <c:v>24.922015685435028</c:v>
                </c:pt>
                <c:pt idx="27">
                  <c:v>29.326341677746328</c:v>
                </c:pt>
                <c:pt idx="28">
                  <c:v>23.600043182856165</c:v>
                </c:pt>
                <c:pt idx="29">
                  <c:v>2.6709390741589858</c:v>
                </c:pt>
                <c:pt idx="30">
                  <c:v>6.6638506508968351</c:v>
                </c:pt>
                <c:pt idx="31">
                  <c:v>0</c:v>
                </c:pt>
                <c:pt idx="32">
                  <c:v>2.6709390741589858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59-4EA0-8B95-D1EC89B7AC51}"/>
            </c:ext>
          </c:extLst>
        </c:ser>
        <c:ser>
          <c:idx val="2"/>
          <c:order val="2"/>
          <c:tx>
            <c:strRef>
              <c:f>'Tab&amp;Fig4.5.1eout'!$AF$2</c:f>
              <c:strCache>
                <c:ptCount val="1"/>
                <c:pt idx="0">
                  <c:v>Sud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'Tab&amp;Fig4.5.1eout'!$AC$3:$AC$35</c:f>
              <c:numCache>
                <c:formatCode>General</c:formatCode>
                <c:ptCount val="33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</c:numCache>
            </c:numRef>
          </c:cat>
          <c:val>
            <c:numRef>
              <c:f>'Tab&amp;Fig4.5.1eout'!$AF$3:$AF$35</c:f>
              <c:numCache>
                <c:formatCode>0.00</c:formatCode>
                <c:ptCount val="33"/>
                <c:pt idx="5">
                  <c:v>9.9817826716457628E-2</c:v>
                </c:pt>
                <c:pt idx="6">
                  <c:v>22.395901995591036</c:v>
                </c:pt>
                <c:pt idx="7">
                  <c:v>1.8908664913168207</c:v>
                </c:pt>
                <c:pt idx="8">
                  <c:v>18.421284047298883</c:v>
                </c:pt>
                <c:pt idx="9">
                  <c:v>34.757107800402594</c:v>
                </c:pt>
                <c:pt idx="10">
                  <c:v>30.36113778482175</c:v>
                </c:pt>
                <c:pt idx="11">
                  <c:v>8.9341992987010883</c:v>
                </c:pt>
                <c:pt idx="12">
                  <c:v>6.9239284637621044</c:v>
                </c:pt>
                <c:pt idx="13">
                  <c:v>57.961948226665733</c:v>
                </c:pt>
                <c:pt idx="14">
                  <c:v>10.027687276865681</c:v>
                </c:pt>
                <c:pt idx="15">
                  <c:v>3.4968924330505371</c:v>
                </c:pt>
                <c:pt idx="16">
                  <c:v>8.7019587111902137</c:v>
                </c:pt>
                <c:pt idx="17">
                  <c:v>6.0317952506133343</c:v>
                </c:pt>
                <c:pt idx="18">
                  <c:v>5.716045539627042</c:v>
                </c:pt>
                <c:pt idx="19">
                  <c:v>1.1799176572624626</c:v>
                </c:pt>
                <c:pt idx="20">
                  <c:v>1.445736253055192</c:v>
                </c:pt>
                <c:pt idx="21">
                  <c:v>0.26220392383610275</c:v>
                </c:pt>
                <c:pt idx="23">
                  <c:v>6.4239961339845184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59-4EA0-8B95-D1EC89B7A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277696"/>
        <c:axId val="83288064"/>
      </c:barChart>
      <c:catAx>
        <c:axId val="83277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Données campagne</a:t>
                </a:r>
                <a:r>
                  <a:rPr lang="en-US" sz="1200" baseline="0"/>
                  <a:t> 2018 Zone Maroc Trachurus Trachurus</a:t>
                </a:r>
                <a:r>
                  <a:rPr lang="en-US" sz="1200"/>
                  <a:t> </a:t>
                </a:r>
              </a:p>
            </c:rich>
          </c:tx>
          <c:layout>
            <c:manualLayout>
              <c:xMode val="edge"/>
              <c:yMode val="edge"/>
              <c:x val="0.19310580079929041"/>
              <c:y val="3.813092122061862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288064"/>
        <c:crosses val="autoZero"/>
        <c:auto val="1"/>
        <c:lblAlgn val="ctr"/>
        <c:lblOffset val="100"/>
        <c:noMultiLvlLbl val="0"/>
      </c:catAx>
      <c:valAx>
        <c:axId val="8328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277696"/>
        <c:crosses val="autoZero"/>
        <c:crossBetween val="between"/>
      </c:valAx>
      <c:spPr>
        <a:noFill/>
        <a:ln w="12700"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3976862648266754"/>
          <c:y val="0.13515502651033179"/>
          <c:w val="0.37425279157178531"/>
          <c:h val="8.92222787942177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Données campagne 2019 Zone Maroc Trachurus Trachurus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Nord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'Tab&amp;Fig4.5.1eout'!$BA$3:$BA$40</c:f>
              <c:numCache>
                <c:formatCode>General</c:formatCode>
                <c:ptCount val="3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</c:numCache>
            </c:numRef>
          </c:cat>
          <c:val>
            <c:numRef>
              <c:f>'Tab&amp;Fig4.5.1eout'!$BB$11:$BB$40</c:f>
              <c:numCache>
                <c:formatCode>0</c:formatCode>
                <c:ptCount val="30"/>
                <c:pt idx="0">
                  <c:v>1.633317153330234</c:v>
                </c:pt>
                <c:pt idx="1">
                  <c:v>30.07225111719784</c:v>
                </c:pt>
                <c:pt idx="2">
                  <c:v>67.134846189128766</c:v>
                </c:pt>
                <c:pt idx="3">
                  <c:v>216.82018328571058</c:v>
                </c:pt>
                <c:pt idx="4">
                  <c:v>138.0302658311347</c:v>
                </c:pt>
                <c:pt idx="5">
                  <c:v>89.418515990611581</c:v>
                </c:pt>
                <c:pt idx="6">
                  <c:v>45.251438648527554</c:v>
                </c:pt>
                <c:pt idx="7">
                  <c:v>7.4705735450311233</c:v>
                </c:pt>
                <c:pt idx="8">
                  <c:v>4.6030806691605921</c:v>
                </c:pt>
                <c:pt idx="9">
                  <c:v>14.570653847493301</c:v>
                </c:pt>
                <c:pt idx="10">
                  <c:v>59.840048699087689</c:v>
                </c:pt>
                <c:pt idx="11">
                  <c:v>82.855452044890654</c:v>
                </c:pt>
                <c:pt idx="12">
                  <c:v>36.824645353284737</c:v>
                </c:pt>
                <c:pt idx="13">
                  <c:v>0</c:v>
                </c:pt>
                <c:pt idx="14">
                  <c:v>4.6030806691605921</c:v>
                </c:pt>
                <c:pt idx="15">
                  <c:v>0.7614118400115264</c:v>
                </c:pt>
                <c:pt idx="16">
                  <c:v>0</c:v>
                </c:pt>
                <c:pt idx="17">
                  <c:v>2.2842355200345787</c:v>
                </c:pt>
                <c:pt idx="18">
                  <c:v>19.796707840299685</c:v>
                </c:pt>
                <c:pt idx="19">
                  <c:v>44.92329856068006</c:v>
                </c:pt>
                <c:pt idx="20">
                  <c:v>19.035296000288159</c:v>
                </c:pt>
                <c:pt idx="21">
                  <c:v>6.852706560103738</c:v>
                </c:pt>
                <c:pt idx="22">
                  <c:v>0.7614118400115264</c:v>
                </c:pt>
                <c:pt idx="23">
                  <c:v>0.7614118400115264</c:v>
                </c:pt>
                <c:pt idx="24">
                  <c:v>0</c:v>
                </c:pt>
                <c:pt idx="25">
                  <c:v>0.7614118400115264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A-47CE-82D0-A79DCB253B37}"/>
            </c:ext>
          </c:extLst>
        </c:ser>
        <c:ser>
          <c:idx val="1"/>
          <c:order val="1"/>
          <c:tx>
            <c:v>Centre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'Tab&amp;Fig4.5.1eout'!$BC$3:$BC$40</c:f>
              <c:numCache>
                <c:formatCode>0</c:formatCode>
                <c:ptCount val="38"/>
                <c:pt idx="0">
                  <c:v>22.750001044981456</c:v>
                </c:pt>
                <c:pt idx="1">
                  <c:v>403.68457527583894</c:v>
                </c:pt>
                <c:pt idx="2">
                  <c:v>1221.873250155094</c:v>
                </c:pt>
                <c:pt idx="3">
                  <c:v>2131.2598966320238</c:v>
                </c:pt>
                <c:pt idx="4">
                  <c:v>1987.2539849831603</c:v>
                </c:pt>
                <c:pt idx="5">
                  <c:v>2097.7769061142562</c:v>
                </c:pt>
                <c:pt idx="6">
                  <c:v>1054.5803604824371</c:v>
                </c:pt>
                <c:pt idx="7">
                  <c:v>305.40721191249042</c:v>
                </c:pt>
                <c:pt idx="8">
                  <c:v>291.29153997516721</c:v>
                </c:pt>
                <c:pt idx="9">
                  <c:v>271.75730846912904</c:v>
                </c:pt>
                <c:pt idx="10">
                  <c:v>300.47494152509807</c:v>
                </c:pt>
                <c:pt idx="11">
                  <c:v>463.76841009962192</c:v>
                </c:pt>
                <c:pt idx="12">
                  <c:v>966.38784197736391</c:v>
                </c:pt>
                <c:pt idx="13">
                  <c:v>1277.4745706588405</c:v>
                </c:pt>
                <c:pt idx="14">
                  <c:v>421.35678286177847</c:v>
                </c:pt>
                <c:pt idx="15">
                  <c:v>130.40159472424764</c:v>
                </c:pt>
                <c:pt idx="16">
                  <c:v>40.270119054483771</c:v>
                </c:pt>
                <c:pt idx="17">
                  <c:v>25.295300913620466</c:v>
                </c:pt>
                <c:pt idx="18">
                  <c:v>75.47873982495058</c:v>
                </c:pt>
                <c:pt idx="19">
                  <c:v>17.403167028570881</c:v>
                </c:pt>
                <c:pt idx="20">
                  <c:v>59.899272563453266</c:v>
                </c:pt>
                <c:pt idx="21">
                  <c:v>15.78426777009917</c:v>
                </c:pt>
                <c:pt idx="22">
                  <c:v>29.747273874417669</c:v>
                </c:pt>
                <c:pt idx="23">
                  <c:v>31.159954630471603</c:v>
                </c:pt>
                <c:pt idx="24">
                  <c:v>15.78426777009917</c:v>
                </c:pt>
                <c:pt idx="25">
                  <c:v>14.967105950645697</c:v>
                </c:pt>
                <c:pt idx="26">
                  <c:v>22.450658925968543</c:v>
                </c:pt>
                <c:pt idx="27">
                  <c:v>22.450658925968543</c:v>
                </c:pt>
                <c:pt idx="28">
                  <c:v>67.351976777905634</c:v>
                </c:pt>
                <c:pt idx="29">
                  <c:v>14.967105950645697</c:v>
                </c:pt>
                <c:pt idx="30">
                  <c:v>37.417764876614235</c:v>
                </c:pt>
                <c:pt idx="31">
                  <c:v>26.342106473136422</c:v>
                </c:pt>
                <c:pt idx="32">
                  <c:v>22.450658925968543</c:v>
                </c:pt>
                <c:pt idx="33">
                  <c:v>0</c:v>
                </c:pt>
                <c:pt idx="34">
                  <c:v>28.086421043186981</c:v>
                </c:pt>
                <c:pt idx="35">
                  <c:v>14.04321052159349</c:v>
                </c:pt>
                <c:pt idx="36">
                  <c:v>11.375000522490728</c:v>
                </c:pt>
                <c:pt idx="37">
                  <c:v>14.04321052159349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1A-47CE-82D0-A79DCB253B37}"/>
            </c:ext>
          </c:extLst>
        </c:ser>
        <c:ser>
          <c:idx val="2"/>
          <c:order val="2"/>
          <c:tx>
            <c:v>sud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'Tab&amp;Fig4.5.1eout'!$BD$3:$BD$40</c:f>
              <c:numCache>
                <c:formatCode>0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1.6074527840378332</c:v>
                </c:pt>
                <c:pt idx="5">
                  <c:v>0</c:v>
                </c:pt>
                <c:pt idx="6">
                  <c:v>0</c:v>
                </c:pt>
                <c:pt idx="7">
                  <c:v>3.2149055680756664</c:v>
                </c:pt>
                <c:pt idx="8">
                  <c:v>17.596669221219884</c:v>
                </c:pt>
                <c:pt idx="9">
                  <c:v>120.41775499050055</c:v>
                </c:pt>
                <c:pt idx="10">
                  <c:v>752.8377124780983</c:v>
                </c:pt>
                <c:pt idx="11">
                  <c:v>1074.6454524369728</c:v>
                </c:pt>
                <c:pt idx="12">
                  <c:v>577.13076170699674</c:v>
                </c:pt>
                <c:pt idx="13">
                  <c:v>262.02511900502077</c:v>
                </c:pt>
                <c:pt idx="14">
                  <c:v>226.94417655183838</c:v>
                </c:pt>
                <c:pt idx="15">
                  <c:v>159.45230610440768</c:v>
                </c:pt>
                <c:pt idx="16">
                  <c:v>139.92793636658527</c:v>
                </c:pt>
                <c:pt idx="17">
                  <c:v>93.153194320923831</c:v>
                </c:pt>
                <c:pt idx="18">
                  <c:v>123.15046535585572</c:v>
                </c:pt>
                <c:pt idx="19">
                  <c:v>50.765815492146785</c:v>
                </c:pt>
                <c:pt idx="20">
                  <c:v>27.840575675668941</c:v>
                </c:pt>
                <c:pt idx="21">
                  <c:v>103.55843595211849</c:v>
                </c:pt>
                <c:pt idx="22">
                  <c:v>3.6390586894141594</c:v>
                </c:pt>
                <c:pt idx="23">
                  <c:v>0</c:v>
                </c:pt>
                <c:pt idx="24">
                  <c:v>1.137205840441925</c:v>
                </c:pt>
                <c:pt idx="25">
                  <c:v>0</c:v>
                </c:pt>
                <c:pt idx="26">
                  <c:v>0</c:v>
                </c:pt>
                <c:pt idx="27">
                  <c:v>33.540394646526998</c:v>
                </c:pt>
                <c:pt idx="28">
                  <c:v>42.041438221972946</c:v>
                </c:pt>
                <c:pt idx="29">
                  <c:v>23.431898287043225</c:v>
                </c:pt>
                <c:pt idx="30">
                  <c:v>21.824445503005389</c:v>
                </c:pt>
                <c:pt idx="31">
                  <c:v>13.323401927559445</c:v>
                </c:pt>
                <c:pt idx="32">
                  <c:v>20.216992718967557</c:v>
                </c:pt>
                <c:pt idx="33">
                  <c:v>1.6074527840378332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1A-47CE-82D0-A79DCB253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3370624"/>
        <c:axId val="93376512"/>
        <c:axId val="0"/>
      </c:bar3DChart>
      <c:catAx>
        <c:axId val="9337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376512"/>
        <c:crosses val="autoZero"/>
        <c:auto val="1"/>
        <c:lblAlgn val="ctr"/>
        <c:lblOffset val="100"/>
        <c:noMultiLvlLbl val="0"/>
      </c:catAx>
      <c:valAx>
        <c:axId val="9337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37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200"/>
            </a:pPr>
            <a:r>
              <a:rPr lang="en-US" sz="1200" i="1"/>
              <a:t>Trachurus trachurus</a:t>
            </a:r>
          </a:p>
          <a:p>
            <a:pPr>
              <a:defRPr lang="pt-PT" sz="1200"/>
            </a:pPr>
            <a:r>
              <a:rPr lang="en-US" sz="1200" baseline="0"/>
              <a:t>Al-Awam July 2012</a:t>
            </a:r>
            <a:endParaRPr lang="en-US" sz="12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043963254593226E-2"/>
          <c:y val="5.7419072615923022E-2"/>
          <c:w val="0.8794004811898517"/>
          <c:h val="0.792206547098279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'Tab&amp;Fig4.5.1f'!$E$5</c:f>
              <c:strCache>
                <c:ptCount val="1"/>
                <c:pt idx="0">
                  <c:v>T.trachurus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12700">
              <a:solidFill>
                <a:schemeClr val="tx1">
                  <a:lumMod val="65000"/>
                  <a:lumOff val="35000"/>
                </a:schemeClr>
              </a:solidFill>
            </a:ln>
          </c:spPr>
          <c:invertIfNegative val="0"/>
          <c:cat>
            <c:numRef>
              <c:f>'Tab&amp;Fig4.5.1f'!$D$6:$D$39</c:f>
              <c:numCache>
                <c:formatCode>General</c:formatCode>
                <c:ptCount val="34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30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  <c:pt idx="32">
                  <c:v>39</c:v>
                </c:pt>
                <c:pt idx="33">
                  <c:v>40</c:v>
                </c:pt>
              </c:numCache>
            </c:numRef>
          </c:cat>
          <c:val>
            <c:numRef>
              <c:f>'Tab&amp;Fig4.5.1f'!$E$6:$E$39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  <c:pt idx="5">
                  <c:v>16</c:v>
                </c:pt>
                <c:pt idx="6">
                  <c:v>15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6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C-054F-92F7-F6BE2689A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6265344"/>
        <c:axId val="96267264"/>
      </c:barChart>
      <c:catAx>
        <c:axId val="96265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6267264"/>
        <c:crosses val="autoZero"/>
        <c:auto val="1"/>
        <c:lblAlgn val="ctr"/>
        <c:lblOffset val="100"/>
        <c:noMultiLvlLbl val="0"/>
      </c:catAx>
      <c:valAx>
        <c:axId val="9626726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Nombre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626534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1044" l="0.70000000000000062" r="0.70000000000000062" t="0.75000000000001044" header="0.30000000000000032" footer="0.30000000000000032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200"/>
            </a:pPr>
            <a:r>
              <a:rPr lang="en-US" sz="1200" i="1"/>
              <a:t>Trachurus treace</a:t>
            </a:r>
          </a:p>
          <a:p>
            <a:pPr>
              <a:defRPr lang="pt-PT" sz="1200"/>
            </a:pPr>
            <a:r>
              <a:rPr lang="en-US" sz="1200" baseline="0"/>
              <a:t>Al-Awam July 2012</a:t>
            </a:r>
            <a:endParaRPr lang="en-US" sz="1200"/>
          </a:p>
        </c:rich>
      </c:tx>
      <c:layout>
        <c:manualLayout>
          <c:xMode val="edge"/>
          <c:yMode val="edge"/>
          <c:x val="0.52876377952755849"/>
          <c:y val="4.166666666666666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0043963254593226E-2"/>
          <c:y val="5.7419072615923022E-2"/>
          <c:w val="0.8794004811898517"/>
          <c:h val="0.792206547098279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'Tab&amp;Fig4.5.1f'!$F$5</c:f>
              <c:strCache>
                <c:ptCount val="1"/>
                <c:pt idx="0">
                  <c:v>T.trecae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12700">
              <a:solidFill>
                <a:schemeClr val="tx1">
                  <a:lumMod val="65000"/>
                  <a:lumOff val="35000"/>
                </a:schemeClr>
              </a:solidFill>
            </a:ln>
          </c:spPr>
          <c:invertIfNegative val="0"/>
          <c:cat>
            <c:numRef>
              <c:f>'Tab&amp;Fig4.5.1f'!$D$6:$D$39</c:f>
              <c:numCache>
                <c:formatCode>General</c:formatCode>
                <c:ptCount val="34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30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  <c:pt idx="32">
                  <c:v>39</c:v>
                </c:pt>
                <c:pt idx="33">
                  <c:v>40</c:v>
                </c:pt>
              </c:numCache>
            </c:numRef>
          </c:cat>
          <c:val>
            <c:numRef>
              <c:f>'Tab&amp;Fig4.5.1f'!$F$6:$F$39</c:f>
              <c:numCache>
                <c:formatCode>General</c:formatCode>
                <c:ptCount val="34"/>
                <c:pt idx="0">
                  <c:v>0</c:v>
                </c:pt>
                <c:pt idx="1">
                  <c:v>7</c:v>
                </c:pt>
                <c:pt idx="2">
                  <c:v>22</c:v>
                </c:pt>
                <c:pt idx="3">
                  <c:v>5</c:v>
                </c:pt>
                <c:pt idx="4">
                  <c:v>0</c:v>
                </c:pt>
                <c:pt idx="5">
                  <c:v>14</c:v>
                </c:pt>
                <c:pt idx="6">
                  <c:v>10</c:v>
                </c:pt>
                <c:pt idx="7">
                  <c:v>21</c:v>
                </c:pt>
                <c:pt idx="8">
                  <c:v>28</c:v>
                </c:pt>
                <c:pt idx="9">
                  <c:v>32</c:v>
                </c:pt>
                <c:pt idx="10">
                  <c:v>22</c:v>
                </c:pt>
                <c:pt idx="11">
                  <c:v>55</c:v>
                </c:pt>
                <c:pt idx="12">
                  <c:v>85</c:v>
                </c:pt>
                <c:pt idx="13">
                  <c:v>77</c:v>
                </c:pt>
                <c:pt idx="14">
                  <c:v>23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2-6E4A-AA36-F17044CB2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6304128"/>
        <c:axId val="96322688"/>
      </c:barChart>
      <c:catAx>
        <c:axId val="96304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TL(cm)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6322688"/>
        <c:crosses val="autoZero"/>
        <c:auto val="1"/>
        <c:lblAlgn val="ctr"/>
        <c:lblOffset val="100"/>
        <c:noMultiLvlLbl val="0"/>
      </c:catAx>
      <c:valAx>
        <c:axId val="9632268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Nombre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fr-FR"/>
          </a:p>
        </c:txPr>
        <c:crossAx val="9630412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1066" l="0.70000000000000062" r="0.70000000000000062" t="0.75000000000001066" header="0.30000000000000032" footer="0.30000000000000032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baseline="0">
                <a:effectLst/>
              </a:rPr>
              <a:t>Trachurus treace</a:t>
            </a:r>
            <a:endParaRPr lang="fr-FR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Al-Awam  2019</a:t>
            </a:r>
            <a:endParaRPr lang="fr-FR">
              <a:effectLst/>
            </a:endParaRPr>
          </a:p>
        </c:rich>
      </c:tx>
      <c:layout>
        <c:manualLayout>
          <c:xMode val="edge"/>
          <c:yMode val="edge"/>
          <c:x val="0.2226702132147510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numRef>
              <c:f>'Tab&amp;Fig4.5.1f'!$AE$12:$AE$50</c:f>
              <c:numCache>
                <c:formatCode>General</c:formatCode>
                <c:ptCount val="3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28</c:v>
                </c:pt>
                <c:pt idx="21">
                  <c:v>29</c:v>
                </c:pt>
                <c:pt idx="22">
                  <c:v>30</c:v>
                </c:pt>
                <c:pt idx="23">
                  <c:v>31</c:v>
                </c:pt>
                <c:pt idx="24">
                  <c:v>32</c:v>
                </c:pt>
                <c:pt idx="25">
                  <c:v>33</c:v>
                </c:pt>
                <c:pt idx="26">
                  <c:v>34</c:v>
                </c:pt>
                <c:pt idx="27">
                  <c:v>35</c:v>
                </c:pt>
                <c:pt idx="28">
                  <c:v>36</c:v>
                </c:pt>
                <c:pt idx="29">
                  <c:v>37</c:v>
                </c:pt>
                <c:pt idx="30">
                  <c:v>38</c:v>
                </c:pt>
                <c:pt idx="31">
                  <c:v>39</c:v>
                </c:pt>
                <c:pt idx="32">
                  <c:v>40</c:v>
                </c:pt>
                <c:pt idx="33">
                  <c:v>41</c:v>
                </c:pt>
                <c:pt idx="34">
                  <c:v>42</c:v>
                </c:pt>
                <c:pt idx="35">
                  <c:v>43</c:v>
                </c:pt>
                <c:pt idx="36">
                  <c:v>44</c:v>
                </c:pt>
                <c:pt idx="37">
                  <c:v>45</c:v>
                </c:pt>
                <c:pt idx="38">
                  <c:v>46</c:v>
                </c:pt>
              </c:numCache>
            </c:numRef>
          </c:cat>
          <c:val>
            <c:numRef>
              <c:f>'Tab&amp;Fig4.5.1f'!$AF$12:$AF$50</c:f>
              <c:numCache>
                <c:formatCode>General</c:formatCode>
                <c:ptCount val="39"/>
                <c:pt idx="0">
                  <c:v>15.252001366372079</c:v>
                </c:pt>
                <c:pt idx="1">
                  <c:v>14.758557405249936</c:v>
                </c:pt>
                <c:pt idx="2">
                  <c:v>12.412095656577311</c:v>
                </c:pt>
                <c:pt idx="3">
                  <c:v>68.047390711506182</c:v>
                </c:pt>
                <c:pt idx="4">
                  <c:v>56.380666863297002</c:v>
                </c:pt>
                <c:pt idx="5">
                  <c:v>18.946412802475514</c:v>
                </c:pt>
                <c:pt idx="6">
                  <c:v>0.67978691321417173</c:v>
                </c:pt>
                <c:pt idx="7">
                  <c:v>5.481844328499978</c:v>
                </c:pt>
                <c:pt idx="8">
                  <c:v>6.6550752028362918</c:v>
                </c:pt>
                <c:pt idx="9">
                  <c:v>263.49693679350514</c:v>
                </c:pt>
                <c:pt idx="10">
                  <c:v>701.11868601625747</c:v>
                </c:pt>
                <c:pt idx="11">
                  <c:v>476.69673520443416</c:v>
                </c:pt>
                <c:pt idx="12">
                  <c:v>212.72898168185088</c:v>
                </c:pt>
                <c:pt idx="13">
                  <c:v>69.817288181295453</c:v>
                </c:pt>
                <c:pt idx="14">
                  <c:v>27.088904919338177</c:v>
                </c:pt>
                <c:pt idx="15">
                  <c:v>34.120798527299641</c:v>
                </c:pt>
                <c:pt idx="16">
                  <c:v>19.290932150820574</c:v>
                </c:pt>
                <c:pt idx="17">
                  <c:v>27.979825986165363</c:v>
                </c:pt>
                <c:pt idx="18">
                  <c:v>21.70494454277226</c:v>
                </c:pt>
                <c:pt idx="19">
                  <c:v>7.4949880432258889</c:v>
                </c:pt>
                <c:pt idx="20">
                  <c:v>11.599910330224805</c:v>
                </c:pt>
                <c:pt idx="21">
                  <c:v>13.769869486618985</c:v>
                </c:pt>
                <c:pt idx="22">
                  <c:v>9.0844538445328649</c:v>
                </c:pt>
                <c:pt idx="23">
                  <c:v>1</c:v>
                </c:pt>
                <c:pt idx="24">
                  <c:v>3.7627516604110278</c:v>
                </c:pt>
                <c:pt idx="25">
                  <c:v>1.1209950106469846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6-4C9A-980C-438A4025B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8514048"/>
        <c:axId val="98515968"/>
      </c:barChart>
      <c:catAx>
        <c:axId val="98514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cm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15968"/>
        <c:crosses val="autoZero"/>
        <c:auto val="1"/>
        <c:lblAlgn val="ctr"/>
        <c:lblOffset val="100"/>
        <c:noMultiLvlLbl val="0"/>
      </c:catAx>
      <c:valAx>
        <c:axId val="985159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N (thousands)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1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baseline="0">
                <a:effectLst/>
              </a:rPr>
              <a:t>Trachurus t</a:t>
            </a:r>
            <a:r>
              <a:rPr lang="en-US" sz="1400" b="1" i="1" u="none" strike="noStrike" baseline="0">
                <a:effectLst/>
              </a:rPr>
              <a:t>rachurus</a:t>
            </a:r>
            <a:endParaRPr lang="fr-FR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Al-Awam 2019</a:t>
            </a:r>
            <a:endParaRPr lang="fr-FR">
              <a:effectLst/>
            </a:endParaRP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5428455818022747"/>
          <c:y val="3.1738313499565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numRef>
              <c:f>'Tab&amp;Fig4.5.1f'!$AE$10:$AE$46</c:f>
              <c:numCache>
                <c:formatCode>General</c:formatCode>
                <c:ptCount val="3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  <c:pt idx="25">
                  <c:v>31</c:v>
                </c:pt>
                <c:pt idx="26">
                  <c:v>32</c:v>
                </c:pt>
                <c:pt idx="27">
                  <c:v>33</c:v>
                </c:pt>
                <c:pt idx="28">
                  <c:v>34</c:v>
                </c:pt>
                <c:pt idx="29">
                  <c:v>35</c:v>
                </c:pt>
                <c:pt idx="30">
                  <c:v>36</c:v>
                </c:pt>
                <c:pt idx="31">
                  <c:v>37</c:v>
                </c:pt>
                <c:pt idx="32">
                  <c:v>38</c:v>
                </c:pt>
                <c:pt idx="33">
                  <c:v>39</c:v>
                </c:pt>
                <c:pt idx="34">
                  <c:v>40</c:v>
                </c:pt>
                <c:pt idx="35">
                  <c:v>41</c:v>
                </c:pt>
                <c:pt idx="36">
                  <c:v>42</c:v>
                </c:pt>
              </c:numCache>
            </c:numRef>
          </c:cat>
          <c:val>
            <c:numRef>
              <c:f>'Tab&amp;Fig4.5.1f'!$AJ$12:$AJ$47</c:f>
              <c:numCache>
                <c:formatCode>General</c:formatCode>
                <c:ptCount val="36"/>
                <c:pt idx="0">
                  <c:v>13.830275943857172</c:v>
                </c:pt>
                <c:pt idx="1">
                  <c:v>25.684798181449032</c:v>
                </c:pt>
                <c:pt idx="2">
                  <c:v>47.418088950367448</c:v>
                </c:pt>
                <c:pt idx="3">
                  <c:v>21.733290768918415</c:v>
                </c:pt>
                <c:pt idx="4">
                  <c:v>21.733290768918415</c:v>
                </c:pt>
                <c:pt idx="5">
                  <c:v>15.806029650122484</c:v>
                </c:pt>
                <c:pt idx="13">
                  <c:v>13.830275943857171</c:v>
                </c:pt>
                <c:pt idx="14">
                  <c:v>25.684798181449032</c:v>
                </c:pt>
                <c:pt idx="15">
                  <c:v>47.418088950367441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43-43C4-9E6A-9DD9568CB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8544640"/>
        <c:axId val="98563200"/>
      </c:barChart>
      <c:catAx>
        <c:axId val="98544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cm de l'axe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63200"/>
        <c:crosses val="autoZero"/>
        <c:auto val="1"/>
        <c:lblAlgn val="ctr"/>
        <c:lblOffset val="100"/>
        <c:noMultiLvlLbl val="0"/>
      </c:catAx>
      <c:valAx>
        <c:axId val="985632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N (</a:t>
                </a:r>
                <a:r>
                  <a:rPr lang="fr-FR" sz="1000" b="1" i="0" u="none" strike="noStrike" baseline="0">
                    <a:effectLst/>
                  </a:rPr>
                  <a:t>thousands</a:t>
                </a:r>
                <a:r>
                  <a:rPr lang="fr-FR" b="1"/>
                  <a:t>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44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Trachurus trecae</a:t>
            </a:r>
            <a:endParaRPr lang="pt-PT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>
              <a:defRPr lang="pt-PT"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Sénégal</a:t>
            </a:r>
          </a:p>
          <a:p>
            <a:pPr>
              <a:defRPr lang="pt-PT"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R/V Etaf Deme Novembre 2008</a:t>
            </a:r>
          </a:p>
        </c:rich>
      </c:tx>
      <c:layout>
        <c:manualLayout>
          <c:xMode val="edge"/>
          <c:yMode val="edge"/>
          <c:x val="0.3229670095065868"/>
          <c:y val="2.61194724077215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440205919424155"/>
          <c:y val="0.25949407185472273"/>
          <c:w val="0.83971389956113063"/>
          <c:h val="0.55063376222829663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96969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'Tab&amp;Fig4.5.1gout'!$A$7:$A$37</c:f>
              <c:numCache>
                <c:formatCode>General</c:formatCode>
                <c:ptCount val="31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</c:numCache>
            </c:numRef>
          </c:cat>
          <c:val>
            <c:numRef>
              <c:f>'Tab&amp;Fig4.5.1gout'!$F$7:$F$37</c:f>
              <c:numCache>
                <c:formatCode>General</c:formatCode>
                <c:ptCount val="31"/>
                <c:pt idx="4" formatCode="#,##0">
                  <c:v>1598</c:v>
                </c:pt>
                <c:pt idx="5" formatCode="#,##0">
                  <c:v>18644</c:v>
                </c:pt>
                <c:pt idx="6" formatCode="#,##0">
                  <c:v>3013</c:v>
                </c:pt>
                <c:pt idx="7" formatCode="#,##0">
                  <c:v>11562</c:v>
                </c:pt>
                <c:pt idx="8" formatCode="#,##0">
                  <c:v>2096</c:v>
                </c:pt>
                <c:pt idx="9" formatCode="#,##0">
                  <c:v>2903</c:v>
                </c:pt>
                <c:pt idx="10" formatCode="#,##0">
                  <c:v>7992</c:v>
                </c:pt>
                <c:pt idx="11" formatCode="#,##0">
                  <c:v>10108</c:v>
                </c:pt>
                <c:pt idx="12" formatCode="#,##0">
                  <c:v>23712</c:v>
                </c:pt>
                <c:pt idx="13" formatCode="#,##0">
                  <c:v>39645</c:v>
                </c:pt>
                <c:pt idx="14" formatCode="#,##0">
                  <c:v>35625</c:v>
                </c:pt>
                <c:pt idx="15" formatCode="#,##0">
                  <c:v>14603</c:v>
                </c:pt>
                <c:pt idx="16" formatCode="#,##0">
                  <c:v>38766</c:v>
                </c:pt>
                <c:pt idx="17" formatCode="#,##0">
                  <c:v>43914</c:v>
                </c:pt>
                <c:pt idx="18" formatCode="#,##0">
                  <c:v>40188</c:v>
                </c:pt>
                <c:pt idx="19" formatCode="#,##0">
                  <c:v>6300</c:v>
                </c:pt>
                <c:pt idx="20" formatCode="#,##0">
                  <c:v>8581</c:v>
                </c:pt>
                <c:pt idx="21" formatCode="#,##0">
                  <c:v>10279</c:v>
                </c:pt>
                <c:pt idx="22" formatCode="#,##0">
                  <c:v>3515</c:v>
                </c:pt>
                <c:pt idx="23" formatCode="#,##0">
                  <c:v>2288</c:v>
                </c:pt>
                <c:pt idx="24" formatCode="#,##0">
                  <c:v>9522</c:v>
                </c:pt>
                <c:pt idx="25" formatCode="#,##0">
                  <c:v>11928</c:v>
                </c:pt>
                <c:pt idx="26" formatCode="#,##0">
                  <c:v>7795</c:v>
                </c:pt>
                <c:pt idx="27" formatCode="#,##0">
                  <c:v>9167</c:v>
                </c:pt>
                <c:pt idx="28" formatCode="#,##0">
                  <c:v>11026</c:v>
                </c:pt>
                <c:pt idx="29" formatCode="#,##0">
                  <c:v>0</c:v>
                </c:pt>
                <c:pt idx="30" formatCode="#,##0">
                  <c:v>3218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B3-6C46-8F97-1B003DC3A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8760192"/>
        <c:axId val="98762112"/>
      </c:barChart>
      <c:catAx>
        <c:axId val="98760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TL (cm)</a:t>
                </a:r>
              </a:p>
            </c:rich>
          </c:tx>
          <c:layout>
            <c:manualLayout>
              <c:xMode val="edge"/>
              <c:yMode val="edge"/>
              <c:x val="0.52153160280802213"/>
              <c:y val="0.8619415927439516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876211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98762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Nb in million</a:t>
                </a:r>
              </a:p>
            </c:rich>
          </c:tx>
          <c:layout>
            <c:manualLayout>
              <c:xMode val="edge"/>
              <c:yMode val="edge"/>
              <c:x val="1.19617224880385E-2"/>
              <c:y val="0.36277617196585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8760192"/>
        <c:crosses val="autoZero"/>
        <c:crossBetween val="between"/>
        <c:majorUnit val="2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788" footer="0.49212598450000788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457457034441961"/>
          <c:y val="0.24886877828054288"/>
          <c:w val="0.61435112096920752"/>
          <c:h val="0.5837104072398190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'Tab&amp;Fig4.6.1b'!$M$24</c:f>
              <c:strCache>
                <c:ptCount val="1"/>
                <c:pt idx="0">
                  <c:v>AGE 1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7594428745187388"/>
                  <c:y val="-0.18525765727248344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</c:trendlineLbl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'Tab&amp;Fig4.6.1b'!$M$25:$M$59</c:f>
              <c:numCache>
                <c:formatCode>0.0</c:formatCode>
                <c:ptCount val="35"/>
                <c:pt idx="0">
                  <c:v>1.3862943611198906</c:v>
                </c:pt>
                <c:pt idx="1">
                  <c:v>8.7770928828555661</c:v>
                </c:pt>
                <c:pt idx="2">
                  <c:v>10.880082855015793</c:v>
                </c:pt>
                <c:pt idx="3">
                  <c:v>11.111193380451171</c:v>
                </c:pt>
                <c:pt idx="4">
                  <c:v>7.3369369137076177</c:v>
                </c:pt>
                <c:pt idx="5">
                  <c:v>9.4007954286668589</c:v>
                </c:pt>
                <c:pt idx="6">
                  <c:v>9.624170396415975</c:v>
                </c:pt>
                <c:pt idx="7">
                  <c:v>9.2729395137327035</c:v>
                </c:pt>
                <c:pt idx="8">
                  <c:v>5.7868973813667077</c:v>
                </c:pt>
                <c:pt idx="9">
                  <c:v>7.2269360184932889</c:v>
                </c:pt>
                <c:pt idx="12">
                  <c:v>2.4849066497880004</c:v>
                </c:pt>
                <c:pt idx="13">
                  <c:v>7.8631659321430663</c:v>
                </c:pt>
                <c:pt idx="14">
                  <c:v>9.0435905046705862</c:v>
                </c:pt>
                <c:pt idx="15">
                  <c:v>8.929435283803425</c:v>
                </c:pt>
                <c:pt idx="16">
                  <c:v>9.2695691510038003</c:v>
                </c:pt>
                <c:pt idx="17">
                  <c:v>11.331575098328914</c:v>
                </c:pt>
                <c:pt idx="18">
                  <c:v>10.174243167219799</c:v>
                </c:pt>
                <c:pt idx="19">
                  <c:v>11.1395697470493</c:v>
                </c:pt>
                <c:pt idx="20">
                  <c:v>10.782275198089893</c:v>
                </c:pt>
                <c:pt idx="21">
                  <c:v>7.14</c:v>
                </c:pt>
                <c:pt idx="22">
                  <c:v>11.67</c:v>
                </c:pt>
                <c:pt idx="23">
                  <c:v>12.463875668634529</c:v>
                </c:pt>
                <c:pt idx="24">
                  <c:v>11.114952788388969</c:v>
                </c:pt>
                <c:pt idx="25">
                  <c:v>10.570800666122491</c:v>
                </c:pt>
                <c:pt idx="26">
                  <c:v>9.5406682328216803</c:v>
                </c:pt>
                <c:pt idx="27">
                  <c:v>11.051096518847443</c:v>
                </c:pt>
                <c:pt idx="28">
                  <c:v>13.320373342829278</c:v>
                </c:pt>
                <c:pt idx="29">
                  <c:v>8.4028903102984636</c:v>
                </c:pt>
                <c:pt idx="30">
                  <c:v>12.997823787955616</c:v>
                </c:pt>
                <c:pt idx="31">
                  <c:v>10.517934991713384</c:v>
                </c:pt>
                <c:pt idx="32">
                  <c:v>10.768731539814448</c:v>
                </c:pt>
                <c:pt idx="33">
                  <c:v>11.621521201501052</c:v>
                </c:pt>
                <c:pt idx="34">
                  <c:v>11.1306137674898</c:v>
                </c:pt>
              </c:numCache>
            </c:numRef>
          </c:xVal>
          <c:yVal>
            <c:numRef>
              <c:f>'Tab&amp;Fig4.6.1b'!$N$25:$N$58</c:f>
              <c:numCache>
                <c:formatCode>0.0</c:formatCode>
                <c:ptCount val="34"/>
                <c:pt idx="0">
                  <c:v>9.4868350987873864</c:v>
                </c:pt>
                <c:pt idx="1">
                  <c:v>10.248742536245267</c:v>
                </c:pt>
                <c:pt idx="2">
                  <c:v>10.480100916840122</c:v>
                </c:pt>
                <c:pt idx="3">
                  <c:v>11.583411887221422</c:v>
                </c:pt>
                <c:pt idx="4">
                  <c:v>9.5490244463939966</c:v>
                </c:pt>
                <c:pt idx="5">
                  <c:v>10.317615033722944</c:v>
                </c:pt>
                <c:pt idx="6">
                  <c:v>10.119405058758598</c:v>
                </c:pt>
                <c:pt idx="7">
                  <c:v>11.458532635139683</c:v>
                </c:pt>
                <c:pt idx="8">
                  <c:v>9.6329903048384473</c:v>
                </c:pt>
                <c:pt idx="9">
                  <c:v>7.415175109613295</c:v>
                </c:pt>
                <c:pt idx="10">
                  <c:v>7.9233482119301542</c:v>
                </c:pt>
                <c:pt idx="11">
                  <c:v>7.1180162044653335</c:v>
                </c:pt>
                <c:pt idx="12">
                  <c:v>9.6758536939519448</c:v>
                </c:pt>
                <c:pt idx="13">
                  <c:v>13.111861115205073</c:v>
                </c:pt>
                <c:pt idx="14">
                  <c:v>12.442487739037624</c:v>
                </c:pt>
                <c:pt idx="15">
                  <c:v>12.144667078281886</c:v>
                </c:pt>
                <c:pt idx="16">
                  <c:v>12.60426338555664</c:v>
                </c:pt>
                <c:pt idx="17">
                  <c:v>12.944512479514456</c:v>
                </c:pt>
                <c:pt idx="18">
                  <c:v>11.535011211659272</c:v>
                </c:pt>
                <c:pt idx="19">
                  <c:v>10.849969412042386</c:v>
                </c:pt>
                <c:pt idx="20">
                  <c:v>12</c:v>
                </c:pt>
                <c:pt idx="21">
                  <c:v>11.53</c:v>
                </c:pt>
                <c:pt idx="22">
                  <c:v>12.79886293061573</c:v>
                </c:pt>
                <c:pt idx="23">
                  <c:v>12.578005681880907</c:v>
                </c:pt>
                <c:pt idx="24">
                  <c:v>6.8996184553576567</c:v>
                </c:pt>
                <c:pt idx="25">
                  <c:v>11.069854153264735</c:v>
                </c:pt>
                <c:pt idx="26">
                  <c:v>11.754939434162472</c:v>
                </c:pt>
                <c:pt idx="27">
                  <c:v>9.7045253882932272</c:v>
                </c:pt>
                <c:pt idx="28">
                  <c:v>11.368100747463359</c:v>
                </c:pt>
                <c:pt idx="29">
                  <c:v>11.445648700110739</c:v>
                </c:pt>
                <c:pt idx="30">
                  <c:v>11.08020529994562</c:v>
                </c:pt>
                <c:pt idx="31">
                  <c:v>12.09674489242974</c:v>
                </c:pt>
                <c:pt idx="32">
                  <c:v>12.209834608352399</c:v>
                </c:pt>
                <c:pt idx="33">
                  <c:v>11.863874544499321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A1-084D-BC6A-56F2ED854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72896"/>
        <c:axId val="99474816"/>
      </c:scatterChart>
      <c:valAx>
        <c:axId val="99472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1</a:t>
                </a:r>
              </a:p>
            </c:rich>
          </c:tx>
          <c:layout>
            <c:manualLayout>
              <c:xMode val="edge"/>
              <c:yMode val="edge"/>
              <c:x val="0.49477366393031158"/>
              <c:y val="0.88687782805429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474816"/>
        <c:crosses val="autoZero"/>
        <c:crossBetween val="midCat"/>
      </c:valAx>
      <c:valAx>
        <c:axId val="994748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2</a:t>
                </a:r>
              </a:p>
            </c:rich>
          </c:tx>
          <c:layout>
            <c:manualLayout>
              <c:xMode val="edge"/>
              <c:yMode val="edge"/>
              <c:x val="3.8327804769084726E-2"/>
              <c:y val="0.4479638009049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47289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5" footer="0.5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457457034441983"/>
          <c:y val="0.24886877828054288"/>
          <c:w val="0.61435112096920752"/>
          <c:h val="0.5837104072398190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'Tab&amp;Fig4.6.1b'!$O$24</c:f>
              <c:strCache>
                <c:ptCount val="1"/>
                <c:pt idx="0">
                  <c:v>AGE 3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7594428745187388"/>
                  <c:y val="-0.18525765727248344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</c:trendlineLbl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'Tab&amp;Fig4.6.1b'!$N$25:$N$58</c:f>
              <c:numCache>
                <c:formatCode>0.0</c:formatCode>
                <c:ptCount val="34"/>
                <c:pt idx="0">
                  <c:v>9.4868350987873864</c:v>
                </c:pt>
                <c:pt idx="1">
                  <c:v>10.248742536245267</c:v>
                </c:pt>
                <c:pt idx="2">
                  <c:v>10.480100916840122</c:v>
                </c:pt>
                <c:pt idx="3">
                  <c:v>11.583411887221422</c:v>
                </c:pt>
                <c:pt idx="4">
                  <c:v>9.5490244463939966</c:v>
                </c:pt>
                <c:pt idx="5">
                  <c:v>10.317615033722944</c:v>
                </c:pt>
                <c:pt idx="6">
                  <c:v>10.119405058758598</c:v>
                </c:pt>
                <c:pt idx="7">
                  <c:v>11.458532635139683</c:v>
                </c:pt>
                <c:pt idx="8">
                  <c:v>9.6329903048384473</c:v>
                </c:pt>
                <c:pt idx="9">
                  <c:v>7.415175109613295</c:v>
                </c:pt>
                <c:pt idx="10">
                  <c:v>7.9233482119301542</c:v>
                </c:pt>
                <c:pt idx="11">
                  <c:v>7.1180162044653335</c:v>
                </c:pt>
                <c:pt idx="12">
                  <c:v>9.6758536939519448</c:v>
                </c:pt>
                <c:pt idx="13">
                  <c:v>13.111861115205073</c:v>
                </c:pt>
                <c:pt idx="14">
                  <c:v>12.442487739037624</c:v>
                </c:pt>
                <c:pt idx="15">
                  <c:v>12.144667078281886</c:v>
                </c:pt>
                <c:pt idx="16">
                  <c:v>12.60426338555664</c:v>
                </c:pt>
                <c:pt idx="17">
                  <c:v>12.944512479514456</c:v>
                </c:pt>
                <c:pt idx="18">
                  <c:v>11.535011211659272</c:v>
                </c:pt>
                <c:pt idx="19">
                  <c:v>10.849969412042386</c:v>
                </c:pt>
                <c:pt idx="20">
                  <c:v>12</c:v>
                </c:pt>
                <c:pt idx="21">
                  <c:v>11.53</c:v>
                </c:pt>
                <c:pt idx="22">
                  <c:v>12.79886293061573</c:v>
                </c:pt>
                <c:pt idx="23">
                  <c:v>12.578005681880907</c:v>
                </c:pt>
                <c:pt idx="24">
                  <c:v>6.8996184553576567</c:v>
                </c:pt>
                <c:pt idx="25">
                  <c:v>11.069854153264735</c:v>
                </c:pt>
                <c:pt idx="26">
                  <c:v>11.754939434162472</c:v>
                </c:pt>
                <c:pt idx="27">
                  <c:v>9.7045253882932272</c:v>
                </c:pt>
                <c:pt idx="28">
                  <c:v>11.368100747463359</c:v>
                </c:pt>
                <c:pt idx="29">
                  <c:v>11.445648700110739</c:v>
                </c:pt>
                <c:pt idx="30">
                  <c:v>11.08020529994562</c:v>
                </c:pt>
                <c:pt idx="31">
                  <c:v>12.09674489242974</c:v>
                </c:pt>
                <c:pt idx="32">
                  <c:v>12.209834608352399</c:v>
                </c:pt>
                <c:pt idx="33">
                  <c:v>11.863874544499321</c:v>
                </c:pt>
              </c:numCache>
            </c:numRef>
          </c:xVal>
          <c:yVal>
            <c:numRef>
              <c:f>'Tab&amp;Fig4.6.1b'!$O$25:$O$57</c:f>
              <c:numCache>
                <c:formatCode>0.0</c:formatCode>
                <c:ptCount val="33"/>
                <c:pt idx="0">
                  <c:v>9.6767124149878683</c:v>
                </c:pt>
                <c:pt idx="1">
                  <c:v>9.9079276805621497</c:v>
                </c:pt>
                <c:pt idx="2">
                  <c:v>11.620496535550195</c:v>
                </c:pt>
                <c:pt idx="3">
                  <c:v>10.613491850162497</c:v>
                </c:pt>
                <c:pt idx="4">
                  <c:v>10.386037150950381</c:v>
                </c:pt>
                <c:pt idx="5">
                  <c:v>9.8404945032082072</c:v>
                </c:pt>
                <c:pt idx="6">
                  <c:v>11.806534935636799</c:v>
                </c:pt>
                <c:pt idx="7">
                  <c:v>9.8602668500815653</c:v>
                </c:pt>
                <c:pt idx="8">
                  <c:v>8.4680029472254663</c:v>
                </c:pt>
                <c:pt idx="9">
                  <c:v>9.5420154061135918</c:v>
                </c:pt>
                <c:pt idx="10">
                  <c:v>9.6048119386094815</c:v>
                </c:pt>
                <c:pt idx="11">
                  <c:v>10.456977721817314</c:v>
                </c:pt>
                <c:pt idx="12">
                  <c:v>12.639449073311843</c:v>
                </c:pt>
                <c:pt idx="13">
                  <c:v>12.767030389782164</c:v>
                </c:pt>
                <c:pt idx="14">
                  <c:v>12.701561720033482</c:v>
                </c:pt>
                <c:pt idx="15">
                  <c:v>13.104758444658868</c:v>
                </c:pt>
                <c:pt idx="16">
                  <c:v>12.383832327739807</c:v>
                </c:pt>
                <c:pt idx="17">
                  <c:v>11.80865617776217</c:v>
                </c:pt>
                <c:pt idx="18">
                  <c:v>10.512044468446303</c:v>
                </c:pt>
                <c:pt idx="19">
                  <c:v>11.26</c:v>
                </c:pt>
                <c:pt idx="20">
                  <c:v>12.11</c:v>
                </c:pt>
                <c:pt idx="21">
                  <c:v>11.913471259778987</c:v>
                </c:pt>
                <c:pt idx="22">
                  <c:v>11.697845393334513</c:v>
                </c:pt>
                <c:pt idx="23">
                  <c:v>10.787068294326838</c:v>
                </c:pt>
                <c:pt idx="24">
                  <c:v>12.192567740830393</c:v>
                </c:pt>
                <c:pt idx="25">
                  <c:v>11.799386701607462</c:v>
                </c:pt>
                <c:pt idx="26">
                  <c:v>11.149917578459435</c:v>
                </c:pt>
                <c:pt idx="27">
                  <c:v>12.336858447155437</c:v>
                </c:pt>
                <c:pt idx="28">
                  <c:v>11.312406527524301</c:v>
                </c:pt>
                <c:pt idx="29">
                  <c:v>11.245684783376268</c:v>
                </c:pt>
                <c:pt idx="30">
                  <c:v>12.281866048154605</c:v>
                </c:pt>
                <c:pt idx="31">
                  <c:v>12.269845483162827</c:v>
                </c:pt>
                <c:pt idx="32" formatCode="General">
                  <c:v>10.807616543683597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ED-6B4A-A069-B7C3F5BB7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89984"/>
        <c:axId val="99691904"/>
      </c:scatterChart>
      <c:valAx>
        <c:axId val="99689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2</a:t>
                </a:r>
              </a:p>
            </c:rich>
          </c:tx>
          <c:layout>
            <c:manualLayout>
              <c:xMode val="edge"/>
              <c:yMode val="edge"/>
              <c:x val="0.4947736220472479"/>
              <c:y val="0.88687782805429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691904"/>
        <c:crosses val="autoZero"/>
        <c:crossBetween val="midCat"/>
      </c:valAx>
      <c:valAx>
        <c:axId val="996919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3</a:t>
                </a:r>
              </a:p>
            </c:rich>
          </c:tx>
          <c:layout>
            <c:manualLayout>
              <c:xMode val="edge"/>
              <c:yMode val="edge"/>
              <c:x val="3.832770903637045E-2"/>
              <c:y val="0.4479638009049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68998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5" footer="0.5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00869707033196"/>
          <c:y val="0.12538141200460418"/>
          <c:w val="0.66791700526098263"/>
          <c:h val="0.70719781751307587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'Tab&amp;Fig4.6.1b'!$P$24</c:f>
              <c:strCache>
                <c:ptCount val="1"/>
                <c:pt idx="0">
                  <c:v>AGE 4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7594428745187388"/>
                  <c:y val="-0.18525765727248344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</c:trendlineLbl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'Tab&amp;Fig4.6.1b'!$O$25:$O$57</c:f>
              <c:numCache>
                <c:formatCode>0.0</c:formatCode>
                <c:ptCount val="33"/>
                <c:pt idx="0">
                  <c:v>9.6767124149878683</c:v>
                </c:pt>
                <c:pt idx="1">
                  <c:v>9.9079276805621497</c:v>
                </c:pt>
                <c:pt idx="2">
                  <c:v>11.620496535550195</c:v>
                </c:pt>
                <c:pt idx="3">
                  <c:v>10.613491850162497</c:v>
                </c:pt>
                <c:pt idx="4">
                  <c:v>10.386037150950381</c:v>
                </c:pt>
                <c:pt idx="5">
                  <c:v>9.8404945032082072</c:v>
                </c:pt>
                <c:pt idx="6">
                  <c:v>11.806534935636799</c:v>
                </c:pt>
                <c:pt idx="7">
                  <c:v>9.8602668500815653</c:v>
                </c:pt>
                <c:pt idx="8">
                  <c:v>8.4680029472254663</c:v>
                </c:pt>
                <c:pt idx="9">
                  <c:v>9.5420154061135918</c:v>
                </c:pt>
                <c:pt idx="10">
                  <c:v>9.6048119386094815</c:v>
                </c:pt>
                <c:pt idx="11">
                  <c:v>10.456977721817314</c:v>
                </c:pt>
                <c:pt idx="12">
                  <c:v>12.639449073311843</c:v>
                </c:pt>
                <c:pt idx="13">
                  <c:v>12.767030389782164</c:v>
                </c:pt>
                <c:pt idx="14">
                  <c:v>12.701561720033482</c:v>
                </c:pt>
                <c:pt idx="15">
                  <c:v>13.104758444658868</c:v>
                </c:pt>
                <c:pt idx="16">
                  <c:v>12.383832327739807</c:v>
                </c:pt>
                <c:pt idx="17">
                  <c:v>11.80865617776217</c:v>
                </c:pt>
                <c:pt idx="18">
                  <c:v>10.512044468446303</c:v>
                </c:pt>
                <c:pt idx="19">
                  <c:v>11.26</c:v>
                </c:pt>
                <c:pt idx="20">
                  <c:v>12.11</c:v>
                </c:pt>
                <c:pt idx="21">
                  <c:v>11.913471259778987</c:v>
                </c:pt>
                <c:pt idx="22">
                  <c:v>11.697845393334513</c:v>
                </c:pt>
                <c:pt idx="23">
                  <c:v>10.787068294326838</c:v>
                </c:pt>
                <c:pt idx="24">
                  <c:v>12.192567740830393</c:v>
                </c:pt>
                <c:pt idx="25">
                  <c:v>11.799386701607462</c:v>
                </c:pt>
                <c:pt idx="26">
                  <c:v>11.149917578459435</c:v>
                </c:pt>
                <c:pt idx="27">
                  <c:v>12.336858447155437</c:v>
                </c:pt>
                <c:pt idx="28">
                  <c:v>11.312406527524301</c:v>
                </c:pt>
                <c:pt idx="29">
                  <c:v>11.245684783376268</c:v>
                </c:pt>
                <c:pt idx="30">
                  <c:v>12.281866048154605</c:v>
                </c:pt>
                <c:pt idx="31">
                  <c:v>12.269845483162827</c:v>
                </c:pt>
                <c:pt idx="32" formatCode="General">
                  <c:v>10.807616543683597</c:v>
                </c:pt>
              </c:numCache>
            </c:numRef>
          </c:xVal>
          <c:yVal>
            <c:numRef>
              <c:f>'Tab&amp;Fig4.6.1b'!$P$25:$P$56</c:f>
              <c:numCache>
                <c:formatCode>0.0</c:formatCode>
                <c:ptCount val="32"/>
                <c:pt idx="0">
                  <c:v>8.9271813882519861</c:v>
                </c:pt>
                <c:pt idx="1">
                  <c:v>9.0145687674578241</c:v>
                </c:pt>
                <c:pt idx="2">
                  <c:v>11.068667552142909</c:v>
                </c:pt>
                <c:pt idx="3">
                  <c:v>10.431465235119685</c:v>
                </c:pt>
                <c:pt idx="4">
                  <c:v>9.7640530565445509</c:v>
                </c:pt>
                <c:pt idx="5">
                  <c:v>11.289356823317922</c:v>
                </c:pt>
                <c:pt idx="6">
                  <c:v>10.132692695228933</c:v>
                </c:pt>
                <c:pt idx="7">
                  <c:v>9.6404980926747186</c:v>
                </c:pt>
                <c:pt idx="8">
                  <c:v>11.12663043119762</c:v>
                </c:pt>
                <c:pt idx="9">
                  <c:v>10.166851317336702</c:v>
                </c:pt>
                <c:pt idx="10">
                  <c:v>10.564264261611688</c:v>
                </c:pt>
                <c:pt idx="11">
                  <c:v>11.992924708697279</c:v>
                </c:pt>
                <c:pt idx="12">
                  <c:v>11.242284039120532</c:v>
                </c:pt>
                <c:pt idx="13">
                  <c:v>12.148247143595054</c:v>
                </c:pt>
                <c:pt idx="14">
                  <c:v>12.621873305093006</c:v>
                </c:pt>
                <c:pt idx="15">
                  <c:v>11.102886969014993</c:v>
                </c:pt>
                <c:pt idx="16">
                  <c:v>11.546933830649715</c:v>
                </c:pt>
                <c:pt idx="17">
                  <c:v>10.353871960661566</c:v>
                </c:pt>
                <c:pt idx="18">
                  <c:v>9.61</c:v>
                </c:pt>
                <c:pt idx="19">
                  <c:v>11.68</c:v>
                </c:pt>
                <c:pt idx="20">
                  <c:v>11.109193663443609</c:v>
                </c:pt>
                <c:pt idx="21">
                  <c:v>10.753693901433513</c:v>
                </c:pt>
                <c:pt idx="22">
                  <c:v>11.624699043974026</c:v>
                </c:pt>
                <c:pt idx="23">
                  <c:v>11.905618367750476</c:v>
                </c:pt>
                <c:pt idx="24">
                  <c:v>11.604496260079495</c:v>
                </c:pt>
                <c:pt idx="25">
                  <c:v>11.510451354640539</c:v>
                </c:pt>
                <c:pt idx="26">
                  <c:v>12.578717144376439</c:v>
                </c:pt>
                <c:pt idx="27">
                  <c:v>11.417184447678896</c:v>
                </c:pt>
                <c:pt idx="28">
                  <c:v>11.732876905919587</c:v>
                </c:pt>
                <c:pt idx="29">
                  <c:v>11.58350211653657</c:v>
                </c:pt>
                <c:pt idx="30">
                  <c:v>11.211591119432637</c:v>
                </c:pt>
                <c:pt idx="31" formatCode="General">
                  <c:v>10.209495959006956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53-1849-93B7-2A0C0AF4D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30176"/>
        <c:axId val="99732096"/>
      </c:scatterChart>
      <c:valAx>
        <c:axId val="99730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3</a:t>
                </a:r>
              </a:p>
            </c:rich>
          </c:tx>
          <c:layout>
            <c:manualLayout>
              <c:xMode val="edge"/>
              <c:yMode val="edge"/>
              <c:x val="0.49477366393031158"/>
              <c:y val="0.88687782805429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732096"/>
        <c:crosses val="autoZero"/>
        <c:crossBetween val="midCat"/>
      </c:valAx>
      <c:valAx>
        <c:axId val="997320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4</a:t>
                </a:r>
              </a:p>
            </c:rich>
          </c:tx>
          <c:layout>
            <c:manualLayout>
              <c:xMode val="edge"/>
              <c:yMode val="edge"/>
              <c:x val="3.8327804769084726E-2"/>
              <c:y val="0.4479638009049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73017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5" footer="0.5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00869707033201"/>
          <c:y val="0.12538141200460418"/>
          <c:w val="0.66791700526098263"/>
          <c:h val="0.70719781751307653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'Tab&amp;Fig4.6.1b'!$Q$24</c:f>
              <c:strCache>
                <c:ptCount val="1"/>
                <c:pt idx="0">
                  <c:v>AGE 5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7594428745187388"/>
                  <c:y val="-0.18525765727248344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</c:trendlineLbl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'Tab&amp;Fig4.6.1b'!$P$25:$P$56</c:f>
              <c:numCache>
                <c:formatCode>0.0</c:formatCode>
                <c:ptCount val="32"/>
                <c:pt idx="0">
                  <c:v>8.9271813882519861</c:v>
                </c:pt>
                <c:pt idx="1">
                  <c:v>9.0145687674578241</c:v>
                </c:pt>
                <c:pt idx="2">
                  <c:v>11.068667552142909</c:v>
                </c:pt>
                <c:pt idx="3">
                  <c:v>10.431465235119685</c:v>
                </c:pt>
                <c:pt idx="4">
                  <c:v>9.7640530565445509</c:v>
                </c:pt>
                <c:pt idx="5">
                  <c:v>11.289356823317922</c:v>
                </c:pt>
                <c:pt idx="6">
                  <c:v>10.132692695228933</c:v>
                </c:pt>
                <c:pt idx="7">
                  <c:v>9.6404980926747186</c:v>
                </c:pt>
                <c:pt idx="8">
                  <c:v>11.12663043119762</c:v>
                </c:pt>
                <c:pt idx="9">
                  <c:v>10.166851317336702</c:v>
                </c:pt>
                <c:pt idx="10">
                  <c:v>10.564264261611688</c:v>
                </c:pt>
                <c:pt idx="11">
                  <c:v>11.992924708697279</c:v>
                </c:pt>
                <c:pt idx="12">
                  <c:v>11.242284039120532</c:v>
                </c:pt>
                <c:pt idx="13">
                  <c:v>12.148247143595054</c:v>
                </c:pt>
                <c:pt idx="14">
                  <c:v>12.621873305093006</c:v>
                </c:pt>
                <c:pt idx="15">
                  <c:v>11.102886969014993</c:v>
                </c:pt>
                <c:pt idx="16">
                  <c:v>11.546933830649715</c:v>
                </c:pt>
                <c:pt idx="17">
                  <c:v>10.353871960661566</c:v>
                </c:pt>
                <c:pt idx="18">
                  <c:v>9.61</c:v>
                </c:pt>
                <c:pt idx="19">
                  <c:v>11.68</c:v>
                </c:pt>
                <c:pt idx="20">
                  <c:v>11.109193663443609</c:v>
                </c:pt>
                <c:pt idx="21">
                  <c:v>10.753693901433513</c:v>
                </c:pt>
                <c:pt idx="22">
                  <c:v>11.624699043974026</c:v>
                </c:pt>
                <c:pt idx="23">
                  <c:v>11.905618367750476</c:v>
                </c:pt>
                <c:pt idx="24">
                  <c:v>11.604496260079495</c:v>
                </c:pt>
                <c:pt idx="25">
                  <c:v>11.510451354640539</c:v>
                </c:pt>
                <c:pt idx="26">
                  <c:v>12.578717144376439</c:v>
                </c:pt>
                <c:pt idx="27">
                  <c:v>11.417184447678896</c:v>
                </c:pt>
                <c:pt idx="28">
                  <c:v>11.732876905919587</c:v>
                </c:pt>
                <c:pt idx="29">
                  <c:v>11.58350211653657</c:v>
                </c:pt>
                <c:pt idx="30">
                  <c:v>11.211591119432637</c:v>
                </c:pt>
                <c:pt idx="31" formatCode="General">
                  <c:v>10.209495959006956</c:v>
                </c:pt>
              </c:numCache>
            </c:numRef>
          </c:xVal>
          <c:yVal>
            <c:numRef>
              <c:f>'Tab&amp;Fig4.6.1b'!$Q$25:$Q$55</c:f>
              <c:numCache>
                <c:formatCode>0.0</c:formatCode>
                <c:ptCount val="31"/>
                <c:pt idx="0">
                  <c:v>6.3699009828282271</c:v>
                </c:pt>
                <c:pt idx="1">
                  <c:v>10.850675995738127</c:v>
                </c:pt>
                <c:pt idx="2">
                  <c:v>10.426350436912623</c:v>
                </c:pt>
                <c:pt idx="3">
                  <c:v>10.551009555069799</c:v>
                </c:pt>
                <c:pt idx="4">
                  <c:v>10.545551942866757</c:v>
                </c:pt>
                <c:pt idx="5">
                  <c:v>10.307184431581645</c:v>
                </c:pt>
                <c:pt idx="6">
                  <c:v>10.265871170941843</c:v>
                </c:pt>
                <c:pt idx="7">
                  <c:v>10.993597128712489</c:v>
                </c:pt>
                <c:pt idx="8">
                  <c:v>9.8275779584357785</c:v>
                </c:pt>
                <c:pt idx="9">
                  <c:v>10.308029947106617</c:v>
                </c:pt>
                <c:pt idx="10">
                  <c:v>11.317682254030991</c:v>
                </c:pt>
                <c:pt idx="11">
                  <c:v>10.638112512542383</c:v>
                </c:pt>
                <c:pt idx="12">
                  <c:v>10.905739551575568</c:v>
                </c:pt>
                <c:pt idx="13">
                  <c:v>11.303615663254327</c:v>
                </c:pt>
                <c:pt idx="14">
                  <c:v>10.551998414367786</c:v>
                </c:pt>
                <c:pt idx="15">
                  <c:v>11.654492783852174</c:v>
                </c:pt>
                <c:pt idx="16">
                  <c:v>10.198870042683998</c:v>
                </c:pt>
                <c:pt idx="17">
                  <c:v>8.65</c:v>
                </c:pt>
                <c:pt idx="18">
                  <c:v>10.119999999999999</c:v>
                </c:pt>
                <c:pt idx="19">
                  <c:v>9.2224773314086015</c:v>
                </c:pt>
                <c:pt idx="20">
                  <c:v>9.7639498423629707</c:v>
                </c:pt>
                <c:pt idx="21">
                  <c:v>11.230861167159663</c:v>
                </c:pt>
                <c:pt idx="22">
                  <c:v>11.443867109483065</c:v>
                </c:pt>
                <c:pt idx="23">
                  <c:v>10.838986279288138</c:v>
                </c:pt>
                <c:pt idx="24">
                  <c:v>10.827814986572289</c:v>
                </c:pt>
                <c:pt idx="25">
                  <c:v>11.430709887318212</c:v>
                </c:pt>
                <c:pt idx="26">
                  <c:v>11.478008876514348</c:v>
                </c:pt>
                <c:pt idx="27">
                  <c:v>11.100520097991744</c:v>
                </c:pt>
                <c:pt idx="28">
                  <c:v>10.880027001531747</c:v>
                </c:pt>
                <c:pt idx="29">
                  <c:v>10.812840824243864</c:v>
                </c:pt>
                <c:pt idx="30" formatCode="General">
                  <c:v>10.025824119975249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1D-7B49-801A-327D93C3B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82656"/>
        <c:axId val="99784576"/>
      </c:scatterChart>
      <c:valAx>
        <c:axId val="99782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4</a:t>
                </a:r>
              </a:p>
            </c:rich>
          </c:tx>
          <c:layout>
            <c:manualLayout>
              <c:xMode val="edge"/>
              <c:yMode val="edge"/>
              <c:x val="0.4947736220472479"/>
              <c:y val="0.88687782805429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784576"/>
        <c:crosses val="autoZero"/>
        <c:crossBetween val="midCat"/>
      </c:valAx>
      <c:valAx>
        <c:axId val="997845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5</a:t>
                </a:r>
              </a:p>
            </c:rich>
          </c:tx>
          <c:layout>
            <c:manualLayout>
              <c:xMode val="edge"/>
              <c:yMode val="edge"/>
              <c:x val="3.832770903637045E-2"/>
              <c:y val="0.4479638009049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78265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5" footer="0.5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00869707033207"/>
          <c:y val="0.12538141200460418"/>
          <c:w val="0.66791700526098263"/>
          <c:h val="0.7071978175130772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'Tab&amp;Fig4.6.1b'!$R$24</c:f>
              <c:strCache>
                <c:ptCount val="1"/>
                <c:pt idx="0">
                  <c:v>AGE 6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7594428745187388"/>
                  <c:y val="-0.18525765727248344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</c:trendlineLbl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'Tab&amp;Fig4.6.1b'!$Q$25:$Q$55</c:f>
              <c:numCache>
                <c:formatCode>0.0</c:formatCode>
                <c:ptCount val="31"/>
                <c:pt idx="0">
                  <c:v>6.3699009828282271</c:v>
                </c:pt>
                <c:pt idx="1">
                  <c:v>10.850675995738127</c:v>
                </c:pt>
                <c:pt idx="2">
                  <c:v>10.426350436912623</c:v>
                </c:pt>
                <c:pt idx="3">
                  <c:v>10.551009555069799</c:v>
                </c:pt>
                <c:pt idx="4">
                  <c:v>10.545551942866757</c:v>
                </c:pt>
                <c:pt idx="5">
                  <c:v>10.307184431581645</c:v>
                </c:pt>
                <c:pt idx="6">
                  <c:v>10.265871170941843</c:v>
                </c:pt>
                <c:pt idx="7">
                  <c:v>10.993597128712489</c:v>
                </c:pt>
                <c:pt idx="8">
                  <c:v>9.8275779584357785</c:v>
                </c:pt>
                <c:pt idx="9">
                  <c:v>10.308029947106617</c:v>
                </c:pt>
                <c:pt idx="10">
                  <c:v>11.317682254030991</c:v>
                </c:pt>
                <c:pt idx="11">
                  <c:v>10.638112512542383</c:v>
                </c:pt>
                <c:pt idx="12">
                  <c:v>10.905739551575568</c:v>
                </c:pt>
                <c:pt idx="13">
                  <c:v>11.303615663254327</c:v>
                </c:pt>
                <c:pt idx="14">
                  <c:v>10.551998414367786</c:v>
                </c:pt>
                <c:pt idx="15">
                  <c:v>11.654492783852174</c:v>
                </c:pt>
                <c:pt idx="16">
                  <c:v>10.198870042683998</c:v>
                </c:pt>
                <c:pt idx="17">
                  <c:v>8.65</c:v>
                </c:pt>
                <c:pt idx="18">
                  <c:v>10.119999999999999</c:v>
                </c:pt>
                <c:pt idx="19">
                  <c:v>9.2224773314086015</c:v>
                </c:pt>
                <c:pt idx="20">
                  <c:v>9.7639498423629707</c:v>
                </c:pt>
                <c:pt idx="21">
                  <c:v>11.230861167159663</c:v>
                </c:pt>
                <c:pt idx="22">
                  <c:v>11.443867109483065</c:v>
                </c:pt>
                <c:pt idx="23">
                  <c:v>10.838986279288138</c:v>
                </c:pt>
                <c:pt idx="24">
                  <c:v>10.827814986572289</c:v>
                </c:pt>
                <c:pt idx="25">
                  <c:v>11.430709887318212</c:v>
                </c:pt>
                <c:pt idx="26">
                  <c:v>11.478008876514348</c:v>
                </c:pt>
                <c:pt idx="27">
                  <c:v>11.100520097991744</c:v>
                </c:pt>
                <c:pt idx="28">
                  <c:v>10.880027001531747</c:v>
                </c:pt>
                <c:pt idx="29">
                  <c:v>10.812840824243864</c:v>
                </c:pt>
                <c:pt idx="30" formatCode="General">
                  <c:v>10.025824119975249</c:v>
                </c:pt>
              </c:numCache>
            </c:numRef>
          </c:xVal>
          <c:yVal>
            <c:numRef>
              <c:f>'Tab&amp;Fig4.6.1b'!$R$25:$R$54</c:f>
              <c:numCache>
                <c:formatCode>0.0</c:formatCode>
                <c:ptCount val="30"/>
                <c:pt idx="0">
                  <c:v>9.0051595210361448</c:v>
                </c:pt>
                <c:pt idx="1">
                  <c:v>9.6466579435671118</c:v>
                </c:pt>
                <c:pt idx="2">
                  <c:v>10.279592505337806</c:v>
                </c:pt>
                <c:pt idx="3">
                  <c:v>10.273152756513104</c:v>
                </c:pt>
                <c:pt idx="4">
                  <c:v>10.613983371430686</c:v>
                </c:pt>
                <c:pt idx="5">
                  <c:v>10.349390581417667</c:v>
                </c:pt>
                <c:pt idx="6">
                  <c:v>10.753360665540567</c:v>
                </c:pt>
                <c:pt idx="7">
                  <c:v>9.9222111665342307</c:v>
                </c:pt>
                <c:pt idx="8">
                  <c:v>10.164183217133713</c:v>
                </c:pt>
                <c:pt idx="9">
                  <c:v>10.419931533732326</c:v>
                </c:pt>
                <c:pt idx="10">
                  <c:v>10.513877928925865</c:v>
                </c:pt>
                <c:pt idx="11">
                  <c:v>10.151176026464785</c:v>
                </c:pt>
                <c:pt idx="12">
                  <c:v>10.089010179812799</c:v>
                </c:pt>
                <c:pt idx="13">
                  <c:v>10.225515135625606</c:v>
                </c:pt>
                <c:pt idx="14">
                  <c:v>11.616169389434862</c:v>
                </c:pt>
                <c:pt idx="15">
                  <c:v>10.357793873674906</c:v>
                </c:pt>
                <c:pt idx="16">
                  <c:v>7.63</c:v>
                </c:pt>
                <c:pt idx="17">
                  <c:v>7.91</c:v>
                </c:pt>
                <c:pt idx="18">
                  <c:v>7.5643959514107317</c:v>
                </c:pt>
                <c:pt idx="19">
                  <c:v>10.101180166712069</c:v>
                </c:pt>
                <c:pt idx="20">
                  <c:v>10.878772993306846</c:v>
                </c:pt>
                <c:pt idx="21">
                  <c:v>10.679261736150604</c:v>
                </c:pt>
                <c:pt idx="22">
                  <c:v>10.788830458781213</c:v>
                </c:pt>
                <c:pt idx="23">
                  <c:v>9.680707422234887</c:v>
                </c:pt>
                <c:pt idx="24">
                  <c:v>10.111836584289394</c:v>
                </c:pt>
                <c:pt idx="25">
                  <c:v>11.440923622927242</c:v>
                </c:pt>
                <c:pt idx="26">
                  <c:v>10.488160737694228</c:v>
                </c:pt>
                <c:pt idx="27">
                  <c:v>10.392982427228821</c:v>
                </c:pt>
                <c:pt idx="28">
                  <c:v>10.327064631658097</c:v>
                </c:pt>
                <c:pt idx="29" formatCode="General">
                  <c:v>9.5813259059139622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D7-EF41-B949-0E8E7C843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18496"/>
        <c:axId val="99828864"/>
      </c:scatterChart>
      <c:valAx>
        <c:axId val="99818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5</a:t>
                </a:r>
              </a:p>
            </c:rich>
          </c:tx>
          <c:layout>
            <c:manualLayout>
              <c:xMode val="edge"/>
              <c:yMode val="edge"/>
              <c:x val="0.49477366393031158"/>
              <c:y val="0.88687782805429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828864"/>
        <c:crosses val="autoZero"/>
        <c:crossBetween val="midCat"/>
      </c:valAx>
      <c:valAx>
        <c:axId val="998288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6</a:t>
                </a:r>
              </a:p>
            </c:rich>
          </c:tx>
          <c:layout>
            <c:manualLayout>
              <c:xMode val="edge"/>
              <c:yMode val="edge"/>
              <c:x val="3.8327804769084726E-2"/>
              <c:y val="0.4479638009049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81849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5" footer="0.5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00869707033218"/>
          <c:y val="0.12538141200460418"/>
          <c:w val="0.66791700526098263"/>
          <c:h val="0.70719781751307786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'Tab&amp;Fig4.6.1b'!$S$24</c:f>
              <c:strCache>
                <c:ptCount val="1"/>
                <c:pt idx="0">
                  <c:v>AGE 7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7594428745187388"/>
                  <c:y val="-0.18525765727248344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</c:trendlineLbl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'Tab&amp;Fig4.6.1b'!$R$25:$R$54</c:f>
              <c:numCache>
                <c:formatCode>0.0</c:formatCode>
                <c:ptCount val="30"/>
                <c:pt idx="0">
                  <c:v>9.0051595210361448</c:v>
                </c:pt>
                <c:pt idx="1">
                  <c:v>9.6466579435671118</c:v>
                </c:pt>
                <c:pt idx="2">
                  <c:v>10.279592505337806</c:v>
                </c:pt>
                <c:pt idx="3">
                  <c:v>10.273152756513104</c:v>
                </c:pt>
                <c:pt idx="4">
                  <c:v>10.613983371430686</c:v>
                </c:pt>
                <c:pt idx="5">
                  <c:v>10.349390581417667</c:v>
                </c:pt>
                <c:pt idx="6">
                  <c:v>10.753360665540567</c:v>
                </c:pt>
                <c:pt idx="7">
                  <c:v>9.9222111665342307</c:v>
                </c:pt>
                <c:pt idx="8">
                  <c:v>10.164183217133713</c:v>
                </c:pt>
                <c:pt idx="9">
                  <c:v>10.419931533732326</c:v>
                </c:pt>
                <c:pt idx="10">
                  <c:v>10.513877928925865</c:v>
                </c:pt>
                <c:pt idx="11">
                  <c:v>10.151176026464785</c:v>
                </c:pt>
                <c:pt idx="12">
                  <c:v>10.089010179812799</c:v>
                </c:pt>
                <c:pt idx="13">
                  <c:v>10.225515135625606</c:v>
                </c:pt>
                <c:pt idx="14">
                  <c:v>11.616169389434862</c:v>
                </c:pt>
                <c:pt idx="15">
                  <c:v>10.357793873674906</c:v>
                </c:pt>
                <c:pt idx="16">
                  <c:v>7.63</c:v>
                </c:pt>
                <c:pt idx="17">
                  <c:v>7.91</c:v>
                </c:pt>
                <c:pt idx="18">
                  <c:v>7.5643959514107317</c:v>
                </c:pt>
                <c:pt idx="19">
                  <c:v>10.101180166712069</c:v>
                </c:pt>
                <c:pt idx="20">
                  <c:v>10.878772993306846</c:v>
                </c:pt>
                <c:pt idx="21">
                  <c:v>10.679261736150604</c:v>
                </c:pt>
                <c:pt idx="22">
                  <c:v>10.788830458781213</c:v>
                </c:pt>
                <c:pt idx="23">
                  <c:v>9.680707422234887</c:v>
                </c:pt>
                <c:pt idx="24">
                  <c:v>10.111836584289394</c:v>
                </c:pt>
                <c:pt idx="25">
                  <c:v>11.440923622927242</c:v>
                </c:pt>
                <c:pt idx="26">
                  <c:v>10.488160737694228</c:v>
                </c:pt>
                <c:pt idx="27">
                  <c:v>10.392982427228821</c:v>
                </c:pt>
                <c:pt idx="28">
                  <c:v>10.327064631658097</c:v>
                </c:pt>
                <c:pt idx="29" formatCode="General">
                  <c:v>9.5813259059139622</c:v>
                </c:pt>
              </c:numCache>
            </c:numRef>
          </c:xVal>
          <c:yVal>
            <c:numRef>
              <c:f>'Tab&amp;Fig4.6.1b'!$S$25:$S$53</c:f>
              <c:numCache>
                <c:formatCode>0.0</c:formatCode>
                <c:ptCount val="29"/>
                <c:pt idx="0">
                  <c:v>8.1645102687470423</c:v>
                </c:pt>
                <c:pt idx="1">
                  <c:v>9.5192211555689568</c:v>
                </c:pt>
                <c:pt idx="2">
                  <c:v>10.179527113203834</c:v>
                </c:pt>
                <c:pt idx="3">
                  <c:v>10.52926554272522</c:v>
                </c:pt>
                <c:pt idx="4">
                  <c:v>10.342226237407218</c:v>
                </c:pt>
                <c:pt idx="5">
                  <c:v>10.360849106432795</c:v>
                </c:pt>
                <c:pt idx="6">
                  <c:v>9.6395220067016627</c:v>
                </c:pt>
                <c:pt idx="7">
                  <c:v>9.3863801942776313</c:v>
                </c:pt>
                <c:pt idx="8">
                  <c:v>9.0743257844879999</c:v>
                </c:pt>
                <c:pt idx="9">
                  <c:v>9.6574591286844598</c:v>
                </c:pt>
                <c:pt idx="10">
                  <c:v>9.4489154015112806</c:v>
                </c:pt>
                <c:pt idx="11">
                  <c:v>10.433333422922281</c:v>
                </c:pt>
                <c:pt idx="12">
                  <c:v>9.6571361493796211</c:v>
                </c:pt>
                <c:pt idx="13">
                  <c:v>11.134656610576362</c:v>
                </c:pt>
                <c:pt idx="14">
                  <c:v>10.422751512576218</c:v>
                </c:pt>
                <c:pt idx="15">
                  <c:v>7.24</c:v>
                </c:pt>
                <c:pt idx="16">
                  <c:v>6.76</c:v>
                </c:pt>
                <c:pt idx="17">
                  <c:v>6.6277061134223771</c:v>
                </c:pt>
                <c:pt idx="18">
                  <c:v>9.6155295794679922</c:v>
                </c:pt>
                <c:pt idx="19">
                  <c:v>10.509506478671968</c:v>
                </c:pt>
                <c:pt idx="20">
                  <c:v>10.154614409924315</c:v>
                </c:pt>
                <c:pt idx="21">
                  <c:v>10.212892873020932</c:v>
                </c:pt>
                <c:pt idx="22">
                  <c:v>8.5151079219643115</c:v>
                </c:pt>
                <c:pt idx="23">
                  <c:v>9.6472090677970588</c:v>
                </c:pt>
                <c:pt idx="24">
                  <c:v>10.371377474730057</c:v>
                </c:pt>
                <c:pt idx="25">
                  <c:v>10.082749959055629</c:v>
                </c:pt>
                <c:pt idx="26">
                  <c:v>9.8099121460979237</c:v>
                </c:pt>
                <c:pt idx="27">
                  <c:v>9.9670403688290357</c:v>
                </c:pt>
                <c:pt idx="28" formatCode="General">
                  <c:v>8.7240124049312637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CB-1E49-AB20-C179B8FF2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79552"/>
        <c:axId val="99898112"/>
      </c:scatterChart>
      <c:valAx>
        <c:axId val="99879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6</a:t>
                </a:r>
              </a:p>
            </c:rich>
          </c:tx>
          <c:layout>
            <c:manualLayout>
              <c:xMode val="edge"/>
              <c:yMode val="edge"/>
              <c:x val="0.4947736220472479"/>
              <c:y val="0.88687782805429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898112"/>
        <c:crosses val="autoZero"/>
        <c:crossBetween val="midCat"/>
      </c:valAx>
      <c:valAx>
        <c:axId val="99898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Age 7</a:t>
                </a:r>
              </a:p>
            </c:rich>
          </c:tx>
          <c:layout>
            <c:manualLayout>
              <c:xMode val="edge"/>
              <c:yMode val="edge"/>
              <c:x val="3.832770903637045E-2"/>
              <c:y val="0.4479638009049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87955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5" footer="0.5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00869707033218"/>
          <c:y val="0.12538141200460418"/>
          <c:w val="0.66791700526098263"/>
          <c:h val="0.70719781751307786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'Tab&amp;Fig4.6.1b'!$T$24</c:f>
              <c:strCache>
                <c:ptCount val="1"/>
                <c:pt idx="0">
                  <c:v>AGE 8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27594428745187388"/>
                  <c:y val="-0.18525765727248344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8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</c:trendlineLbl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'Tab&amp;Fig4.6.1b'!$S$25:$S$53</c:f>
              <c:numCache>
                <c:formatCode>0.0</c:formatCode>
                <c:ptCount val="29"/>
                <c:pt idx="0">
                  <c:v>8.1645102687470423</c:v>
                </c:pt>
                <c:pt idx="1">
                  <c:v>9.5192211555689568</c:v>
                </c:pt>
                <c:pt idx="2">
                  <c:v>10.179527113203834</c:v>
                </c:pt>
                <c:pt idx="3">
                  <c:v>10.52926554272522</c:v>
                </c:pt>
                <c:pt idx="4">
                  <c:v>10.342226237407218</c:v>
                </c:pt>
                <c:pt idx="5">
                  <c:v>10.360849106432795</c:v>
                </c:pt>
                <c:pt idx="6">
                  <c:v>9.6395220067016627</c:v>
                </c:pt>
                <c:pt idx="7">
                  <c:v>9.3863801942776313</c:v>
                </c:pt>
                <c:pt idx="8">
                  <c:v>9.0743257844879999</c:v>
                </c:pt>
                <c:pt idx="9">
                  <c:v>9.6574591286844598</c:v>
                </c:pt>
                <c:pt idx="10">
                  <c:v>9.4489154015112806</c:v>
                </c:pt>
                <c:pt idx="11">
                  <c:v>10.433333422922281</c:v>
                </c:pt>
                <c:pt idx="12">
                  <c:v>9.6571361493796211</c:v>
                </c:pt>
                <c:pt idx="13">
                  <c:v>11.134656610576362</c:v>
                </c:pt>
                <c:pt idx="14">
                  <c:v>10.422751512576218</c:v>
                </c:pt>
                <c:pt idx="15">
                  <c:v>7.24</c:v>
                </c:pt>
                <c:pt idx="16">
                  <c:v>6.76</c:v>
                </c:pt>
                <c:pt idx="17">
                  <c:v>6.6277061134223771</c:v>
                </c:pt>
                <c:pt idx="18">
                  <c:v>9.6155295794679922</c:v>
                </c:pt>
                <c:pt idx="19">
                  <c:v>10.509506478671968</c:v>
                </c:pt>
                <c:pt idx="20">
                  <c:v>10.154614409924315</c:v>
                </c:pt>
                <c:pt idx="21">
                  <c:v>10.212892873020932</c:v>
                </c:pt>
                <c:pt idx="22">
                  <c:v>8.5151079219643115</c:v>
                </c:pt>
                <c:pt idx="23">
                  <c:v>9.6472090677970588</c:v>
                </c:pt>
                <c:pt idx="24">
                  <c:v>10.371377474730057</c:v>
                </c:pt>
                <c:pt idx="25">
                  <c:v>10.082749959055629</c:v>
                </c:pt>
                <c:pt idx="26">
                  <c:v>9.8099121460979237</c:v>
                </c:pt>
                <c:pt idx="27">
                  <c:v>9.9670403688290357</c:v>
                </c:pt>
                <c:pt idx="28" formatCode="General">
                  <c:v>8.7240124049312637</c:v>
                </c:pt>
              </c:numCache>
            </c:numRef>
          </c:xVal>
          <c:yVal>
            <c:numRef>
              <c:f>'Tab&amp;Fig4.6.1b'!$T$25:$T$52</c:f>
              <c:numCache>
                <c:formatCode>0.0</c:formatCode>
                <c:ptCount val="28"/>
                <c:pt idx="0">
                  <c:v>7.1252830915107115</c:v>
                </c:pt>
                <c:pt idx="1">
                  <c:v>10.150621030590434</c:v>
                </c:pt>
                <c:pt idx="2">
                  <c:v>11.022065853845115</c:v>
                </c:pt>
                <c:pt idx="3">
                  <c:v>9.8863413937011568</c:v>
                </c:pt>
                <c:pt idx="4">
                  <c:v>8.9281100782026463</c:v>
                </c:pt>
                <c:pt idx="5">
                  <c:v>8.3586662831880005</c:v>
                </c:pt>
                <c:pt idx="6">
                  <c:v>8.841315357412924</c:v>
                </c:pt>
                <c:pt idx="7">
                  <c:v>8.5444345531841677</c:v>
                </c:pt>
                <c:pt idx="8">
                  <c:v>8.5937837935779502</c:v>
                </c:pt>
                <c:pt idx="9">
                  <c:v>8.6505991449233477</c:v>
                </c:pt>
                <c:pt idx="10">
                  <c:v>11.150184068948326</c:v>
                </c:pt>
                <c:pt idx="11">
                  <c:v>8.9331914165641617</c:v>
                </c:pt>
                <c:pt idx="12" formatCode="0.00">
                  <c:v>9.2415749170992019</c:v>
                </c:pt>
                <c:pt idx="13">
                  <c:v>11.664791658387708</c:v>
                </c:pt>
                <c:pt idx="14">
                  <c:v>6.983420428251959</c:v>
                </c:pt>
                <c:pt idx="15">
                  <c:v>6.54</c:v>
                </c:pt>
                <c:pt idx="16">
                  <c:v>5.4227828441127617</c:v>
                </c:pt>
                <c:pt idx="17">
                  <c:v>9.0807566564768383</c:v>
                </c:pt>
                <c:pt idx="18">
                  <c:v>10.15472673004761</c:v>
                </c:pt>
                <c:pt idx="19">
                  <c:v>9.2082147489311748</c:v>
                </c:pt>
                <c:pt idx="20">
                  <c:v>9.9319402315428622</c:v>
                </c:pt>
                <c:pt idx="21">
                  <c:v>7.698783531309048</c:v>
                </c:pt>
                <c:pt idx="22">
                  <c:v>9.3552318272809956</c:v>
                </c:pt>
                <c:pt idx="23">
                  <c:v>9.4309712595591595</c:v>
                </c:pt>
                <c:pt idx="24">
                  <c:v>9.0927904525764411</c:v>
                </c:pt>
                <c:pt idx="25">
                  <c:v>7.9463826048500135</c:v>
                </c:pt>
                <c:pt idx="26">
                  <c:v>9.112121723847288</c:v>
                </c:pt>
                <c:pt idx="27" formatCode="General">
                  <c:v>8.023291671345131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6B-E14E-A221-653E443AF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11936"/>
        <c:axId val="99946880"/>
      </c:scatterChart>
      <c:valAx>
        <c:axId val="99911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7</a:t>
                </a:r>
              </a:p>
            </c:rich>
          </c:tx>
          <c:layout>
            <c:manualLayout>
              <c:xMode val="edge"/>
              <c:yMode val="edge"/>
              <c:x val="0.49477340332458897"/>
              <c:y val="0.88687782805429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946880"/>
        <c:crosses val="autoZero"/>
        <c:crossBetween val="midCat"/>
      </c:valAx>
      <c:valAx>
        <c:axId val="999468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8</a:t>
                </a:r>
              </a:p>
            </c:rich>
          </c:tx>
          <c:layout>
            <c:manualLayout>
              <c:xMode val="edge"/>
              <c:yMode val="edge"/>
              <c:x val="3.8327646544181977E-2"/>
              <c:y val="0.4479638009049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91193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5" footer="0.5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weight (g)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'Tab&amp;Fig4.6.1b'!$C$3:$AK$3</c:f>
              <c:numCache>
                <c:formatCode>General</c:formatCod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</c:numCache>
            </c:numRef>
          </c:cat>
          <c:val>
            <c:numRef>
              <c:f>'Tab&amp;Fig4.6.1b'!$C$16:$AK$16</c:f>
              <c:numCache>
                <c:formatCode>0</c:formatCode>
                <c:ptCount val="35"/>
                <c:pt idx="0">
                  <c:v>238.9417693169093</c:v>
                </c:pt>
                <c:pt idx="1">
                  <c:v>170.55356873016672</c:v>
                </c:pt>
                <c:pt idx="2">
                  <c:v>171.09961086372209</c:v>
                </c:pt>
                <c:pt idx="3">
                  <c:v>146.27830320787643</c:v>
                </c:pt>
                <c:pt idx="4">
                  <c:v>258.14296392623464</c:v>
                </c:pt>
                <c:pt idx="5">
                  <c:v>231.06989622680919</c:v>
                </c:pt>
                <c:pt idx="6">
                  <c:v>275.54235189189535</c:v>
                </c:pt>
                <c:pt idx="7">
                  <c:v>182.26401668678102</c:v>
                </c:pt>
                <c:pt idx="8">
                  <c:v>311.18939847454493</c:v>
                </c:pt>
                <c:pt idx="9">
                  <c:v>411.42780637291366</c:v>
                </c:pt>
                <c:pt idx="10">
                  <c:v>304.03487649357368</c:v>
                </c:pt>
                <c:pt idx="11">
                  <c:v>317.09570694777</c:v>
                </c:pt>
                <c:pt idx="12">
                  <c:v>327.34612160523466</c:v>
                </c:pt>
                <c:pt idx="13">
                  <c:v>153.53718977810803</c:v>
                </c:pt>
                <c:pt idx="14">
                  <c:v>153.0775156866124</c:v>
                </c:pt>
                <c:pt idx="15">
                  <c:v>113.46895193832368</c:v>
                </c:pt>
                <c:pt idx="16">
                  <c:v>42.022490070585107</c:v>
                </c:pt>
                <c:pt idx="17">
                  <c:v>79.346641800982255</c:v>
                </c:pt>
                <c:pt idx="18">
                  <c:v>151.20435318716125</c:v>
                </c:pt>
                <c:pt idx="19">
                  <c:v>288.25719302748303</c:v>
                </c:pt>
                <c:pt idx="20">
                  <c:v>182.34293039621556</c:v>
                </c:pt>
                <c:pt idx="21">
                  <c:v>219.68748028796645</c:v>
                </c:pt>
                <c:pt idx="22">
                  <c:v>150.68528104227738</c:v>
                </c:pt>
                <c:pt idx="23">
                  <c:v>123.86893530613041</c:v>
                </c:pt>
                <c:pt idx="24">
                  <c:v>194.88455458396641</c:v>
                </c:pt>
                <c:pt idx="25">
                  <c:v>390.68113851002374</c:v>
                </c:pt>
                <c:pt idx="26">
                  <c:v>186.49116813395483</c:v>
                </c:pt>
                <c:pt idx="27">
                  <c:v>101.7067131420814</c:v>
                </c:pt>
                <c:pt idx="28">
                  <c:v>86.838381250571857</c:v>
                </c:pt>
                <c:pt idx="29">
                  <c:v>107.46577411039401</c:v>
                </c:pt>
                <c:pt idx="30">
                  <c:v>83.459057439565399</c:v>
                </c:pt>
                <c:pt idx="31">
                  <c:v>126.15571703231365</c:v>
                </c:pt>
                <c:pt idx="32">
                  <c:v>220.71115269126324</c:v>
                </c:pt>
                <c:pt idx="33">
                  <c:v>125.11912326926328</c:v>
                </c:pt>
                <c:pt idx="34">
                  <c:v>87.494340645212219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27-44E2-81DD-7B3FB960B227}"/>
            </c:ext>
          </c:extLst>
        </c:ser>
        <c:ser>
          <c:idx val="1"/>
          <c:order val="1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'Tab&amp;Fig4.6.1b'!$C$3:$AK$3</c:f>
              <c:numCache>
                <c:formatCode>General</c:formatCod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</c:numCache>
            </c:numRef>
          </c:cat>
          <c:val>
            <c:numRef>
              <c:f>'Tab&amp;Fig4.6.1b'!$C$17:$AJ$17</c:f>
              <c:numCache>
                <c:formatCode>0</c:formatCode>
                <c:ptCount val="34"/>
                <c:pt idx="0">
                  <c:v>194.88229804204926</c:v>
                </c:pt>
                <c:pt idx="1">
                  <c:v>194.88229804204926</c:v>
                </c:pt>
                <c:pt idx="2">
                  <c:v>194.88229804204926</c:v>
                </c:pt>
                <c:pt idx="3">
                  <c:v>194.88229804204926</c:v>
                </c:pt>
                <c:pt idx="4">
                  <c:v>194.88229804204926</c:v>
                </c:pt>
                <c:pt idx="5">
                  <c:v>194.88229804204926</c:v>
                </c:pt>
                <c:pt idx="6">
                  <c:v>194.88229804204926</c:v>
                </c:pt>
                <c:pt idx="7">
                  <c:v>194.88229804204926</c:v>
                </c:pt>
                <c:pt idx="8">
                  <c:v>194.88229804204926</c:v>
                </c:pt>
                <c:pt idx="9">
                  <c:v>194.88229804204926</c:v>
                </c:pt>
                <c:pt idx="10">
                  <c:v>194.88229804204926</c:v>
                </c:pt>
                <c:pt idx="11">
                  <c:v>194.88229804204926</c:v>
                </c:pt>
                <c:pt idx="12">
                  <c:v>194.88229804204926</c:v>
                </c:pt>
                <c:pt idx="13">
                  <c:v>194.88229804204926</c:v>
                </c:pt>
                <c:pt idx="14">
                  <c:v>194.88229804204926</c:v>
                </c:pt>
                <c:pt idx="15">
                  <c:v>194.88229804204926</c:v>
                </c:pt>
                <c:pt idx="16">
                  <c:v>194.88229804204926</c:v>
                </c:pt>
                <c:pt idx="17">
                  <c:v>194.88229804204926</c:v>
                </c:pt>
                <c:pt idx="18">
                  <c:v>194.88229804204926</c:v>
                </c:pt>
                <c:pt idx="19">
                  <c:v>194.88229804204926</c:v>
                </c:pt>
                <c:pt idx="20">
                  <c:v>194.88229804204926</c:v>
                </c:pt>
                <c:pt idx="21">
                  <c:v>194.88229804204926</c:v>
                </c:pt>
                <c:pt idx="22">
                  <c:v>194.88229804204926</c:v>
                </c:pt>
                <c:pt idx="23">
                  <c:v>194.88229804204926</c:v>
                </c:pt>
                <c:pt idx="24">
                  <c:v>194.88229804204926</c:v>
                </c:pt>
                <c:pt idx="25">
                  <c:v>194.88229804204926</c:v>
                </c:pt>
                <c:pt idx="26">
                  <c:v>194.88229804204926</c:v>
                </c:pt>
                <c:pt idx="27">
                  <c:v>194.88229804204926</c:v>
                </c:pt>
                <c:pt idx="28">
                  <c:v>194.88229804204926</c:v>
                </c:pt>
                <c:pt idx="29">
                  <c:v>194.88229804204926</c:v>
                </c:pt>
                <c:pt idx="30">
                  <c:v>194.88229804204926</c:v>
                </c:pt>
                <c:pt idx="31">
                  <c:v>194.88229804204926</c:v>
                </c:pt>
                <c:pt idx="32">
                  <c:v>194.88229804204926</c:v>
                </c:pt>
                <c:pt idx="33">
                  <c:v>194.88229804204926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0F-4A78-85F6-82B6E580B6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70384144"/>
        <c:axId val="1170387888"/>
      </c:lineChart>
      <c:catAx>
        <c:axId val="117038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0387888"/>
        <c:crosses val="autoZero"/>
        <c:auto val="1"/>
        <c:lblAlgn val="ctr"/>
        <c:lblOffset val="100"/>
        <c:noMultiLvlLbl val="0"/>
      </c:catAx>
      <c:valAx>
        <c:axId val="117038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038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031408072976567"/>
          <c:y val="7.6809896024844684E-2"/>
          <c:w val="0.70479782513280065"/>
          <c:h val="0.690142924301924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'Tab&amp;Fig4.6.2b'!$Q$21</c:f>
              <c:strCache>
                <c:ptCount val="1"/>
                <c:pt idx="0">
                  <c:v>Age 2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2688734809091097"/>
                  <c:y val="-0.19637180545408317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lang="pt-PT" sz="900" b="1"/>
                  </a:pPr>
                  <a:endParaRPr lang="fr-FR"/>
                </a:p>
              </c:txPr>
            </c:trendlineLbl>
          </c:trendline>
          <c:xVal>
            <c:numRef>
              <c:f>'Tab&amp;Fig4.6.2b'!$P$22:$P$56</c:f>
              <c:numCache>
                <c:formatCode>0.0</c:formatCode>
                <c:ptCount val="35"/>
                <c:pt idx="0">
                  <c:v>3.6375861597263901</c:v>
                </c:pt>
                <c:pt idx="1">
                  <c:v>9.4475446069387274</c:v>
                </c:pt>
                <c:pt idx="2">
                  <c:v>10.908777683972865</c:v>
                </c:pt>
                <c:pt idx="3">
                  <c:v>10.696457443375463</c:v>
                </c:pt>
                <c:pt idx="4">
                  <c:v>10.939993914463859</c:v>
                </c:pt>
                <c:pt idx="5">
                  <c:v>8.0146663704649423</c:v>
                </c:pt>
                <c:pt idx="6">
                  <c:v>9.5106671619610417</c:v>
                </c:pt>
                <c:pt idx="7">
                  <c:v>7.8208408799073439</c:v>
                </c:pt>
                <c:pt idx="8">
                  <c:v>8.1931237215120678</c:v>
                </c:pt>
                <c:pt idx="9">
                  <c:v>6.9800759405617629</c:v>
                </c:pt>
                <c:pt idx="10">
                  <c:v>9.3649480902026223</c:v>
                </c:pt>
                <c:pt idx="11">
                  <c:v>8.5095641642517457</c:v>
                </c:pt>
                <c:pt idx="12">
                  <c:v>4.4659081186545837</c:v>
                </c:pt>
                <c:pt idx="13">
                  <c:v>9.1948634947334913</c:v>
                </c:pt>
                <c:pt idx="14">
                  <c:v>11.070387223439823</c:v>
                </c:pt>
                <c:pt idx="15">
                  <c:v>9.8880853992732156</c:v>
                </c:pt>
                <c:pt idx="16">
                  <c:v>12.754348709907308</c:v>
                </c:pt>
                <c:pt idx="17">
                  <c:v>14.292777433980104</c:v>
                </c:pt>
                <c:pt idx="18">
                  <c:v>12.764230629279</c:v>
                </c:pt>
                <c:pt idx="19">
                  <c:v>12.495253311183092</c:v>
                </c:pt>
                <c:pt idx="20">
                  <c:v>10.818670323111197</c:v>
                </c:pt>
                <c:pt idx="21">
                  <c:v>12.637635336969037</c:v>
                </c:pt>
                <c:pt idx="22">
                  <c:v>10.991109935153634</c:v>
                </c:pt>
                <c:pt idx="23">
                  <c:v>11.4</c:v>
                </c:pt>
                <c:pt idx="24">
                  <c:v>10.024194609716245</c:v>
                </c:pt>
                <c:pt idx="25">
                  <c:v>8.6041067866993863</c:v>
                </c:pt>
                <c:pt idx="26">
                  <c:v>11.147872205620613</c:v>
                </c:pt>
                <c:pt idx="27">
                  <c:v>11.11378467668783</c:v>
                </c:pt>
                <c:pt idx="28">
                  <c:v>11.190037435221862</c:v>
                </c:pt>
                <c:pt idx="29">
                  <c:v>9.7363174372167336</c:v>
                </c:pt>
                <c:pt idx="30">
                  <c:v>10.405435745551472</c:v>
                </c:pt>
                <c:pt idx="31">
                  <c:v>11.350291478392354</c:v>
                </c:pt>
                <c:pt idx="32">
                  <c:v>10.988000502749836</c:v>
                </c:pt>
                <c:pt idx="33">
                  <c:v>10.635005480604031</c:v>
                </c:pt>
                <c:pt idx="34" formatCode="0.00">
                  <c:v>12.165170694042589</c:v>
                </c:pt>
              </c:numCache>
            </c:numRef>
          </c:xVal>
          <c:yVal>
            <c:numRef>
              <c:f>'Tab&amp;Fig4.6.2b'!$Q$22:$Q$55</c:f>
              <c:numCache>
                <c:formatCode>0.0</c:formatCode>
                <c:ptCount val="34"/>
                <c:pt idx="0">
                  <c:v>10.900399286377899</c:v>
                </c:pt>
                <c:pt idx="1">
                  <c:v>12.423568277331782</c:v>
                </c:pt>
                <c:pt idx="2">
                  <c:v>12.149401759887862</c:v>
                </c:pt>
                <c:pt idx="3">
                  <c:v>11.756161797560312</c:v>
                </c:pt>
                <c:pt idx="4">
                  <c:v>9.2999982439067175</c:v>
                </c:pt>
                <c:pt idx="5">
                  <c:v>8.6951719987760558</c:v>
                </c:pt>
                <c:pt idx="6">
                  <c:v>10.279317855514602</c:v>
                </c:pt>
                <c:pt idx="7">
                  <c:v>8.3368696372849556</c:v>
                </c:pt>
                <c:pt idx="8">
                  <c:v>9.3934949150740294</c:v>
                </c:pt>
                <c:pt idx="9">
                  <c:v>10.553805517120653</c:v>
                </c:pt>
                <c:pt idx="10">
                  <c:v>11.992309956021716</c:v>
                </c:pt>
                <c:pt idx="11">
                  <c:v>9.1997848580366668</c:v>
                </c:pt>
                <c:pt idx="12">
                  <c:v>9.3817948285723993</c:v>
                </c:pt>
                <c:pt idx="13">
                  <c:v>13.11346749468203</c:v>
                </c:pt>
                <c:pt idx="14">
                  <c:v>12.057298922858873</c:v>
                </c:pt>
                <c:pt idx="15">
                  <c:v>12.810746550860262</c:v>
                </c:pt>
                <c:pt idx="16">
                  <c:v>14.341634815811322</c:v>
                </c:pt>
                <c:pt idx="17">
                  <c:v>12.822001178617612</c:v>
                </c:pt>
                <c:pt idx="18">
                  <c:v>12.865494859533923</c:v>
                </c:pt>
                <c:pt idx="19">
                  <c:v>11.576459566290314</c:v>
                </c:pt>
                <c:pt idx="20">
                  <c:v>12.820375177271599</c:v>
                </c:pt>
                <c:pt idx="21">
                  <c:v>10.962469317072355</c:v>
                </c:pt>
                <c:pt idx="22">
                  <c:v>12.01</c:v>
                </c:pt>
                <c:pt idx="23">
                  <c:v>10.891921884034952</c:v>
                </c:pt>
                <c:pt idx="24">
                  <c:v>9.2277792440913338</c:v>
                </c:pt>
                <c:pt idx="25">
                  <c:v>10.895222906366454</c:v>
                </c:pt>
                <c:pt idx="26">
                  <c:v>11.257201175439096</c:v>
                </c:pt>
                <c:pt idx="27">
                  <c:v>11.381220166363669</c:v>
                </c:pt>
                <c:pt idx="28">
                  <c:v>12.424401447259498</c:v>
                </c:pt>
                <c:pt idx="29">
                  <c:v>12.03061409051565</c:v>
                </c:pt>
                <c:pt idx="30">
                  <c:v>13.374988678420513</c:v>
                </c:pt>
                <c:pt idx="31">
                  <c:v>12.771271208624196</c:v>
                </c:pt>
                <c:pt idx="32">
                  <c:v>12.388236947416996</c:v>
                </c:pt>
                <c:pt idx="33" formatCode="0.00">
                  <c:v>12.797482466274369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2D-A747-B590-71F56A768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96928"/>
        <c:axId val="101198848"/>
      </c:scatterChart>
      <c:valAx>
        <c:axId val="101196928"/>
        <c:scaling>
          <c:orientation val="minMax"/>
          <c:max val="2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Age1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pt-PT"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1198848"/>
        <c:crosses val="autoZero"/>
        <c:crossBetween val="midCat"/>
        <c:majorUnit val="5"/>
      </c:valAx>
      <c:valAx>
        <c:axId val="10119884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Age2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lang="pt-PT" sz="900"/>
            </a:pPr>
            <a:endParaRPr lang="fr-FR"/>
          </a:p>
        </c:txPr>
        <c:crossAx val="1011969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1243" l="0.70000000000000062" r="0.70000000000000062" t="0.75000000000001243" header="0.30000000000000032" footer="0.30000000000000032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031408072976575"/>
          <c:y val="7.6809896024844684E-2"/>
          <c:w val="0.70479782513280065"/>
          <c:h val="0.690142924301924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'Tab&amp;Fig4.6.2b'!$R$21</c:f>
              <c:strCache>
                <c:ptCount val="1"/>
                <c:pt idx="0">
                  <c:v>Age 3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29584158784947417"/>
                  <c:y val="0.1779269231096518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lang="pt-PT" sz="900" b="1"/>
                  </a:pPr>
                  <a:endParaRPr lang="fr-FR"/>
                </a:p>
              </c:txPr>
            </c:trendlineLbl>
          </c:trendline>
          <c:trendline>
            <c:trendlineType val="power"/>
            <c:dispRSqr val="0"/>
            <c:dispEq val="0"/>
          </c:trendline>
          <c:xVal>
            <c:numRef>
              <c:f>'Tab&amp;Fig4.6.2b'!$Q$22:$Q$53</c:f>
              <c:numCache>
                <c:formatCode>0.0</c:formatCode>
                <c:ptCount val="32"/>
                <c:pt idx="0">
                  <c:v>10.900399286377899</c:v>
                </c:pt>
                <c:pt idx="1">
                  <c:v>12.423568277331782</c:v>
                </c:pt>
                <c:pt idx="2">
                  <c:v>12.149401759887862</c:v>
                </c:pt>
                <c:pt idx="3">
                  <c:v>11.756161797560312</c:v>
                </c:pt>
                <c:pt idx="4">
                  <c:v>9.2999982439067175</c:v>
                </c:pt>
                <c:pt idx="5">
                  <c:v>8.6951719987760558</c:v>
                </c:pt>
                <c:pt idx="6">
                  <c:v>10.279317855514602</c:v>
                </c:pt>
                <c:pt idx="7">
                  <c:v>8.3368696372849556</c:v>
                </c:pt>
                <c:pt idx="8">
                  <c:v>9.3934949150740294</c:v>
                </c:pt>
                <c:pt idx="9">
                  <c:v>10.553805517120653</c:v>
                </c:pt>
                <c:pt idx="10">
                  <c:v>11.992309956021716</c:v>
                </c:pt>
                <c:pt idx="11">
                  <c:v>9.1997848580366668</c:v>
                </c:pt>
                <c:pt idx="12">
                  <c:v>9.3817948285723993</c:v>
                </c:pt>
                <c:pt idx="13">
                  <c:v>13.11346749468203</c:v>
                </c:pt>
                <c:pt idx="14">
                  <c:v>12.057298922858873</c:v>
                </c:pt>
                <c:pt idx="15">
                  <c:v>12.810746550860262</c:v>
                </c:pt>
                <c:pt idx="16">
                  <c:v>14.341634815811322</c:v>
                </c:pt>
                <c:pt idx="17">
                  <c:v>12.822001178617612</c:v>
                </c:pt>
                <c:pt idx="18">
                  <c:v>12.865494859533923</c:v>
                </c:pt>
                <c:pt idx="19">
                  <c:v>11.576459566290314</c:v>
                </c:pt>
                <c:pt idx="20">
                  <c:v>12.820375177271599</c:v>
                </c:pt>
                <c:pt idx="21">
                  <c:v>10.962469317072355</c:v>
                </c:pt>
                <c:pt idx="22">
                  <c:v>12.01</c:v>
                </c:pt>
                <c:pt idx="23">
                  <c:v>10.891921884034952</c:v>
                </c:pt>
                <c:pt idx="24">
                  <c:v>9.2277792440913338</c:v>
                </c:pt>
                <c:pt idx="25">
                  <c:v>10.895222906366454</c:v>
                </c:pt>
                <c:pt idx="26">
                  <c:v>11.257201175439096</c:v>
                </c:pt>
                <c:pt idx="27">
                  <c:v>11.381220166363669</c:v>
                </c:pt>
                <c:pt idx="28">
                  <c:v>12.424401447259498</c:v>
                </c:pt>
                <c:pt idx="29">
                  <c:v>12.03061409051565</c:v>
                </c:pt>
                <c:pt idx="30">
                  <c:v>13.374988678420513</c:v>
                </c:pt>
                <c:pt idx="31">
                  <c:v>12.771271208624196</c:v>
                </c:pt>
              </c:numCache>
            </c:numRef>
          </c:xVal>
          <c:yVal>
            <c:numRef>
              <c:f>'Tab&amp;Fig4.6.2b'!$R$22:$R$54</c:f>
              <c:numCache>
                <c:formatCode>0.0</c:formatCode>
                <c:ptCount val="33"/>
                <c:pt idx="0">
                  <c:v>11.356704309854219</c:v>
                </c:pt>
                <c:pt idx="1">
                  <c:v>11.476479299198095</c:v>
                </c:pt>
                <c:pt idx="2">
                  <c:v>11.081373022098745</c:v>
                </c:pt>
                <c:pt idx="3">
                  <c:v>11.459609072868284</c:v>
                </c:pt>
                <c:pt idx="4">
                  <c:v>9.0042997285616355</c:v>
                </c:pt>
                <c:pt idx="5">
                  <c:v>10.368949634550589</c:v>
                </c:pt>
                <c:pt idx="6">
                  <c:v>10.116701972772454</c:v>
                </c:pt>
                <c:pt idx="7">
                  <c:v>9.9097677904932784</c:v>
                </c:pt>
                <c:pt idx="8">
                  <c:v>11.214640715600513</c:v>
                </c:pt>
                <c:pt idx="9">
                  <c:v>12.204205904252348</c:v>
                </c:pt>
                <c:pt idx="10">
                  <c:v>11.820792444581107</c:v>
                </c:pt>
                <c:pt idx="11">
                  <c:v>10.399768879840142</c:v>
                </c:pt>
                <c:pt idx="12">
                  <c:v>12.413830881881257</c:v>
                </c:pt>
                <c:pt idx="13">
                  <c:v>12.100535752039665</c:v>
                </c:pt>
                <c:pt idx="14">
                  <c:v>12.919684246243763</c:v>
                </c:pt>
                <c:pt idx="15">
                  <c:v>13.777458589416124</c:v>
                </c:pt>
                <c:pt idx="16">
                  <c:v>12.853935659648437</c:v>
                </c:pt>
                <c:pt idx="17">
                  <c:v>12.209971910909022</c:v>
                </c:pt>
                <c:pt idx="18">
                  <c:v>12.066955973242225</c:v>
                </c:pt>
                <c:pt idx="19">
                  <c:v>12.338039348460489</c:v>
                </c:pt>
                <c:pt idx="20">
                  <c:v>10.968630714948608</c:v>
                </c:pt>
                <c:pt idx="21">
                  <c:v>12.03</c:v>
                </c:pt>
                <c:pt idx="22">
                  <c:v>11.498439087796498</c:v>
                </c:pt>
                <c:pt idx="23">
                  <c:v>11.564676079120643</c:v>
                </c:pt>
                <c:pt idx="24">
                  <c:v>10.268327638837167</c:v>
                </c:pt>
                <c:pt idx="25">
                  <c:v>12.17921046230526</c:v>
                </c:pt>
                <c:pt idx="26">
                  <c:v>11.674812774442511</c:v>
                </c:pt>
                <c:pt idx="27">
                  <c:v>12.657802871302328</c:v>
                </c:pt>
                <c:pt idx="28">
                  <c:v>11.479979348914409</c:v>
                </c:pt>
                <c:pt idx="29">
                  <c:v>12.239969831540158</c:v>
                </c:pt>
                <c:pt idx="30">
                  <c:v>12.65758261191076</c:v>
                </c:pt>
                <c:pt idx="31">
                  <c:v>13.580518866156938</c:v>
                </c:pt>
                <c:pt idx="32" formatCode="0.00">
                  <c:v>13.586148683373299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2E-5048-8E97-01041E096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41216"/>
        <c:axId val="101243136"/>
      </c:scatterChart>
      <c:valAx>
        <c:axId val="101241216"/>
        <c:scaling>
          <c:orientation val="minMax"/>
          <c:max val="2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Age2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pt-PT"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1243136"/>
        <c:crosses val="autoZero"/>
        <c:crossBetween val="midCat"/>
        <c:majorUnit val="5"/>
      </c:valAx>
      <c:valAx>
        <c:axId val="10124313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Age3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lang="pt-PT" sz="900"/>
            </a:pPr>
            <a:endParaRPr lang="fr-FR"/>
          </a:p>
        </c:txPr>
        <c:crossAx val="1012412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1266" l="0.70000000000000062" r="0.70000000000000062" t="0.75000000000001266" header="0.30000000000000032" footer="0.30000000000000032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031408072976575"/>
          <c:y val="7.6809896024844684E-2"/>
          <c:w val="0.70479782513280065"/>
          <c:h val="0.690142924301924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'Tab&amp;Fig4.6.2b'!$S$21</c:f>
              <c:strCache>
                <c:ptCount val="1"/>
                <c:pt idx="0">
                  <c:v>Age 4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2086913216856588"/>
                  <c:y val="0.16248831467530941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lang="pt-PT" sz="900" b="1"/>
                  </a:pPr>
                  <a:endParaRPr lang="fr-FR"/>
                </a:p>
              </c:txPr>
            </c:trendlineLbl>
          </c:trendline>
          <c:xVal>
            <c:numRef>
              <c:f>'Tab&amp;Fig4.6.2b'!$R$22:$R$54</c:f>
              <c:numCache>
                <c:formatCode>0.0</c:formatCode>
                <c:ptCount val="33"/>
                <c:pt idx="0">
                  <c:v>11.356704309854219</c:v>
                </c:pt>
                <c:pt idx="1">
                  <c:v>11.476479299198095</c:v>
                </c:pt>
                <c:pt idx="2">
                  <c:v>11.081373022098745</c:v>
                </c:pt>
                <c:pt idx="3">
                  <c:v>11.459609072868284</c:v>
                </c:pt>
                <c:pt idx="4">
                  <c:v>9.0042997285616355</c:v>
                </c:pt>
                <c:pt idx="5">
                  <c:v>10.368949634550589</c:v>
                </c:pt>
                <c:pt idx="6">
                  <c:v>10.116701972772454</c:v>
                </c:pt>
                <c:pt idx="7">
                  <c:v>9.9097677904932784</c:v>
                </c:pt>
                <c:pt idx="8">
                  <c:v>11.214640715600513</c:v>
                </c:pt>
                <c:pt idx="9">
                  <c:v>12.204205904252348</c:v>
                </c:pt>
                <c:pt idx="10">
                  <c:v>11.820792444581107</c:v>
                </c:pt>
                <c:pt idx="11">
                  <c:v>10.399768879840142</c:v>
                </c:pt>
                <c:pt idx="12">
                  <c:v>12.413830881881257</c:v>
                </c:pt>
                <c:pt idx="13">
                  <c:v>12.100535752039665</c:v>
                </c:pt>
                <c:pt idx="14">
                  <c:v>12.919684246243763</c:v>
                </c:pt>
                <c:pt idx="15">
                  <c:v>13.777458589416124</c:v>
                </c:pt>
                <c:pt idx="16">
                  <c:v>12.853935659648437</c:v>
                </c:pt>
                <c:pt idx="17">
                  <c:v>12.209971910909022</c:v>
                </c:pt>
                <c:pt idx="18">
                  <c:v>12.066955973242225</c:v>
                </c:pt>
                <c:pt idx="19">
                  <c:v>12.338039348460489</c:v>
                </c:pt>
                <c:pt idx="20">
                  <c:v>10.968630714948608</c:v>
                </c:pt>
                <c:pt idx="21">
                  <c:v>12.03</c:v>
                </c:pt>
                <c:pt idx="22">
                  <c:v>11.498439087796498</c:v>
                </c:pt>
                <c:pt idx="23">
                  <c:v>11.564676079120643</c:v>
                </c:pt>
                <c:pt idx="24">
                  <c:v>10.268327638837167</c:v>
                </c:pt>
                <c:pt idx="25">
                  <c:v>12.17921046230526</c:v>
                </c:pt>
                <c:pt idx="26">
                  <c:v>11.674812774442511</c:v>
                </c:pt>
                <c:pt idx="27">
                  <c:v>12.657802871302328</c:v>
                </c:pt>
                <c:pt idx="28">
                  <c:v>11.479979348914409</c:v>
                </c:pt>
                <c:pt idx="29">
                  <c:v>12.239969831540158</c:v>
                </c:pt>
                <c:pt idx="30">
                  <c:v>12.65758261191076</c:v>
                </c:pt>
                <c:pt idx="31">
                  <c:v>13.580518866156938</c:v>
                </c:pt>
                <c:pt idx="32" formatCode="0.00">
                  <c:v>13.586148683373299</c:v>
                </c:pt>
              </c:numCache>
            </c:numRef>
          </c:xVal>
          <c:yVal>
            <c:numRef>
              <c:f>'Tab&amp;Fig4.6.2b'!$S$22:$S$53</c:f>
              <c:numCache>
                <c:formatCode>0.0</c:formatCode>
                <c:ptCount val="32"/>
                <c:pt idx="0">
                  <c:v>10.607154208886223</c:v>
                </c:pt>
                <c:pt idx="1">
                  <c:v>10.209537399846088</c:v>
                </c:pt>
                <c:pt idx="2">
                  <c:v>11.618392974903964</c:v>
                </c:pt>
                <c:pt idx="3">
                  <c:v>9.5823865705389029</c:v>
                </c:pt>
                <c:pt idx="4">
                  <c:v>9.8786311765372616</c:v>
                </c:pt>
                <c:pt idx="5">
                  <c:v>10.108670778473344</c:v>
                </c:pt>
                <c:pt idx="6">
                  <c:v>9.8767841697015779</c:v>
                </c:pt>
                <c:pt idx="7">
                  <c:v>11.174932071977077</c:v>
                </c:pt>
                <c:pt idx="8">
                  <c:v>11.98212251902163</c:v>
                </c:pt>
                <c:pt idx="9">
                  <c:v>11.782494481995082</c:v>
                </c:pt>
                <c:pt idx="10">
                  <c:v>10.963038360477105</c:v>
                </c:pt>
                <c:pt idx="11">
                  <c:v>12.359553105812111</c:v>
                </c:pt>
                <c:pt idx="12">
                  <c:v>11.726126512313446</c:v>
                </c:pt>
                <c:pt idx="13">
                  <c:v>12.55659640879121</c:v>
                </c:pt>
                <c:pt idx="14">
                  <c:v>12.515248477073989</c:v>
                </c:pt>
                <c:pt idx="15">
                  <c:v>12.512949954943066</c:v>
                </c:pt>
                <c:pt idx="16">
                  <c:v>12.104890348513521</c:v>
                </c:pt>
                <c:pt idx="17">
                  <c:v>12.20636467873161</c:v>
                </c:pt>
                <c:pt idx="18">
                  <c:v>11.744174696552491</c:v>
                </c:pt>
                <c:pt idx="19">
                  <c:v>11.760068440275623</c:v>
                </c:pt>
                <c:pt idx="20">
                  <c:v>11.53</c:v>
                </c:pt>
                <c:pt idx="21">
                  <c:v>11.794649237358415</c:v>
                </c:pt>
                <c:pt idx="22">
                  <c:v>12.064087578280082</c:v>
                </c:pt>
                <c:pt idx="23">
                  <c:v>11.524414802354094</c:v>
                </c:pt>
                <c:pt idx="24">
                  <c:v>12.241794459543684</c:v>
                </c:pt>
                <c:pt idx="25">
                  <c:v>12.0477426974038</c:v>
                </c:pt>
                <c:pt idx="26">
                  <c:v>11.431359747664752</c:v>
                </c:pt>
                <c:pt idx="27">
                  <c:v>12.286272068895322</c:v>
                </c:pt>
                <c:pt idx="28">
                  <c:v>11.546274529536321</c:v>
                </c:pt>
                <c:pt idx="29">
                  <c:v>11.769387578722672</c:v>
                </c:pt>
                <c:pt idx="30">
                  <c:v>13.802257842167114</c:v>
                </c:pt>
                <c:pt idx="31" formatCode="0.00">
                  <c:v>13.376695831445158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99-024D-B47F-A9C675626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32928"/>
        <c:axId val="101155584"/>
      </c:scatterChart>
      <c:valAx>
        <c:axId val="101132928"/>
        <c:scaling>
          <c:orientation val="minMax"/>
          <c:max val="2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Age3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pt-PT"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1155584"/>
        <c:crosses val="autoZero"/>
        <c:crossBetween val="midCat"/>
        <c:majorUnit val="5"/>
      </c:valAx>
      <c:valAx>
        <c:axId val="10115558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Age4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lang="pt-PT" sz="900"/>
            </a:pPr>
            <a:endParaRPr lang="fr-FR"/>
          </a:p>
        </c:txPr>
        <c:crossAx val="1011329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1266" l="0.70000000000000062" r="0.70000000000000062" t="0.75000000000001266" header="0.30000000000000032" footer="0.30000000000000032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031408072976581"/>
          <c:y val="7.6809896024844684E-2"/>
          <c:w val="0.70479782513280065"/>
          <c:h val="0.690142924301924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'Tab&amp;Fig4.6.2b'!$T$21</c:f>
              <c:strCache>
                <c:ptCount val="1"/>
                <c:pt idx="0">
                  <c:v>Age 5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7418456051262328"/>
                  <c:y val="0.3477516158874223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lang="pt-PT" sz="900" b="1"/>
                  </a:pPr>
                  <a:endParaRPr lang="fr-FR"/>
                </a:p>
              </c:txPr>
            </c:trendlineLbl>
          </c:trendline>
          <c:xVal>
            <c:numRef>
              <c:f>'Tab&amp;Fig4.6.2b'!$S$22:$S$53</c:f>
              <c:numCache>
                <c:formatCode>0.0</c:formatCode>
                <c:ptCount val="32"/>
                <c:pt idx="0">
                  <c:v>10.607154208886223</c:v>
                </c:pt>
                <c:pt idx="1">
                  <c:v>10.209537399846088</c:v>
                </c:pt>
                <c:pt idx="2">
                  <c:v>11.618392974903964</c:v>
                </c:pt>
                <c:pt idx="3">
                  <c:v>9.5823865705389029</c:v>
                </c:pt>
                <c:pt idx="4">
                  <c:v>9.8786311765372616</c:v>
                </c:pt>
                <c:pt idx="5">
                  <c:v>10.108670778473344</c:v>
                </c:pt>
                <c:pt idx="6">
                  <c:v>9.8767841697015779</c:v>
                </c:pt>
                <c:pt idx="7">
                  <c:v>11.174932071977077</c:v>
                </c:pt>
                <c:pt idx="8">
                  <c:v>11.98212251902163</c:v>
                </c:pt>
                <c:pt idx="9">
                  <c:v>11.782494481995082</c:v>
                </c:pt>
                <c:pt idx="10">
                  <c:v>10.963038360477105</c:v>
                </c:pt>
                <c:pt idx="11">
                  <c:v>12.359553105812111</c:v>
                </c:pt>
                <c:pt idx="12">
                  <c:v>11.726126512313446</c:v>
                </c:pt>
                <c:pt idx="13">
                  <c:v>12.55659640879121</c:v>
                </c:pt>
                <c:pt idx="14">
                  <c:v>12.515248477073989</c:v>
                </c:pt>
                <c:pt idx="15">
                  <c:v>12.512949954943066</c:v>
                </c:pt>
                <c:pt idx="16">
                  <c:v>12.104890348513521</c:v>
                </c:pt>
                <c:pt idx="17">
                  <c:v>12.20636467873161</c:v>
                </c:pt>
                <c:pt idx="18">
                  <c:v>11.744174696552491</c:v>
                </c:pt>
                <c:pt idx="19">
                  <c:v>11.760068440275623</c:v>
                </c:pt>
                <c:pt idx="20">
                  <c:v>11.53</c:v>
                </c:pt>
                <c:pt idx="21">
                  <c:v>11.794649237358415</c:v>
                </c:pt>
                <c:pt idx="22">
                  <c:v>12.064087578280082</c:v>
                </c:pt>
                <c:pt idx="23">
                  <c:v>11.524414802354094</c:v>
                </c:pt>
                <c:pt idx="24">
                  <c:v>12.241794459543684</c:v>
                </c:pt>
                <c:pt idx="25">
                  <c:v>12.0477426974038</c:v>
                </c:pt>
                <c:pt idx="26">
                  <c:v>11.431359747664752</c:v>
                </c:pt>
                <c:pt idx="27">
                  <c:v>12.286272068895322</c:v>
                </c:pt>
                <c:pt idx="28">
                  <c:v>11.546274529536321</c:v>
                </c:pt>
                <c:pt idx="29">
                  <c:v>11.769387578722672</c:v>
                </c:pt>
                <c:pt idx="30">
                  <c:v>13.802257842167114</c:v>
                </c:pt>
                <c:pt idx="31" formatCode="0.00">
                  <c:v>13.376695831445158</c:v>
                </c:pt>
              </c:numCache>
            </c:numRef>
          </c:xVal>
          <c:yVal>
            <c:numRef>
              <c:f>'Tab&amp;Fig4.6.2b'!$T$22:$T$52</c:f>
              <c:numCache>
                <c:formatCode>0.0</c:formatCode>
                <c:ptCount val="31"/>
                <c:pt idx="0">
                  <c:v>10.16504379833675</c:v>
                </c:pt>
                <c:pt idx="1">
                  <c:v>10.94353455583153</c:v>
                </c:pt>
                <c:pt idx="2">
                  <c:v>10.400984746090787</c:v>
                </c:pt>
                <c:pt idx="3">
                  <c:v>10.84554349229631</c:v>
                </c:pt>
                <c:pt idx="4">
                  <c:v>8.2459092647740935</c:v>
                </c:pt>
                <c:pt idx="5">
                  <c:v>10.181725166159909</c:v>
                </c:pt>
                <c:pt idx="6">
                  <c:v>11.537813180478008</c:v>
                </c:pt>
                <c:pt idx="7">
                  <c:v>11.551049423061338</c:v>
                </c:pt>
                <c:pt idx="8">
                  <c:v>11.28212769471916</c:v>
                </c:pt>
                <c:pt idx="9">
                  <c:v>10.824429939392726</c:v>
                </c:pt>
                <c:pt idx="10">
                  <c:v>11.458080655799314</c:v>
                </c:pt>
                <c:pt idx="11">
                  <c:v>11.449106323344044</c:v>
                </c:pt>
                <c:pt idx="12">
                  <c:v>11.889236185633084</c:v>
                </c:pt>
                <c:pt idx="13">
                  <c:v>12.542968854648182</c:v>
                </c:pt>
                <c:pt idx="14">
                  <c:v>12.370710229633678</c:v>
                </c:pt>
                <c:pt idx="15">
                  <c:v>11.869700426375379</c:v>
                </c:pt>
                <c:pt idx="16">
                  <c:v>12.522378292012259</c:v>
                </c:pt>
                <c:pt idx="17">
                  <c:v>11.965897915407428</c:v>
                </c:pt>
                <c:pt idx="18">
                  <c:v>12.120146735098563</c:v>
                </c:pt>
                <c:pt idx="19">
                  <c:v>10.98</c:v>
                </c:pt>
                <c:pt idx="20">
                  <c:v>11.976151673299944</c:v>
                </c:pt>
                <c:pt idx="21">
                  <c:v>11.651344192459701</c:v>
                </c:pt>
                <c:pt idx="22">
                  <c:v>11.804959152997005</c:v>
                </c:pt>
                <c:pt idx="23">
                  <c:v>11.566396412075418</c:v>
                </c:pt>
                <c:pt idx="24">
                  <c:v>11.964238211251171</c:v>
                </c:pt>
                <c:pt idx="25">
                  <c:v>11.508072688478187</c:v>
                </c:pt>
                <c:pt idx="26">
                  <c:v>12.03328081007068</c:v>
                </c:pt>
                <c:pt idx="27">
                  <c:v>11.60513034459718</c:v>
                </c:pt>
                <c:pt idx="28">
                  <c:v>11.317880928658214</c:v>
                </c:pt>
                <c:pt idx="29">
                  <c:v>13.198419144645655</c:v>
                </c:pt>
                <c:pt idx="30" formatCode="0.00">
                  <c:v>12.746645172896166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77-AC4A-846A-0F88C5ED9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54272"/>
        <c:axId val="101256192"/>
      </c:scatterChart>
      <c:valAx>
        <c:axId val="101254272"/>
        <c:scaling>
          <c:orientation val="minMax"/>
          <c:max val="2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Age4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pt-PT"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1256192"/>
        <c:crosses val="autoZero"/>
        <c:crossBetween val="midCat"/>
        <c:majorUnit val="5"/>
      </c:valAx>
      <c:valAx>
        <c:axId val="10125619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Age5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lang="pt-PT" sz="900"/>
            </a:pPr>
            <a:endParaRPr lang="fr-FR"/>
          </a:p>
        </c:txPr>
        <c:crossAx val="1012542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1288" l="0.70000000000000062" r="0.70000000000000062" t="0.75000000000001288" header="0.30000000000000032" footer="0.30000000000000032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031408072976586"/>
          <c:y val="7.6809896024844684E-2"/>
          <c:w val="0.70479782513280065"/>
          <c:h val="0.690142924301924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'Tab&amp;Fig4.6.2b'!$U$21</c:f>
              <c:strCache>
                <c:ptCount val="1"/>
                <c:pt idx="0">
                  <c:v>Age 6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5.5600826795567375E-2"/>
                  <c:y val="0.40950604962479331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lang="pt-PT" sz="900" b="1"/>
                  </a:pPr>
                  <a:endParaRPr lang="fr-FR"/>
                </a:p>
              </c:txPr>
            </c:trendlineLbl>
          </c:trendline>
          <c:xVal>
            <c:numRef>
              <c:f>'Tab&amp;Fig4.6.2b'!$T$22:$T$52</c:f>
              <c:numCache>
                <c:formatCode>0.0</c:formatCode>
                <c:ptCount val="31"/>
                <c:pt idx="0">
                  <c:v>10.16504379833675</c:v>
                </c:pt>
                <c:pt idx="1">
                  <c:v>10.94353455583153</c:v>
                </c:pt>
                <c:pt idx="2">
                  <c:v>10.400984746090787</c:v>
                </c:pt>
                <c:pt idx="3">
                  <c:v>10.84554349229631</c:v>
                </c:pt>
                <c:pt idx="4">
                  <c:v>8.2459092647740935</c:v>
                </c:pt>
                <c:pt idx="5">
                  <c:v>10.181725166159909</c:v>
                </c:pt>
                <c:pt idx="6">
                  <c:v>11.537813180478008</c:v>
                </c:pt>
                <c:pt idx="7">
                  <c:v>11.551049423061338</c:v>
                </c:pt>
                <c:pt idx="8">
                  <c:v>11.28212769471916</c:v>
                </c:pt>
                <c:pt idx="9">
                  <c:v>10.824429939392726</c:v>
                </c:pt>
                <c:pt idx="10">
                  <c:v>11.458080655799314</c:v>
                </c:pt>
                <c:pt idx="11">
                  <c:v>11.449106323344044</c:v>
                </c:pt>
                <c:pt idx="12">
                  <c:v>11.889236185633084</c:v>
                </c:pt>
                <c:pt idx="13">
                  <c:v>12.542968854648182</c:v>
                </c:pt>
                <c:pt idx="14">
                  <c:v>12.370710229633678</c:v>
                </c:pt>
                <c:pt idx="15">
                  <c:v>11.869700426375379</c:v>
                </c:pt>
                <c:pt idx="16">
                  <c:v>12.522378292012259</c:v>
                </c:pt>
                <c:pt idx="17">
                  <c:v>11.965897915407428</c:v>
                </c:pt>
                <c:pt idx="18">
                  <c:v>12.120146735098563</c:v>
                </c:pt>
                <c:pt idx="19">
                  <c:v>10.98</c:v>
                </c:pt>
                <c:pt idx="20">
                  <c:v>11.976151673299944</c:v>
                </c:pt>
                <c:pt idx="21">
                  <c:v>11.651344192459701</c:v>
                </c:pt>
                <c:pt idx="22">
                  <c:v>11.804959152997005</c:v>
                </c:pt>
                <c:pt idx="23">
                  <c:v>11.566396412075418</c:v>
                </c:pt>
                <c:pt idx="24">
                  <c:v>11.964238211251171</c:v>
                </c:pt>
                <c:pt idx="25">
                  <c:v>11.508072688478187</c:v>
                </c:pt>
                <c:pt idx="26">
                  <c:v>12.03328081007068</c:v>
                </c:pt>
                <c:pt idx="27">
                  <c:v>11.60513034459718</c:v>
                </c:pt>
                <c:pt idx="28">
                  <c:v>11.317880928658214</c:v>
                </c:pt>
                <c:pt idx="29">
                  <c:v>13.198419144645655</c:v>
                </c:pt>
                <c:pt idx="30" formatCode="0.00">
                  <c:v>12.746645172896166</c:v>
                </c:pt>
              </c:numCache>
            </c:numRef>
          </c:xVal>
          <c:yVal>
            <c:numRef>
              <c:f>'Tab&amp;Fig4.6.2b'!$U$22:$U$51</c:f>
              <c:numCache>
                <c:formatCode>0.0</c:formatCode>
                <c:ptCount val="30"/>
                <c:pt idx="0">
                  <c:v>10.085892439191387</c:v>
                </c:pt>
                <c:pt idx="1">
                  <c:v>11.638297409653047</c:v>
                </c:pt>
                <c:pt idx="2">
                  <c:v>10.632098397371642</c:v>
                </c:pt>
                <c:pt idx="3">
                  <c:v>7.4860526178631401</c:v>
                </c:pt>
                <c:pt idx="4">
                  <c:v>11.068402430458301</c:v>
                </c:pt>
                <c:pt idx="5">
                  <c:v>11.588904542656538</c:v>
                </c:pt>
                <c:pt idx="6">
                  <c:v>11.193353608982997</c:v>
                </c:pt>
                <c:pt idx="7">
                  <c:v>10.928883778872979</c:v>
                </c:pt>
                <c:pt idx="8">
                  <c:v>10.444233344587676</c:v>
                </c:pt>
                <c:pt idx="9">
                  <c:v>10.134543334956103</c:v>
                </c:pt>
                <c:pt idx="10">
                  <c:v>11.190716808528354</c:v>
                </c:pt>
                <c:pt idx="11">
                  <c:v>10.481715536364575</c:v>
                </c:pt>
                <c:pt idx="12">
                  <c:v>11.944118712484881</c:v>
                </c:pt>
                <c:pt idx="13">
                  <c:v>11.758530975746824</c:v>
                </c:pt>
                <c:pt idx="14">
                  <c:v>11.448114729792772</c:v>
                </c:pt>
                <c:pt idx="15">
                  <c:v>12.093026129184004</c:v>
                </c:pt>
                <c:pt idx="16">
                  <c:v>11.311615331537757</c:v>
                </c:pt>
                <c:pt idx="17">
                  <c:v>11.869965897456778</c:v>
                </c:pt>
                <c:pt idx="18">
                  <c:v>10.55</c:v>
                </c:pt>
                <c:pt idx="19">
                  <c:v>11.63261763842738</c:v>
                </c:pt>
                <c:pt idx="20">
                  <c:v>11.456106295009141</c:v>
                </c:pt>
                <c:pt idx="21">
                  <c:v>11.779352737041222</c:v>
                </c:pt>
                <c:pt idx="22">
                  <c:v>11.066956735670015</c:v>
                </c:pt>
                <c:pt idx="23">
                  <c:v>11.44636786851204</c:v>
                </c:pt>
                <c:pt idx="24">
                  <c:v>11.623418290227615</c:v>
                </c:pt>
                <c:pt idx="25">
                  <c:v>11.49985175828968</c:v>
                </c:pt>
                <c:pt idx="26">
                  <c:v>11.214665802585829</c:v>
                </c:pt>
                <c:pt idx="27">
                  <c:v>10.131305816392048</c:v>
                </c:pt>
                <c:pt idx="28">
                  <c:v>12.152344367912541</c:v>
                </c:pt>
                <c:pt idx="29" formatCode="0.00">
                  <c:v>11.674181289796788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DB-5A4B-91DE-474FC8CD2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06368"/>
        <c:axId val="101308288"/>
      </c:scatterChart>
      <c:valAx>
        <c:axId val="101306368"/>
        <c:scaling>
          <c:orientation val="minMax"/>
          <c:max val="2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Age 5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pt-PT"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1308288"/>
        <c:crosses val="autoZero"/>
        <c:crossBetween val="midCat"/>
        <c:majorUnit val="5"/>
      </c:valAx>
      <c:valAx>
        <c:axId val="10130828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Age6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lang="pt-PT" sz="900"/>
            </a:pPr>
            <a:endParaRPr lang="fr-FR"/>
          </a:p>
        </c:txPr>
        <c:crossAx val="1013063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131" l="0.70000000000000062" r="0.70000000000000062" t="0.7500000000000131" header="0.30000000000000032" footer="0.30000000000000032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492177764530905"/>
          <c:y val="9.9968028708518064E-2"/>
          <c:w val="0.70479782513280065"/>
          <c:h val="0.690142924301924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'Tab&amp;Fig4.6.2b'!$V$21</c:f>
              <c:strCache>
                <c:ptCount val="1"/>
                <c:pt idx="0">
                  <c:v>Age 7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5.5600826795567375E-2"/>
                  <c:y val="0.40950604962479331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lang="pt-PT" sz="900" b="1"/>
                  </a:pPr>
                  <a:endParaRPr lang="fr-FR"/>
                </a:p>
              </c:txPr>
            </c:trendlineLbl>
          </c:trendline>
          <c:xVal>
            <c:numRef>
              <c:f>'Tab&amp;Fig4.6.2b'!$U$22:$U$51</c:f>
              <c:numCache>
                <c:formatCode>0.0</c:formatCode>
                <c:ptCount val="30"/>
                <c:pt idx="0">
                  <c:v>10.085892439191387</c:v>
                </c:pt>
                <c:pt idx="1">
                  <c:v>11.638297409653047</c:v>
                </c:pt>
                <c:pt idx="2">
                  <c:v>10.632098397371642</c:v>
                </c:pt>
                <c:pt idx="3">
                  <c:v>7.4860526178631401</c:v>
                </c:pt>
                <c:pt idx="4">
                  <c:v>11.068402430458301</c:v>
                </c:pt>
                <c:pt idx="5">
                  <c:v>11.588904542656538</c:v>
                </c:pt>
                <c:pt idx="6">
                  <c:v>11.193353608982997</c:v>
                </c:pt>
                <c:pt idx="7">
                  <c:v>10.928883778872979</c:v>
                </c:pt>
                <c:pt idx="8">
                  <c:v>10.444233344587676</c:v>
                </c:pt>
                <c:pt idx="9">
                  <c:v>10.134543334956103</c:v>
                </c:pt>
                <c:pt idx="10">
                  <c:v>11.190716808528354</c:v>
                </c:pt>
                <c:pt idx="11">
                  <c:v>10.481715536364575</c:v>
                </c:pt>
                <c:pt idx="12">
                  <c:v>11.944118712484881</c:v>
                </c:pt>
                <c:pt idx="13">
                  <c:v>11.758530975746824</c:v>
                </c:pt>
                <c:pt idx="14">
                  <c:v>11.448114729792772</c:v>
                </c:pt>
                <c:pt idx="15">
                  <c:v>12.093026129184004</c:v>
                </c:pt>
                <c:pt idx="16">
                  <c:v>11.311615331537757</c:v>
                </c:pt>
                <c:pt idx="17">
                  <c:v>11.869965897456778</c:v>
                </c:pt>
                <c:pt idx="18">
                  <c:v>10.55</c:v>
                </c:pt>
                <c:pt idx="19">
                  <c:v>11.63261763842738</c:v>
                </c:pt>
                <c:pt idx="20">
                  <c:v>11.456106295009141</c:v>
                </c:pt>
                <c:pt idx="21">
                  <c:v>11.779352737041222</c:v>
                </c:pt>
                <c:pt idx="22">
                  <c:v>11.066956735670015</c:v>
                </c:pt>
                <c:pt idx="23">
                  <c:v>11.44636786851204</c:v>
                </c:pt>
                <c:pt idx="24">
                  <c:v>11.623418290227615</c:v>
                </c:pt>
                <c:pt idx="25">
                  <c:v>11.49985175828968</c:v>
                </c:pt>
                <c:pt idx="26">
                  <c:v>11.214665802585829</c:v>
                </c:pt>
                <c:pt idx="27">
                  <c:v>10.131305816392048</c:v>
                </c:pt>
                <c:pt idx="28">
                  <c:v>12.152344367912541</c:v>
                </c:pt>
                <c:pt idx="29" formatCode="0.00">
                  <c:v>11.674181289796788</c:v>
                </c:pt>
              </c:numCache>
            </c:numRef>
          </c:xVal>
          <c:yVal>
            <c:numRef>
              <c:f>'Tab&amp;Fig4.6.2b'!$V$22:$V$50</c:f>
              <c:numCache>
                <c:formatCode>0.0</c:formatCode>
                <c:ptCount val="29"/>
                <c:pt idx="0">
                  <c:v>11.097137256538989</c:v>
                </c:pt>
                <c:pt idx="1">
                  <c:v>10.234265033343494</c:v>
                </c:pt>
                <c:pt idx="2">
                  <c:v>7.3317149697264661</c:v>
                </c:pt>
                <c:pt idx="3">
                  <c:v>10.646376824990888</c:v>
                </c:pt>
                <c:pt idx="4">
                  <c:v>10.927017035079881</c:v>
                </c:pt>
                <c:pt idx="5">
                  <c:v>10.935639474503969</c:v>
                </c:pt>
                <c:pt idx="6">
                  <c:v>10.435467830374515</c:v>
                </c:pt>
                <c:pt idx="7">
                  <c:v>10.266385206262227</c:v>
                </c:pt>
                <c:pt idx="8">
                  <c:v>8.6265067640757582</c:v>
                </c:pt>
                <c:pt idx="9">
                  <c:v>10.404126504608596</c:v>
                </c:pt>
                <c:pt idx="10">
                  <c:v>8.3204796275739881</c:v>
                </c:pt>
                <c:pt idx="11">
                  <c:v>10.430543502392288</c:v>
                </c:pt>
                <c:pt idx="12">
                  <c:v>10.910580284129249</c:v>
                </c:pt>
                <c:pt idx="13">
                  <c:v>10.332530058526403</c:v>
                </c:pt>
                <c:pt idx="14">
                  <c:v>11.584908569228064</c:v>
                </c:pt>
                <c:pt idx="15">
                  <c:v>10.785235819902413</c:v>
                </c:pt>
                <c:pt idx="16">
                  <c:v>11.415792631736037</c:v>
                </c:pt>
                <c:pt idx="17">
                  <c:v>9.77</c:v>
                </c:pt>
                <c:pt idx="18">
                  <c:v>11.231728707962771</c:v>
                </c:pt>
                <c:pt idx="19">
                  <c:v>11.155060591811223</c:v>
                </c:pt>
                <c:pt idx="20">
                  <c:v>11.2669467535232</c:v>
                </c:pt>
                <c:pt idx="21">
                  <c:v>10.299899104917616</c:v>
                </c:pt>
                <c:pt idx="22">
                  <c:v>10.545945918687901</c:v>
                </c:pt>
                <c:pt idx="23">
                  <c:v>11.52978425882932</c:v>
                </c:pt>
                <c:pt idx="24">
                  <c:v>10.213365768930633</c:v>
                </c:pt>
                <c:pt idx="25">
                  <c:v>10.169922487936065</c:v>
                </c:pt>
                <c:pt idx="26">
                  <c:v>9.4527824406700152</c:v>
                </c:pt>
                <c:pt idx="27">
                  <c:v>10.362859868178109</c:v>
                </c:pt>
                <c:pt idx="28" formatCode="0.00">
                  <c:v>10.198727151036731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B0-6849-8A6D-725907E6B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33632"/>
        <c:axId val="101344000"/>
      </c:scatterChart>
      <c:valAx>
        <c:axId val="101333632"/>
        <c:scaling>
          <c:orientation val="minMax"/>
          <c:max val="2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Age 6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pt-PT"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1344000"/>
        <c:crosses val="autoZero"/>
        <c:crossBetween val="midCat"/>
        <c:majorUnit val="5"/>
      </c:valAx>
      <c:valAx>
        <c:axId val="10134400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Age7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lang="pt-PT" sz="900"/>
            </a:pPr>
            <a:endParaRPr lang="fr-FR"/>
          </a:p>
        </c:txPr>
        <c:crossAx val="1013336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1332" l="0.70000000000000062" r="0.70000000000000062" t="0.75000000000001332" header="0.30000000000000032" footer="0.30000000000000032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031408072976592"/>
          <c:y val="7.6809896024844684E-2"/>
          <c:w val="0.70479782513280065"/>
          <c:h val="0.690142924301924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'Tab&amp;Fig4.6.2b'!$W$21</c:f>
              <c:strCache>
                <c:ptCount val="1"/>
                <c:pt idx="0">
                  <c:v>Age 8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5.5600826795567375E-2"/>
                  <c:y val="0.40950604962479331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lang="pt-PT" sz="900" b="1"/>
                  </a:pPr>
                  <a:endParaRPr lang="fr-FR"/>
                </a:p>
              </c:txPr>
            </c:trendlineLbl>
          </c:trendline>
          <c:xVal>
            <c:numRef>
              <c:f>'Tab&amp;Fig4.6.2b'!$V$22:$V$50</c:f>
              <c:numCache>
                <c:formatCode>0.0</c:formatCode>
                <c:ptCount val="29"/>
                <c:pt idx="0">
                  <c:v>11.097137256538989</c:v>
                </c:pt>
                <c:pt idx="1">
                  <c:v>10.234265033343494</c:v>
                </c:pt>
                <c:pt idx="2">
                  <c:v>7.3317149697264661</c:v>
                </c:pt>
                <c:pt idx="3">
                  <c:v>10.646376824990888</c:v>
                </c:pt>
                <c:pt idx="4">
                  <c:v>10.927017035079881</c:v>
                </c:pt>
                <c:pt idx="5">
                  <c:v>10.935639474503969</c:v>
                </c:pt>
                <c:pt idx="6">
                  <c:v>10.435467830374515</c:v>
                </c:pt>
                <c:pt idx="7">
                  <c:v>10.266385206262227</c:v>
                </c:pt>
                <c:pt idx="8">
                  <c:v>8.6265067640757582</c:v>
                </c:pt>
                <c:pt idx="9">
                  <c:v>10.404126504608596</c:v>
                </c:pt>
                <c:pt idx="10">
                  <c:v>8.3204796275739881</c:v>
                </c:pt>
                <c:pt idx="11">
                  <c:v>10.430543502392288</c:v>
                </c:pt>
                <c:pt idx="12">
                  <c:v>10.910580284129249</c:v>
                </c:pt>
                <c:pt idx="13">
                  <c:v>10.332530058526403</c:v>
                </c:pt>
                <c:pt idx="14">
                  <c:v>11.584908569228064</c:v>
                </c:pt>
                <c:pt idx="15">
                  <c:v>10.785235819902413</c:v>
                </c:pt>
                <c:pt idx="16">
                  <c:v>11.415792631736037</c:v>
                </c:pt>
                <c:pt idx="17">
                  <c:v>9.77</c:v>
                </c:pt>
                <c:pt idx="18">
                  <c:v>11.231728707962771</c:v>
                </c:pt>
                <c:pt idx="19">
                  <c:v>11.155060591811223</c:v>
                </c:pt>
                <c:pt idx="20">
                  <c:v>11.2669467535232</c:v>
                </c:pt>
                <c:pt idx="21">
                  <c:v>10.299899104917616</c:v>
                </c:pt>
                <c:pt idx="22">
                  <c:v>10.545945918687901</c:v>
                </c:pt>
                <c:pt idx="23">
                  <c:v>11.52978425882932</c:v>
                </c:pt>
                <c:pt idx="24">
                  <c:v>10.213365768930633</c:v>
                </c:pt>
                <c:pt idx="25">
                  <c:v>10.169922487936065</c:v>
                </c:pt>
                <c:pt idx="26">
                  <c:v>9.4527824406700152</c:v>
                </c:pt>
                <c:pt idx="27">
                  <c:v>10.362859868178109</c:v>
                </c:pt>
                <c:pt idx="28" formatCode="0.00">
                  <c:v>10.198727151036731</c:v>
                </c:pt>
              </c:numCache>
            </c:numRef>
          </c:xVal>
          <c:yVal>
            <c:numRef>
              <c:f>'Tab&amp;Fig4.6.2b'!$W$22:$W$49</c:f>
              <c:numCache>
                <c:formatCode>0.0</c:formatCode>
                <c:ptCount val="28"/>
                <c:pt idx="0">
                  <c:v>9.3524473886010124</c:v>
                </c:pt>
                <c:pt idx="1">
                  <c:v>7.4781696941597851</c:v>
                </c:pt>
                <c:pt idx="2">
                  <c:v>10.184673571244208</c:v>
                </c:pt>
                <c:pt idx="3">
                  <c:v>10.991460106099893</c:v>
                </c:pt>
                <c:pt idx="4">
                  <c:v>10.779414518220722</c:v>
                </c:pt>
                <c:pt idx="5">
                  <c:v>10.586028687308849</c:v>
                </c:pt>
                <c:pt idx="6">
                  <c:v>10.762161137399543</c:v>
                </c:pt>
                <c:pt idx="7">
                  <c:v>9.4528050208638472</c:v>
                </c:pt>
                <c:pt idx="8">
                  <c:v>10.428930069158346</c:v>
                </c:pt>
                <c:pt idx="9">
                  <c:v>5.7985310236559426</c:v>
                </c:pt>
                <c:pt idx="10">
                  <c:v>8.6300434365380774</c:v>
                </c:pt>
                <c:pt idx="11">
                  <c:v>9.4296180066419417</c:v>
                </c:pt>
                <c:pt idx="12">
                  <c:v>8.9284252304769147</c:v>
                </c:pt>
                <c:pt idx="13">
                  <c:v>11.025366870813068</c:v>
                </c:pt>
                <c:pt idx="14">
                  <c:v>9.5295688768054365</c:v>
                </c:pt>
                <c:pt idx="15">
                  <c:v>10.356231976579581</c:v>
                </c:pt>
                <c:pt idx="16">
                  <c:v>8.84</c:v>
                </c:pt>
                <c:pt idx="17">
                  <c:v>10.041210327308237</c:v>
                </c:pt>
                <c:pt idx="18">
                  <c:v>10.485190848252632</c:v>
                </c:pt>
                <c:pt idx="19">
                  <c:v>11.000733752664638</c:v>
                </c:pt>
                <c:pt idx="20">
                  <c:v>10.113455043349003</c:v>
                </c:pt>
                <c:pt idx="21">
                  <c:v>8.9721682829825333</c:v>
                </c:pt>
                <c:pt idx="22">
                  <c:v>10.598084100989453</c:v>
                </c:pt>
                <c:pt idx="23">
                  <c:v>9.0439973787783448</c:v>
                </c:pt>
                <c:pt idx="24">
                  <c:v>8.8810745315131889</c:v>
                </c:pt>
                <c:pt idx="25">
                  <c:v>8.3994102250124225</c:v>
                </c:pt>
                <c:pt idx="26">
                  <c:v>9.0370440614370384</c:v>
                </c:pt>
                <c:pt idx="27" formatCode="0.00">
                  <c:v>8.2944310016342637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DE-8648-A042-513579CDD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77152"/>
        <c:axId val="101379072"/>
      </c:scatterChart>
      <c:valAx>
        <c:axId val="101377152"/>
        <c:scaling>
          <c:orientation val="minMax"/>
          <c:max val="2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en-US"/>
                  <a:t>Age7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pt-PT"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1379072"/>
        <c:crosses val="autoZero"/>
        <c:crossBetween val="midCat"/>
        <c:majorUnit val="5"/>
      </c:valAx>
      <c:valAx>
        <c:axId val="10137907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pt-PT"/>
                </a:pPr>
                <a:r>
                  <a:rPr lang="en-US"/>
                  <a:t>Age8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lang="pt-PT" sz="900"/>
            </a:pPr>
            <a:endParaRPr lang="fr-FR"/>
          </a:p>
        </c:txPr>
        <c:crossAx val="1013771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1332" l="0.70000000000000062" r="0.70000000000000062" t="0.75000000000001332" header="0.30000000000000032" footer="0.30000000000000032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cap="none" baseline="0">
                <a:effectLst/>
              </a:rPr>
              <a:t>mean weight (g)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'Tab&amp;Fig4.6.2b'!$C$3:$AL$3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'Tab&amp;Fig4.6.2b'!$C$17:$AL$17</c:f>
              <c:numCache>
                <c:formatCode>0</c:formatCode>
                <c:ptCount val="36"/>
                <c:pt idx="0">
                  <c:v>366.62381937070364</c:v>
                </c:pt>
                <c:pt idx="1">
                  <c:v>306.02876293516181</c:v>
                </c:pt>
                <c:pt idx="2">
                  <c:v>234.38399328826324</c:v>
                </c:pt>
                <c:pt idx="3">
                  <c:v>241.833975775955</c:v>
                </c:pt>
                <c:pt idx="4">
                  <c:v>227.75680169051725</c:v>
                </c:pt>
                <c:pt idx="5">
                  <c:v>380.3316498737405</c:v>
                </c:pt>
                <c:pt idx="6">
                  <c:v>341.2104028526137</c:v>
                </c:pt>
                <c:pt idx="7">
                  <c:v>338.15906312035963</c:v>
                </c:pt>
                <c:pt idx="8">
                  <c:v>268</c:v>
                </c:pt>
                <c:pt idx="9">
                  <c:v>397.38461465805892</c:v>
                </c:pt>
                <c:pt idx="10">
                  <c:v>329.977368834255</c:v>
                </c:pt>
                <c:pt idx="11">
                  <c:v>260.3844222818642</c:v>
                </c:pt>
                <c:pt idx="12">
                  <c:v>346.55338526655578</c:v>
                </c:pt>
                <c:pt idx="13">
                  <c:v>368.85733825210491</c:v>
                </c:pt>
                <c:pt idx="14">
                  <c:v>151.99381459095935</c:v>
                </c:pt>
                <c:pt idx="15">
                  <c:v>261.08888862613924</c:v>
                </c:pt>
                <c:pt idx="16">
                  <c:v>308.28432359306407</c:v>
                </c:pt>
                <c:pt idx="17">
                  <c:v>277</c:v>
                </c:pt>
                <c:pt idx="18">
                  <c:v>277</c:v>
                </c:pt>
                <c:pt idx="19">
                  <c:v>251.72117466770936</c:v>
                </c:pt>
                <c:pt idx="20">
                  <c:v>303.94437439762271</c:v>
                </c:pt>
                <c:pt idx="21">
                  <c:v>188.86995402864602</c:v>
                </c:pt>
                <c:pt idx="22">
                  <c:v>227.62606642101576</c:v>
                </c:pt>
                <c:pt idx="23">
                  <c:v>215.78120332739377</c:v>
                </c:pt>
                <c:pt idx="24">
                  <c:v>344.60112848813873</c:v>
                </c:pt>
                <c:pt idx="25">
                  <c:v>306.08020719563279</c:v>
                </c:pt>
                <c:pt idx="26">
                  <c:v>385.47514203363971</c:v>
                </c:pt>
                <c:pt idx="27">
                  <c:v>352.71936426350578</c:v>
                </c:pt>
                <c:pt idx="28">
                  <c:v>210.71149900385868</c:v>
                </c:pt>
                <c:pt idx="29">
                  <c:v>315.21056160985637</c:v>
                </c:pt>
                <c:pt idx="30">
                  <c:v>207.42024547257193</c:v>
                </c:pt>
                <c:pt idx="31">
                  <c:v>189.92806550961043</c:v>
                </c:pt>
                <c:pt idx="32">
                  <c:v>133.07628923214389</c:v>
                </c:pt>
                <c:pt idx="33">
                  <c:v>139.22673476548803</c:v>
                </c:pt>
                <c:pt idx="34">
                  <c:v>111.89127200310485</c:v>
                </c:pt>
                <c:pt idx="35">
                  <c:v>143.782176506349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08-4DC1-840D-AE4109037372}"/>
            </c:ext>
          </c:extLst>
        </c:ser>
        <c:ser>
          <c:idx val="1"/>
          <c:order val="1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'Tab&amp;Fig4.6.2b'!$C$3:$AL$3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'Tab&amp;Fig4.6.2b'!$C$18:$AL$18</c:f>
              <c:numCache>
                <c:formatCode>0</c:formatCode>
                <c:ptCount val="36"/>
                <c:pt idx="0">
                  <c:v>269.74772455379457</c:v>
                </c:pt>
                <c:pt idx="1">
                  <c:v>269.74772455379457</c:v>
                </c:pt>
                <c:pt idx="2">
                  <c:v>269.74772455379457</c:v>
                </c:pt>
                <c:pt idx="3">
                  <c:v>269.74772455379457</c:v>
                </c:pt>
                <c:pt idx="4">
                  <c:v>269.74772455379457</c:v>
                </c:pt>
                <c:pt idx="5">
                  <c:v>269.74772455379457</c:v>
                </c:pt>
                <c:pt idx="6">
                  <c:v>269.74772455379457</c:v>
                </c:pt>
                <c:pt idx="7">
                  <c:v>269.74772455379457</c:v>
                </c:pt>
                <c:pt idx="8">
                  <c:v>269.74772455379457</c:v>
                </c:pt>
                <c:pt idx="9">
                  <c:v>269.74772455379457</c:v>
                </c:pt>
                <c:pt idx="10">
                  <c:v>269.74772455379457</c:v>
                </c:pt>
                <c:pt idx="11">
                  <c:v>269.74772455379457</c:v>
                </c:pt>
                <c:pt idx="12">
                  <c:v>269.74772455379457</c:v>
                </c:pt>
                <c:pt idx="13">
                  <c:v>269.74772455379457</c:v>
                </c:pt>
                <c:pt idx="14">
                  <c:v>269.74772455379457</c:v>
                </c:pt>
                <c:pt idx="15">
                  <c:v>269.74772455379457</c:v>
                </c:pt>
                <c:pt idx="16">
                  <c:v>269.74772455379457</c:v>
                </c:pt>
                <c:pt idx="17">
                  <c:v>269.74772455379457</c:v>
                </c:pt>
                <c:pt idx="18">
                  <c:v>269.74772455379457</c:v>
                </c:pt>
                <c:pt idx="19">
                  <c:v>269.74772455379457</c:v>
                </c:pt>
                <c:pt idx="20">
                  <c:v>269.74772455379457</c:v>
                </c:pt>
                <c:pt idx="21">
                  <c:v>269.74772455379457</c:v>
                </c:pt>
                <c:pt idx="22">
                  <c:v>269.74772455379457</c:v>
                </c:pt>
                <c:pt idx="23">
                  <c:v>269.74772455379457</c:v>
                </c:pt>
                <c:pt idx="24">
                  <c:v>269.74772455379457</c:v>
                </c:pt>
                <c:pt idx="25">
                  <c:v>269.74772455379457</c:v>
                </c:pt>
                <c:pt idx="26">
                  <c:v>269.74772455379457</c:v>
                </c:pt>
                <c:pt idx="27">
                  <c:v>269.74772455379457</c:v>
                </c:pt>
                <c:pt idx="28">
                  <c:v>269.74772455379457</c:v>
                </c:pt>
                <c:pt idx="29">
                  <c:v>269.74772455379457</c:v>
                </c:pt>
                <c:pt idx="30">
                  <c:v>269.74772455379457</c:v>
                </c:pt>
                <c:pt idx="31">
                  <c:v>269.74772455379457</c:v>
                </c:pt>
                <c:pt idx="32">
                  <c:v>269.74772455379457</c:v>
                </c:pt>
                <c:pt idx="33">
                  <c:v>269.74772455379457</c:v>
                </c:pt>
                <c:pt idx="34">
                  <c:v>269.74772455379457</c:v>
                </c:pt>
                <c:pt idx="35">
                  <c:v>269.74772455379457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08-4DC1-840D-AE4109037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601705392"/>
        <c:axId val="601700816"/>
      </c:lineChart>
      <c:catAx>
        <c:axId val="60170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1700816"/>
        <c:crosses val="autoZero"/>
        <c:auto val="1"/>
        <c:lblAlgn val="ctr"/>
        <c:lblOffset val="100"/>
        <c:noMultiLvlLbl val="0"/>
      </c:catAx>
      <c:valAx>
        <c:axId val="601700816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170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Pop de</a:t>
            </a:r>
            <a:r>
              <a:rPr lang="en-US" sz="1000" b="0" i="0" u="none" strike="noStrike" baseline="0">
                <a:effectLst/>
              </a:rPr>
              <a:t>Ttrecae</a:t>
            </a:r>
            <a:r>
              <a:rPr lang="en-US" sz="1000"/>
              <a:t> en ftion d'âges  2024/2025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invertIfNegative val="0"/>
          <c:val>
            <c:numRef>
              <c:f>'Tab&amp;Fig4.6.2b'!$AL$4:$AL$12</c:f>
              <c:numCache>
                <c:formatCode>0</c:formatCode>
                <c:ptCount val="9"/>
                <c:pt idx="0">
                  <c:v>191984.6488759956</c:v>
                </c:pt>
                <c:pt idx="1">
                  <c:v>361306.70186594629</c:v>
                </c:pt>
                <c:pt idx="2">
                  <c:v>795040.77638647577</c:v>
                </c:pt>
                <c:pt idx="3">
                  <c:v>644800.23294732627</c:v>
                </c:pt>
                <c:pt idx="4">
                  <c:v>343397.92087404843</c:v>
                </c:pt>
                <c:pt idx="5">
                  <c:v>117498.55208349769</c:v>
                </c:pt>
                <c:pt idx="6">
                  <c:v>26868.964166074849</c:v>
                </c:pt>
                <c:pt idx="7">
                  <c:v>4001.525737039161</c:v>
                </c:pt>
                <c:pt idx="8">
                  <c:v>524.82938170288992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50-48A2-87D4-673A532F5633}"/>
            </c:ext>
          </c:extLst>
        </c:ser>
        <c:ser>
          <c:idx val="0"/>
          <c:order val="1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'Tab&amp;Fig4.6.2b'!$B$4:$B$12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8+</c:v>
                </c:pt>
              </c:strCache>
            </c:strRef>
          </c:cat>
          <c:val>
            <c:numRef>
              <c:f>'Tab&amp;Fig4.6.2b'!$AK$4:$AK$12</c:f>
              <c:numCache>
                <c:formatCode>0</c:formatCode>
                <c:ptCount val="9"/>
                <c:pt idx="0">
                  <c:v>41564.656451683295</c:v>
                </c:pt>
                <c:pt idx="1">
                  <c:v>239962.26178962545</c:v>
                </c:pt>
                <c:pt idx="2">
                  <c:v>790577.41787095403</c:v>
                </c:pt>
                <c:pt idx="3">
                  <c:v>986834.71478378575</c:v>
                </c:pt>
                <c:pt idx="4">
                  <c:v>539511.37330067449</c:v>
                </c:pt>
                <c:pt idx="5">
                  <c:v>189537.91599799559</c:v>
                </c:pt>
                <c:pt idx="6">
                  <c:v>31661.599970393465</c:v>
                </c:pt>
                <c:pt idx="7">
                  <c:v>8408.8841382674182</c:v>
                </c:pt>
                <c:pt idx="8">
                  <c:v>5158.2404571261413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50-48A2-87D4-673A532F5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7417055"/>
        <c:axId val="1177415391"/>
      </c:barChart>
      <c:catAx>
        <c:axId val="1177417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âges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7415391"/>
        <c:crosses val="autoZero"/>
        <c:auto val="1"/>
        <c:lblAlgn val="ctr"/>
        <c:lblOffset val="100"/>
        <c:noMultiLvlLbl val="0"/>
      </c:catAx>
      <c:valAx>
        <c:axId val="11774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N*1000 individus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7417055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>
                <a:latin typeface="Times New Roman" pitchFamily="18" charset="0"/>
                <a:cs typeface="Times New Roman" pitchFamily="18" charset="0"/>
              </a:defRPr>
            </a:pPr>
            <a:r>
              <a:rPr lang="pt-PT" sz="1000">
                <a:latin typeface="Times New Roman" pitchFamily="18" charset="0"/>
                <a:cs typeface="Times New Roman" pitchFamily="18" charset="0"/>
              </a:rPr>
              <a:t>Observed and predicted Abundance Indices</a:t>
            </a:r>
          </a:p>
          <a:p>
            <a:pPr>
              <a:defRPr lang="pt-PT" sz="1000">
                <a:latin typeface="Times New Roman" pitchFamily="18" charset="0"/>
                <a:cs typeface="Times New Roman" pitchFamily="18" charset="0"/>
              </a:defRPr>
            </a:pPr>
            <a:r>
              <a:rPr lang="pt-PT" sz="1000" i="1">
                <a:latin typeface="Times New Roman" pitchFamily="18" charset="0"/>
                <a:cs typeface="Times New Roman" pitchFamily="18" charset="0"/>
              </a:rPr>
              <a:t>Trachurus trachurus</a:t>
            </a:r>
          </a:p>
        </c:rich>
      </c:tx>
      <c:layout>
        <c:manualLayout>
          <c:xMode val="edge"/>
          <c:yMode val="edge"/>
          <c:x val="0.25838922418962013"/>
          <c:y val="1.858713115406051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416107382550622"/>
          <c:y val="7.434944237918216E-2"/>
          <c:w val="0.75590604473933143"/>
          <c:h val="0.6468401486989110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'Tab&amp;Fig4.6.3'!$D$11</c:f>
              <c:strCache>
                <c:ptCount val="1"/>
                <c:pt idx="0">
                  <c:v>ObsAbIndex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'Tab&amp;Fig4.6.3'!$B$12:$B$42</c:f>
              <c:numCache>
                <c:formatCode>General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 formatCode="0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 formatCode="0">
                  <c:v>2018</c:v>
                </c:pt>
                <c:pt idx="24" formatCode="0">
                  <c:v>2019</c:v>
                </c:pt>
                <c:pt idx="25" formatCode="0">
                  <c:v>2020</c:v>
                </c:pt>
                <c:pt idx="26" formatCode="0">
                  <c:v>2021</c:v>
                </c:pt>
                <c:pt idx="27" formatCode="0">
                  <c:v>2022</c:v>
                </c:pt>
                <c:pt idx="28" formatCode="0">
                  <c:v>2023</c:v>
                </c:pt>
                <c:pt idx="29" formatCode="0">
                  <c:v>2024</c:v>
                </c:pt>
                <c:pt idx="30" formatCode="0">
                  <c:v>2025</c:v>
                </c:pt>
              </c:numCache>
            </c:numRef>
          </c:xVal>
          <c:yVal>
            <c:numRef>
              <c:f>'Tab&amp;Fig4.6.3'!$D$12:$D$42</c:f>
              <c:numCache>
                <c:formatCode>0</c:formatCode>
                <c:ptCount val="31"/>
                <c:pt idx="0">
                  <c:v>186000</c:v>
                </c:pt>
                <c:pt idx="1">
                  <c:v>167000</c:v>
                </c:pt>
                <c:pt idx="2">
                  <c:v>129000</c:v>
                </c:pt>
                <c:pt idx="3">
                  <c:v>69000</c:v>
                </c:pt>
                <c:pt idx="4">
                  <c:v>111000</c:v>
                </c:pt>
                <c:pt idx="5">
                  <c:v>141000</c:v>
                </c:pt>
                <c:pt idx="6">
                  <c:v>64000</c:v>
                </c:pt>
                <c:pt idx="7">
                  <c:v>99000</c:v>
                </c:pt>
                <c:pt idx="8">
                  <c:v>97000</c:v>
                </c:pt>
                <c:pt idx="9">
                  <c:v>132000</c:v>
                </c:pt>
                <c:pt idx="10">
                  <c:v>117000</c:v>
                </c:pt>
                <c:pt idx="11">
                  <c:v>199000</c:v>
                </c:pt>
                <c:pt idx="12">
                  <c:v>126000</c:v>
                </c:pt>
                <c:pt idx="13">
                  <c:v>161000</c:v>
                </c:pt>
                <c:pt idx="14">
                  <c:v>195000</c:v>
                </c:pt>
                <c:pt idx="15">
                  <c:v>204000</c:v>
                </c:pt>
                <c:pt idx="16">
                  <c:v>174000</c:v>
                </c:pt>
                <c:pt idx="17">
                  <c:v>159000</c:v>
                </c:pt>
                <c:pt idx="18">
                  <c:v>171000</c:v>
                </c:pt>
                <c:pt idx="19">
                  <c:v>161000</c:v>
                </c:pt>
                <c:pt idx="20">
                  <c:v>207000</c:v>
                </c:pt>
                <c:pt idx="21">
                  <c:v>217000</c:v>
                </c:pt>
                <c:pt idx="22">
                  <c:v>245000</c:v>
                </c:pt>
                <c:pt idx="23">
                  <c:v>183800</c:v>
                </c:pt>
                <c:pt idx="24">
                  <c:v>232000</c:v>
                </c:pt>
                <c:pt idx="25" formatCode="General">
                  <c:v>218000</c:v>
                </c:pt>
                <c:pt idx="26">
                  <c:v>187000</c:v>
                </c:pt>
                <c:pt idx="27">
                  <c:v>211000</c:v>
                </c:pt>
                <c:pt idx="28">
                  <c:v>311000</c:v>
                </c:pt>
                <c:pt idx="29">
                  <c:v>267000</c:v>
                </c:pt>
                <c:pt idx="30">
                  <c:v>260000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A3-F54A-823C-417347073CD2}"/>
            </c:ext>
          </c:extLst>
        </c:ser>
        <c:ser>
          <c:idx val="1"/>
          <c:order val="1"/>
          <c:tx>
            <c:strRef>
              <c:f>'Tab&amp;Fig4.6.3'!$E$11</c:f>
              <c:strCache>
                <c:ptCount val="1"/>
                <c:pt idx="0">
                  <c:v>PredAbIndex</c:v>
                </c:pt>
              </c:strCache>
            </c:strRef>
          </c:tx>
          <c:spPr>
            <a:ln w="2222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'Tab&amp;Fig4.6.3'!$B$12:$B$42</c:f>
              <c:numCache>
                <c:formatCode>General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 formatCode="0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 formatCode="0">
                  <c:v>2018</c:v>
                </c:pt>
                <c:pt idx="24" formatCode="0">
                  <c:v>2019</c:v>
                </c:pt>
                <c:pt idx="25" formatCode="0">
                  <c:v>2020</c:v>
                </c:pt>
                <c:pt idx="26" formatCode="0">
                  <c:v>2021</c:v>
                </c:pt>
                <c:pt idx="27" formatCode="0">
                  <c:v>2022</c:v>
                </c:pt>
                <c:pt idx="28" formatCode="0">
                  <c:v>2023</c:v>
                </c:pt>
                <c:pt idx="29" formatCode="0">
                  <c:v>2024</c:v>
                </c:pt>
                <c:pt idx="30" formatCode="0">
                  <c:v>2025</c:v>
                </c:pt>
              </c:numCache>
            </c:numRef>
          </c:xVal>
          <c:yVal>
            <c:numRef>
              <c:f>'Tab&amp;Fig4.6.3'!$E$12:$E$42</c:f>
              <c:numCache>
                <c:formatCode>General</c:formatCode>
                <c:ptCount val="31"/>
                <c:pt idx="0">
                  <c:v>112290.98901253975</c:v>
                </c:pt>
                <c:pt idx="1">
                  <c:v>121380.88854803873</c:v>
                </c:pt>
                <c:pt idx="2">
                  <c:v>139078.8106231826</c:v>
                </c:pt>
                <c:pt idx="3">
                  <c:v>130055.81140805311</c:v>
                </c:pt>
                <c:pt idx="4">
                  <c:v>111127.12094579895</c:v>
                </c:pt>
                <c:pt idx="5">
                  <c:v>109821.65178525735</c:v>
                </c:pt>
                <c:pt idx="6">
                  <c:v>96617.513408051731</c:v>
                </c:pt>
                <c:pt idx="7">
                  <c:v>90806.523159540404</c:v>
                </c:pt>
                <c:pt idx="8">
                  <c:v>99983.084814548216</c:v>
                </c:pt>
                <c:pt idx="9">
                  <c:v>112840.65151985713</c:v>
                </c:pt>
                <c:pt idx="10">
                  <c:v>110294.94389883551</c:v>
                </c:pt>
                <c:pt idx="11">
                  <c:v>130432.56901758055</c:v>
                </c:pt>
                <c:pt idx="12">
                  <c:v>169848.25316084977</c:v>
                </c:pt>
                <c:pt idx="13">
                  <c:v>157738.36243937767</c:v>
                </c:pt>
                <c:pt idx="14">
                  <c:v>181589.29287525703</c:v>
                </c:pt>
                <c:pt idx="15">
                  <c:v>208041.94130376133</c:v>
                </c:pt>
                <c:pt idx="16">
                  <c:v>201608.85850101334</c:v>
                </c:pt>
                <c:pt idx="17">
                  <c:v>210252.28766822699</c:v>
                </c:pt>
                <c:pt idx="18">
                  <c:v>212557.87133541392</c:v>
                </c:pt>
                <c:pt idx="19">
                  <c:v>185325.04327957422</c:v>
                </c:pt>
                <c:pt idx="20">
                  <c:v>194113.28027898259</c:v>
                </c:pt>
                <c:pt idx="21">
                  <c:v>219171.91907843747</c:v>
                </c:pt>
                <c:pt idx="22">
                  <c:v>213614.95428611335</c:v>
                </c:pt>
                <c:pt idx="23">
                  <c:v>224641.57482734628</c:v>
                </c:pt>
                <c:pt idx="24" formatCode="0.000">
                  <c:v>225085.50165594846</c:v>
                </c:pt>
                <c:pt idx="25">
                  <c:v>208105.86480051943</c:v>
                </c:pt>
                <c:pt idx="26">
                  <c:v>192250.31543317373</c:v>
                </c:pt>
                <c:pt idx="27">
                  <c:v>223225.81573049113</c:v>
                </c:pt>
                <c:pt idx="28">
                  <c:v>266767.93729628378</c:v>
                </c:pt>
                <c:pt idx="29">
                  <c:v>261879.78818693009</c:v>
                </c:pt>
                <c:pt idx="30">
                  <c:v>240872.21583119026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A3-F54A-823C-417347073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0224"/>
        <c:axId val="3222144"/>
      </c:scatterChart>
      <c:scatterChart>
        <c:scatterStyle val="lineMarker"/>
        <c:varyColors val="0"/>
        <c:ser>
          <c:idx val="2"/>
          <c:order val="2"/>
          <c:tx>
            <c:strRef>
              <c:f>'Tab&amp;Fig4.6.3'!$C$11</c:f>
              <c:strCache>
                <c:ptCount val="1"/>
                <c:pt idx="0">
                  <c:v>ObsCatch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'Tab&amp;Fig4.6.3'!$B$12:$B$42</c:f>
              <c:numCache>
                <c:formatCode>General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 formatCode="0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 formatCode="0">
                  <c:v>2018</c:v>
                </c:pt>
                <c:pt idx="24" formatCode="0">
                  <c:v>2019</c:v>
                </c:pt>
                <c:pt idx="25" formatCode="0">
                  <c:v>2020</c:v>
                </c:pt>
                <c:pt idx="26" formatCode="0">
                  <c:v>2021</c:v>
                </c:pt>
                <c:pt idx="27" formatCode="0">
                  <c:v>2022</c:v>
                </c:pt>
                <c:pt idx="28" formatCode="0">
                  <c:v>2023</c:v>
                </c:pt>
                <c:pt idx="29" formatCode="0">
                  <c:v>2024</c:v>
                </c:pt>
                <c:pt idx="30" formatCode="0">
                  <c:v>2025</c:v>
                </c:pt>
              </c:numCache>
            </c:numRef>
          </c:xVal>
          <c:yVal>
            <c:numRef>
              <c:f>'Tab&amp;Fig4.6.3'!$C$12:$C$42</c:f>
              <c:numCache>
                <c:formatCode>0</c:formatCode>
                <c:ptCount val="31"/>
                <c:pt idx="0">
                  <c:v>71596</c:v>
                </c:pt>
                <c:pt idx="1">
                  <c:v>47766</c:v>
                </c:pt>
                <c:pt idx="2">
                  <c:v>50498</c:v>
                </c:pt>
                <c:pt idx="3">
                  <c:v>85010</c:v>
                </c:pt>
                <c:pt idx="4">
                  <c:v>83157</c:v>
                </c:pt>
                <c:pt idx="5">
                  <c:v>68180</c:v>
                </c:pt>
                <c:pt idx="6">
                  <c:v>69949</c:v>
                </c:pt>
                <c:pt idx="7">
                  <c:v>41362</c:v>
                </c:pt>
                <c:pt idx="8">
                  <c:v>64056.992969353691</c:v>
                </c:pt>
                <c:pt idx="9">
                  <c:v>169350.40674216379</c:v>
                </c:pt>
                <c:pt idx="10">
                  <c:v>120810.37973799999</c:v>
                </c:pt>
                <c:pt idx="11">
                  <c:v>92390.844504144276</c:v>
                </c:pt>
                <c:pt idx="12">
                  <c:v>100000</c:v>
                </c:pt>
                <c:pt idx="13">
                  <c:v>105000</c:v>
                </c:pt>
                <c:pt idx="14" formatCode="General">
                  <c:v>119565</c:v>
                </c:pt>
                <c:pt idx="15">
                  <c:v>110483</c:v>
                </c:pt>
                <c:pt idx="16">
                  <c:v>67619.957629999975</c:v>
                </c:pt>
                <c:pt idx="17">
                  <c:v>58637</c:v>
                </c:pt>
                <c:pt idx="18">
                  <c:v>86377</c:v>
                </c:pt>
                <c:pt idx="19">
                  <c:v>104304</c:v>
                </c:pt>
                <c:pt idx="20">
                  <c:v>114940</c:v>
                </c:pt>
                <c:pt idx="21">
                  <c:v>160228.81875599996</c:v>
                </c:pt>
                <c:pt idx="22">
                  <c:v>111654.76164839999</c:v>
                </c:pt>
                <c:pt idx="23">
                  <c:v>99272.529340000008</c:v>
                </c:pt>
                <c:pt idx="24">
                  <c:v>75508.54363</c:v>
                </c:pt>
                <c:pt idx="25">
                  <c:v>81708.741718871432</c:v>
                </c:pt>
                <c:pt idx="26">
                  <c:v>98078.001129835437</c:v>
                </c:pt>
                <c:pt idx="27">
                  <c:v>55800.288054632299</c:v>
                </c:pt>
                <c:pt idx="28">
                  <c:v>145179.35487298231</c:v>
                </c:pt>
                <c:pt idx="29">
                  <c:v>89444.353637926106</c:v>
                </c:pt>
                <c:pt idx="30">
                  <c:v>117632.87926311046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A3-F54A-823C-417347073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8416"/>
        <c:axId val="3229952"/>
      </c:scatterChart>
      <c:valAx>
        <c:axId val="3220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 pitchFamily="18" charset="0"/>
                <a:ea typeface="Calibri"/>
                <a:cs typeface="Times New Roman" pitchFamily="18" charset="0"/>
              </a:defRPr>
            </a:pPr>
            <a:endParaRPr lang="fr-FR"/>
          </a:p>
        </c:txPr>
        <c:crossAx val="3222144"/>
        <c:crosses val="autoZero"/>
        <c:crossBetween val="midCat"/>
      </c:valAx>
      <c:valAx>
        <c:axId val="322214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 b="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pt-PT" b="0">
                    <a:latin typeface="Times New Roman" pitchFamily="18" charset="0"/>
                    <a:cs typeface="Times New Roman" pitchFamily="18" charset="0"/>
                  </a:rPr>
                  <a:t>Abund. Index</a:t>
                </a:r>
              </a:p>
            </c:rich>
          </c:tx>
          <c:layout>
            <c:manualLayout>
              <c:xMode val="edge"/>
              <c:yMode val="edge"/>
              <c:x val="3.6860874624175321E-4"/>
              <c:y val="0.26745884037222961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 rot="0" vert="horz"/>
          <a:lstStyle/>
          <a:p>
            <a:pPr>
              <a:defRPr lang="pt-PT">
                <a:latin typeface="Times New Roman" pitchFamily="18" charset="0"/>
                <a:cs typeface="Times New Roman" pitchFamily="18" charset="0"/>
              </a:defRPr>
            </a:pPr>
            <a:endParaRPr lang="fr-FR"/>
          </a:p>
        </c:txPr>
        <c:crossAx val="3220224"/>
        <c:crosses val="autoZero"/>
        <c:crossBetween val="midCat"/>
      </c:valAx>
      <c:valAx>
        <c:axId val="3228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3229952"/>
        <c:crosses val="autoZero"/>
        <c:crossBetween val="midCat"/>
      </c:valAx>
      <c:valAx>
        <c:axId val="322995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lang="pt-PT" b="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b="0">
                    <a:latin typeface="Times New Roman" pitchFamily="18" charset="0"/>
                    <a:cs typeface="Times New Roman" pitchFamily="18" charset="0"/>
                  </a:rPr>
                  <a:t>Catch (tonnes)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 rot="0" vert="horz"/>
          <a:lstStyle/>
          <a:p>
            <a:pPr>
              <a:defRPr lang="pt-PT" sz="1000">
                <a:latin typeface="Times New Roman" pitchFamily="18" charset="0"/>
                <a:cs typeface="Times New Roman" pitchFamily="18" charset="0"/>
              </a:defRPr>
            </a:pPr>
            <a:endParaRPr lang="fr-FR"/>
          </a:p>
        </c:txPr>
        <c:crossAx val="3228416"/>
        <c:crosses val="max"/>
        <c:crossBetween val="midCat"/>
        <c:majorUnit val="40000"/>
        <c:minorUnit val="40000"/>
      </c:valAx>
    </c:plotArea>
    <c:legend>
      <c:legendPos val="r"/>
      <c:layout>
        <c:manualLayout>
          <c:xMode val="edge"/>
          <c:yMode val="edge"/>
          <c:x val="0.25503355227804625"/>
          <c:y val="0.8884759405074365"/>
          <c:w val="0.52852347771249408"/>
          <c:h val="7.8066968901614894E-2"/>
        </c:manualLayout>
      </c:layout>
      <c:overlay val="0"/>
      <c:txPr>
        <a:bodyPr/>
        <a:lstStyle/>
        <a:p>
          <a:pPr>
            <a:defRPr lang="pt-PT"/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5" footer="0.5"/>
    <c:pageSetup paperSize="9" orientation="landscape"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Predicted vs Observed Ab. Index</a:t>
            </a:r>
          </a:p>
        </c:rich>
      </c:tx>
      <c:layout>
        <c:manualLayout>
          <c:xMode val="edge"/>
          <c:yMode val="edge"/>
          <c:x val="0.26301947888697824"/>
          <c:y val="2.1157105361829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5848135633603649"/>
          <c:y val="7.6559525510453405E-2"/>
          <c:w val="0.7881738158210092"/>
          <c:h val="0.7522154497097112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dk1">
                      <a:tint val="88500"/>
                      <a:shade val="51000"/>
                      <a:satMod val="130000"/>
                    </a:schemeClr>
                  </a:gs>
                  <a:gs pos="80000">
                    <a:schemeClr val="dk1">
                      <a:tint val="88500"/>
                      <a:shade val="93000"/>
                      <a:satMod val="130000"/>
                    </a:schemeClr>
                  </a:gs>
                  <a:gs pos="100000">
                    <a:schemeClr val="dk1">
                      <a:tint val="885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dk1">
                    <a:tint val="885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dk1">
                    <a:tint val="885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'Tab&amp;Fig4.6.3'!$D$12:$D$42</c:f>
              <c:numCache>
                <c:formatCode>0</c:formatCode>
                <c:ptCount val="31"/>
                <c:pt idx="0">
                  <c:v>186000</c:v>
                </c:pt>
                <c:pt idx="1">
                  <c:v>167000</c:v>
                </c:pt>
                <c:pt idx="2">
                  <c:v>129000</c:v>
                </c:pt>
                <c:pt idx="3">
                  <c:v>69000</c:v>
                </c:pt>
                <c:pt idx="4">
                  <c:v>111000</c:v>
                </c:pt>
                <c:pt idx="5">
                  <c:v>141000</c:v>
                </c:pt>
                <c:pt idx="6">
                  <c:v>64000</c:v>
                </c:pt>
                <c:pt idx="7">
                  <c:v>99000</c:v>
                </c:pt>
                <c:pt idx="8">
                  <c:v>97000</c:v>
                </c:pt>
                <c:pt idx="9">
                  <c:v>132000</c:v>
                </c:pt>
                <c:pt idx="10">
                  <c:v>117000</c:v>
                </c:pt>
                <c:pt idx="11">
                  <c:v>199000</c:v>
                </c:pt>
                <c:pt idx="12">
                  <c:v>126000</c:v>
                </c:pt>
                <c:pt idx="13">
                  <c:v>161000</c:v>
                </c:pt>
                <c:pt idx="14">
                  <c:v>195000</c:v>
                </c:pt>
                <c:pt idx="15">
                  <c:v>204000</c:v>
                </c:pt>
                <c:pt idx="16">
                  <c:v>174000</c:v>
                </c:pt>
                <c:pt idx="17">
                  <c:v>159000</c:v>
                </c:pt>
                <c:pt idx="18">
                  <c:v>171000</c:v>
                </c:pt>
                <c:pt idx="19">
                  <c:v>161000</c:v>
                </c:pt>
                <c:pt idx="20">
                  <c:v>207000</c:v>
                </c:pt>
                <c:pt idx="21">
                  <c:v>217000</c:v>
                </c:pt>
                <c:pt idx="22">
                  <c:v>245000</c:v>
                </c:pt>
                <c:pt idx="23">
                  <c:v>183800</c:v>
                </c:pt>
                <c:pt idx="24">
                  <c:v>232000</c:v>
                </c:pt>
                <c:pt idx="25" formatCode="General">
                  <c:v>218000</c:v>
                </c:pt>
                <c:pt idx="26">
                  <c:v>187000</c:v>
                </c:pt>
                <c:pt idx="27">
                  <c:v>211000</c:v>
                </c:pt>
                <c:pt idx="28">
                  <c:v>311000</c:v>
                </c:pt>
                <c:pt idx="29">
                  <c:v>267000</c:v>
                </c:pt>
                <c:pt idx="30">
                  <c:v>260000</c:v>
                </c:pt>
              </c:numCache>
            </c:numRef>
          </c:xVal>
          <c:yVal>
            <c:numRef>
              <c:f>'Tab&amp;Fig4.6.3'!$E$12:$E$42</c:f>
              <c:numCache>
                <c:formatCode>General</c:formatCode>
                <c:ptCount val="31"/>
                <c:pt idx="0">
                  <c:v>112290.98901253975</c:v>
                </c:pt>
                <c:pt idx="1">
                  <c:v>121380.88854803873</c:v>
                </c:pt>
                <c:pt idx="2">
                  <c:v>139078.8106231826</c:v>
                </c:pt>
                <c:pt idx="3">
                  <c:v>130055.81140805311</c:v>
                </c:pt>
                <c:pt idx="4">
                  <c:v>111127.12094579895</c:v>
                </c:pt>
                <c:pt idx="5">
                  <c:v>109821.65178525735</c:v>
                </c:pt>
                <c:pt idx="6">
                  <c:v>96617.513408051731</c:v>
                </c:pt>
                <c:pt idx="7">
                  <c:v>90806.523159540404</c:v>
                </c:pt>
                <c:pt idx="8">
                  <c:v>99983.084814548216</c:v>
                </c:pt>
                <c:pt idx="9">
                  <c:v>112840.65151985713</c:v>
                </c:pt>
                <c:pt idx="10">
                  <c:v>110294.94389883551</c:v>
                </c:pt>
                <c:pt idx="11">
                  <c:v>130432.56901758055</c:v>
                </c:pt>
                <c:pt idx="12">
                  <c:v>169848.25316084977</c:v>
                </c:pt>
                <c:pt idx="13">
                  <c:v>157738.36243937767</c:v>
                </c:pt>
                <c:pt idx="14">
                  <c:v>181589.29287525703</c:v>
                </c:pt>
                <c:pt idx="15">
                  <c:v>208041.94130376133</c:v>
                </c:pt>
                <c:pt idx="16">
                  <c:v>201608.85850101334</c:v>
                </c:pt>
                <c:pt idx="17">
                  <c:v>210252.28766822699</c:v>
                </c:pt>
                <c:pt idx="18">
                  <c:v>212557.87133541392</c:v>
                </c:pt>
                <c:pt idx="19">
                  <c:v>185325.04327957422</c:v>
                </c:pt>
                <c:pt idx="20">
                  <c:v>194113.28027898259</c:v>
                </c:pt>
                <c:pt idx="21">
                  <c:v>219171.91907843747</c:v>
                </c:pt>
                <c:pt idx="22">
                  <c:v>213614.95428611335</c:v>
                </c:pt>
                <c:pt idx="23">
                  <c:v>224641.57482734628</c:v>
                </c:pt>
                <c:pt idx="24" formatCode="0.000">
                  <c:v>225085.50165594846</c:v>
                </c:pt>
                <c:pt idx="25">
                  <c:v>208105.86480051943</c:v>
                </c:pt>
                <c:pt idx="26">
                  <c:v>192250.31543317373</c:v>
                </c:pt>
                <c:pt idx="27">
                  <c:v>223225.81573049113</c:v>
                </c:pt>
                <c:pt idx="28">
                  <c:v>266767.93729628378</c:v>
                </c:pt>
                <c:pt idx="29">
                  <c:v>261879.78818693009</c:v>
                </c:pt>
                <c:pt idx="30">
                  <c:v>240872.21583119026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01-46C6-BDC0-EB37744A5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442191"/>
        <c:axId val="1"/>
      </c:scatterChart>
      <c:valAx>
        <c:axId val="1258442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Observed Ab. Index</a:t>
                </a:r>
              </a:p>
            </c:rich>
          </c:tx>
          <c:layout>
            <c:manualLayout>
              <c:xMode val="edge"/>
              <c:yMode val="edge"/>
              <c:x val="0.39354049134662766"/>
              <c:y val="0.917006749156355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Predicted Ab. Index</a:t>
                </a:r>
              </a:p>
            </c:rich>
          </c:tx>
          <c:layout>
            <c:manualLayout>
              <c:xMode val="edge"/>
              <c:yMode val="edge"/>
              <c:x val="2.2210154765137115E-3"/>
              <c:y val="0.26285001874765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8442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5" footer="0.5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/>
              <a:t>Residuals</a:t>
            </a:r>
          </a:p>
        </c:rich>
      </c:tx>
      <c:layout>
        <c:manualLayout>
          <c:xMode val="edge"/>
          <c:yMode val="edge"/>
          <c:x val="0.42013177291194781"/>
          <c:y val="2.11865288990774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241698048614418"/>
          <c:y val="9.4435464680158024E-2"/>
          <c:w val="0.82300581992470034"/>
          <c:h val="0.81619223044993683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'Tab&amp;Fig4.6.3'!$E$12:$E$42</c:f>
              <c:numCache>
                <c:formatCode>General</c:formatCode>
                <c:ptCount val="31"/>
                <c:pt idx="0">
                  <c:v>112290.98901253975</c:v>
                </c:pt>
                <c:pt idx="1">
                  <c:v>121380.88854803873</c:v>
                </c:pt>
                <c:pt idx="2">
                  <c:v>139078.8106231826</c:v>
                </c:pt>
                <c:pt idx="3">
                  <c:v>130055.81140805311</c:v>
                </c:pt>
                <c:pt idx="4">
                  <c:v>111127.12094579895</c:v>
                </c:pt>
                <c:pt idx="5">
                  <c:v>109821.65178525735</c:v>
                </c:pt>
                <c:pt idx="6">
                  <c:v>96617.513408051731</c:v>
                </c:pt>
                <c:pt idx="7">
                  <c:v>90806.523159540404</c:v>
                </c:pt>
                <c:pt idx="8">
                  <c:v>99983.084814548216</c:v>
                </c:pt>
                <c:pt idx="9">
                  <c:v>112840.65151985713</c:v>
                </c:pt>
                <c:pt idx="10">
                  <c:v>110294.94389883551</c:v>
                </c:pt>
                <c:pt idx="11">
                  <c:v>130432.56901758055</c:v>
                </c:pt>
                <c:pt idx="12">
                  <c:v>169848.25316084977</c:v>
                </c:pt>
                <c:pt idx="13">
                  <c:v>157738.36243937767</c:v>
                </c:pt>
                <c:pt idx="14">
                  <c:v>181589.29287525703</c:v>
                </c:pt>
                <c:pt idx="15">
                  <c:v>208041.94130376133</c:v>
                </c:pt>
                <c:pt idx="16">
                  <c:v>201608.85850101334</c:v>
                </c:pt>
                <c:pt idx="17">
                  <c:v>210252.28766822699</c:v>
                </c:pt>
                <c:pt idx="18">
                  <c:v>212557.87133541392</c:v>
                </c:pt>
                <c:pt idx="19">
                  <c:v>185325.04327957422</c:v>
                </c:pt>
                <c:pt idx="20">
                  <c:v>194113.28027898259</c:v>
                </c:pt>
                <c:pt idx="21">
                  <c:v>219171.91907843747</c:v>
                </c:pt>
                <c:pt idx="22">
                  <c:v>213614.95428611335</c:v>
                </c:pt>
                <c:pt idx="23">
                  <c:v>224641.57482734628</c:v>
                </c:pt>
                <c:pt idx="24" formatCode="0.000">
                  <c:v>225085.50165594846</c:v>
                </c:pt>
                <c:pt idx="25">
                  <c:v>208105.86480051943</c:v>
                </c:pt>
                <c:pt idx="26">
                  <c:v>192250.31543317373</c:v>
                </c:pt>
                <c:pt idx="27">
                  <c:v>223225.81573049113</c:v>
                </c:pt>
                <c:pt idx="28">
                  <c:v>266767.93729628378</c:v>
                </c:pt>
                <c:pt idx="29">
                  <c:v>261879.78818693009</c:v>
                </c:pt>
                <c:pt idx="30">
                  <c:v>240872.21583119026</c:v>
                </c:pt>
              </c:numCache>
            </c:numRef>
          </c:xVal>
          <c:yVal>
            <c:numRef>
              <c:f>'Tab&amp;Fig4.6.3'!$F$12:$F$42</c:f>
              <c:numCache>
                <c:formatCode>General</c:formatCode>
                <c:ptCount val="31"/>
                <c:pt idx="0">
                  <c:v>0.50680589110900842</c:v>
                </c:pt>
                <c:pt idx="1">
                  <c:v>0.32121320725826508</c:v>
                </c:pt>
                <c:pt idx="2">
                  <c:v>-7.3075515390524204E-2</c:v>
                </c:pt>
                <c:pt idx="3">
                  <c:v>-0.63170433664596459</c:v>
                </c:pt>
                <c:pt idx="4">
                  <c:v>1.0082571389932089E-3</c:v>
                </c:pt>
                <c:pt idx="5">
                  <c:v>0.25205502340366959</c:v>
                </c:pt>
                <c:pt idx="6">
                  <c:v>-0.40972410404124704</c:v>
                </c:pt>
                <c:pt idx="7">
                  <c:v>8.8541561748693917E-2</c:v>
                </c:pt>
                <c:pt idx="8">
                  <c:v>-2.8137205717387804E-2</c:v>
                </c:pt>
                <c:pt idx="9">
                  <c:v>0.15897809823646053</c:v>
                </c:pt>
                <c:pt idx="10">
                  <c:v>6.116868473309367E-2</c:v>
                </c:pt>
                <c:pt idx="11">
                  <c:v>0.42460127961763267</c:v>
                </c:pt>
                <c:pt idx="12">
                  <c:v>-0.2964706673981537</c:v>
                </c:pt>
                <c:pt idx="13">
                  <c:v>2.261947406455813E-2</c:v>
                </c:pt>
                <c:pt idx="14">
                  <c:v>7.3404889677786397E-2</c:v>
                </c:pt>
                <c:pt idx="15">
                  <c:v>-1.7466870808763916E-2</c:v>
                </c:pt>
                <c:pt idx="16">
                  <c:v>-0.14512134138954166</c:v>
                </c:pt>
                <c:pt idx="17">
                  <c:v>-0.27725114167361981</c:v>
                </c:pt>
                <c:pt idx="18">
                  <c:v>-0.21539789487622776</c:v>
                </c:pt>
                <c:pt idx="19">
                  <c:v>-0.13855407348666124</c:v>
                </c:pt>
                <c:pt idx="20">
                  <c:v>6.6429721257570851E-2</c:v>
                </c:pt>
                <c:pt idx="21">
                  <c:v>-7.8062513280711329E-3</c:v>
                </c:pt>
                <c:pt idx="22">
                  <c:v>0.13923593081155933</c:v>
                </c:pt>
                <c:pt idx="23">
                  <c:v>-0.19850508573564057</c:v>
                </c:pt>
                <c:pt idx="24">
                  <c:v>3.2409869891644301E-2</c:v>
                </c:pt>
                <c:pt idx="25">
                  <c:v>4.8600982784624533E-2</c:v>
                </c:pt>
                <c:pt idx="26">
                  <c:v>-2.5536796669532399E-2</c:v>
                </c:pt>
                <c:pt idx="27">
                  <c:v>0.2676784134277615</c:v>
                </c:pt>
                <c:pt idx="28">
                  <c:v>0.15671647511958739</c:v>
                </c:pt>
                <c:pt idx="29">
                  <c:v>8.1952210438397829E-2</c:v>
                </c:pt>
                <c:pt idx="30">
                  <c:v>7.6415062910578049E-2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71-8E41-986C-944EDFA42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02528"/>
        <c:axId val="3304832"/>
      </c:scatterChart>
      <c:valAx>
        <c:axId val="3302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Predicted Ab. Index</a:t>
                </a:r>
              </a:p>
            </c:rich>
          </c:tx>
          <c:layout>
            <c:manualLayout>
              <c:xMode val="edge"/>
              <c:yMode val="edge"/>
              <c:x val="0.35886258224571843"/>
              <c:y val="0.88559354131365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304832"/>
        <c:crosses val="autoZero"/>
        <c:crossBetween val="midCat"/>
      </c:valAx>
      <c:valAx>
        <c:axId val="33048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Residuals (ln(Obs/Exp))</a:t>
                </a:r>
              </a:p>
            </c:rich>
          </c:tx>
          <c:layout>
            <c:manualLayout>
              <c:xMode val="edge"/>
              <c:yMode val="edge"/>
              <c:x val="1.5317297666558802E-2"/>
              <c:y val="0.20338970286941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30252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lang="pt-PT"/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5" footer="0.5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/>
            </a:pPr>
            <a:r>
              <a:rPr lang="pt-PT" sz="1000"/>
              <a:t>Observed and predicted Abundance Indices</a:t>
            </a:r>
          </a:p>
          <a:p>
            <a:pPr>
              <a:defRPr lang="pt-PT" sz="1000"/>
            </a:pPr>
            <a:r>
              <a:rPr lang="pt-PT" sz="1000" i="1"/>
              <a:t>Trachurus treace </a:t>
            </a:r>
          </a:p>
        </c:rich>
      </c:tx>
      <c:layout>
        <c:manualLayout>
          <c:xMode val="edge"/>
          <c:yMode val="edge"/>
          <c:x val="0.25838916254189687"/>
          <c:y val="1.858730468608806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416107382550627"/>
          <c:y val="7.434944237918216E-2"/>
          <c:w val="0.78523489932885904"/>
          <c:h val="0.64684014869891171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'Tab&amp;Fig4.6.4'!$C$8</c:f>
              <c:strCache>
                <c:ptCount val="1"/>
                <c:pt idx="0">
                  <c:v>ObsAbIndex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'Tab&amp;Fig4.6.4'!$A$9:$A$43</c:f>
              <c:numCache>
                <c:formatCode>General</c:formatCod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 formatCode="0">
                  <c:v>2018</c:v>
                </c:pt>
                <c:pt idx="28" formatCode="0">
                  <c:v>2019</c:v>
                </c:pt>
                <c:pt idx="29" formatCode="0">
                  <c:v>2020</c:v>
                </c:pt>
                <c:pt idx="30" formatCode="0">
                  <c:v>2021</c:v>
                </c:pt>
                <c:pt idx="31" formatCode="0">
                  <c:v>2022</c:v>
                </c:pt>
                <c:pt idx="32" formatCode="0">
                  <c:v>2023</c:v>
                </c:pt>
                <c:pt idx="33" formatCode="0">
                  <c:v>2024</c:v>
                </c:pt>
                <c:pt idx="34" formatCode="0">
                  <c:v>2025</c:v>
                </c:pt>
              </c:numCache>
            </c:numRef>
          </c:xVal>
          <c:yVal>
            <c:numRef>
              <c:f>'Tab&amp;Fig4.6.4'!$C$9:$C$43</c:f>
              <c:numCache>
                <c:formatCode>0</c:formatCode>
                <c:ptCount val="35"/>
                <c:pt idx="0">
                  <c:v>120022.88620470439</c:v>
                </c:pt>
                <c:pt idx="1">
                  <c:v>139031.49138443256</c:v>
                </c:pt>
                <c:pt idx="2">
                  <c:v>118585.48585485855</c:v>
                </c:pt>
                <c:pt idx="3">
                  <c:v>146031.33829951193</c:v>
                </c:pt>
                <c:pt idx="4">
                  <c:v>155089.28571428571</c:v>
                </c:pt>
                <c:pt idx="5">
                  <c:v>73464.067492110276</c:v>
                </c:pt>
                <c:pt idx="6">
                  <c:v>71635.421135800905</c:v>
                </c:pt>
                <c:pt idx="7">
                  <c:v>107533.88699168933</c:v>
                </c:pt>
                <c:pt idx="8">
                  <c:v>85214.733873154561</c:v>
                </c:pt>
                <c:pt idx="9">
                  <c:v>148694.31784237627</c:v>
                </c:pt>
                <c:pt idx="10">
                  <c:v>193734.61563997687</c:v>
                </c:pt>
                <c:pt idx="11">
                  <c:v>200269.62420869811</c:v>
                </c:pt>
                <c:pt idx="12">
                  <c:v>161838.51914350197</c:v>
                </c:pt>
                <c:pt idx="13">
                  <c:v>113450.22217653054</c:v>
                </c:pt>
                <c:pt idx="14">
                  <c:v>191686.77026926391</c:v>
                </c:pt>
                <c:pt idx="15">
                  <c:v>189895.49824071556</c:v>
                </c:pt>
                <c:pt idx="16">
                  <c:v>267913.99572649575</c:v>
                </c:pt>
                <c:pt idx="17">
                  <c:v>359336.80277555378</c:v>
                </c:pt>
                <c:pt idx="18">
                  <c:v>167930.84735250793</c:v>
                </c:pt>
                <c:pt idx="19">
                  <c:v>280498.08031545085</c:v>
                </c:pt>
                <c:pt idx="20">
                  <c:v>137048.92570541031</c:v>
                </c:pt>
                <c:pt idx="21">
                  <c:v>143692.11749352547</c:v>
                </c:pt>
                <c:pt idx="22">
                  <c:v>124890.04629629629</c:v>
                </c:pt>
                <c:pt idx="23">
                  <c:v>122791.51091281803</c:v>
                </c:pt>
                <c:pt idx="24">
                  <c:v>241184.76297841466</c:v>
                </c:pt>
                <c:pt idx="25" formatCode="General">
                  <c:v>308000</c:v>
                </c:pt>
                <c:pt idx="26" formatCode="General">
                  <c:v>223000</c:v>
                </c:pt>
                <c:pt idx="27" formatCode="General">
                  <c:v>249000</c:v>
                </c:pt>
                <c:pt idx="28" formatCode="General">
                  <c:v>280000</c:v>
                </c:pt>
                <c:pt idx="29" formatCode="General">
                  <c:v>186000</c:v>
                </c:pt>
                <c:pt idx="30" formatCode="General">
                  <c:v>240000</c:v>
                </c:pt>
                <c:pt idx="31" formatCode="General">
                  <c:v>249000</c:v>
                </c:pt>
                <c:pt idx="32" formatCode="General">
                  <c:v>318000</c:v>
                </c:pt>
                <c:pt idx="33" formatCode="General">
                  <c:v>267000</c:v>
                </c:pt>
                <c:pt idx="34" formatCode="General">
                  <c:v>252000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FB-B442-BF79-649C22246B15}"/>
            </c:ext>
          </c:extLst>
        </c:ser>
        <c:ser>
          <c:idx val="1"/>
          <c:order val="1"/>
          <c:tx>
            <c:strRef>
              <c:f>'Tab&amp;Fig4.6.4'!$D$8</c:f>
              <c:strCache>
                <c:ptCount val="1"/>
                <c:pt idx="0">
                  <c:v>PredAbIndex</c:v>
                </c:pt>
              </c:strCache>
            </c:strRef>
          </c:tx>
          <c:spPr>
            <a:ln w="2222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'Tab&amp;Fig4.6.4'!$A$9:$A$43</c:f>
              <c:numCache>
                <c:formatCode>General</c:formatCod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 formatCode="0">
                  <c:v>2018</c:v>
                </c:pt>
                <c:pt idx="28" formatCode="0">
                  <c:v>2019</c:v>
                </c:pt>
                <c:pt idx="29" formatCode="0">
                  <c:v>2020</c:v>
                </c:pt>
                <c:pt idx="30" formatCode="0">
                  <c:v>2021</c:v>
                </c:pt>
                <c:pt idx="31" formatCode="0">
                  <c:v>2022</c:v>
                </c:pt>
                <c:pt idx="32" formatCode="0">
                  <c:v>2023</c:v>
                </c:pt>
                <c:pt idx="33" formatCode="0">
                  <c:v>2024</c:v>
                </c:pt>
                <c:pt idx="34" formatCode="0">
                  <c:v>2025</c:v>
                </c:pt>
              </c:numCache>
            </c:numRef>
          </c:xVal>
          <c:yVal>
            <c:numRef>
              <c:f>'Tab&amp;Fig4.6.4'!$D$9:$D$43</c:f>
              <c:numCache>
                <c:formatCode>General</c:formatCode>
                <c:ptCount val="35"/>
                <c:pt idx="0">
                  <c:v>87697.790950675684</c:v>
                </c:pt>
                <c:pt idx="1">
                  <c:v>88819.17711403819</c:v>
                </c:pt>
                <c:pt idx="2">
                  <c:v>89724.707059835753</c:v>
                </c:pt>
                <c:pt idx="3">
                  <c:v>92465.243945830633</c:v>
                </c:pt>
                <c:pt idx="4">
                  <c:v>94729.739685591485</c:v>
                </c:pt>
                <c:pt idx="5">
                  <c:v>89671.604060866986</c:v>
                </c:pt>
                <c:pt idx="6">
                  <c:v>86600.32113553946</c:v>
                </c:pt>
                <c:pt idx="7">
                  <c:v>88629.598766277486</c:v>
                </c:pt>
                <c:pt idx="8">
                  <c:v>90275.986122582661</c:v>
                </c:pt>
                <c:pt idx="9">
                  <c:v>132742.90662294408</c:v>
                </c:pt>
                <c:pt idx="10">
                  <c:v>186656.97815325879</c:v>
                </c:pt>
                <c:pt idx="11">
                  <c:v>179180.42133245527</c:v>
                </c:pt>
                <c:pt idx="12">
                  <c:v>176399.58308125203</c:v>
                </c:pt>
                <c:pt idx="13">
                  <c:v>172814.09820607415</c:v>
                </c:pt>
                <c:pt idx="14">
                  <c:v>163214.9706717626</c:v>
                </c:pt>
                <c:pt idx="15">
                  <c:v>151645.25999415031</c:v>
                </c:pt>
                <c:pt idx="16">
                  <c:v>205538.38650558604</c:v>
                </c:pt>
                <c:pt idx="17">
                  <c:v>270243.49792338209</c:v>
                </c:pt>
                <c:pt idx="18">
                  <c:v>238690.57194763955</c:v>
                </c:pt>
                <c:pt idx="19">
                  <c:v>212659.54803277529</c:v>
                </c:pt>
                <c:pt idx="20">
                  <c:v>193621.32418801292</c:v>
                </c:pt>
                <c:pt idx="21">
                  <c:v>183135.61494374229</c:v>
                </c:pt>
                <c:pt idx="22">
                  <c:v>177885.10102197059</c:v>
                </c:pt>
                <c:pt idx="23">
                  <c:v>171276.51799270822</c:v>
                </c:pt>
                <c:pt idx="24">
                  <c:v>162846.1224985306</c:v>
                </c:pt>
                <c:pt idx="25">
                  <c:v>225689.31188677452</c:v>
                </c:pt>
                <c:pt idx="26">
                  <c:v>302484.68178053561</c:v>
                </c:pt>
                <c:pt idx="27">
                  <c:v>305232.74408520886</c:v>
                </c:pt>
                <c:pt idx="28">
                  <c:v>307219.54897073092</c:v>
                </c:pt>
                <c:pt idx="29">
                  <c:v>258680.77417103786</c:v>
                </c:pt>
                <c:pt idx="30">
                  <c:v>324373.16719061194</c:v>
                </c:pt>
                <c:pt idx="31">
                  <c:v>418233.17458374455</c:v>
                </c:pt>
                <c:pt idx="32">
                  <c:v>339813.78136542632</c:v>
                </c:pt>
                <c:pt idx="33">
                  <c:v>281414.16190762736</c:v>
                </c:pt>
                <c:pt idx="34">
                  <c:v>246708.51418271457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FB-B442-BF79-649C22246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504512"/>
        <c:axId val="101506432"/>
      </c:scatterChart>
      <c:scatterChart>
        <c:scatterStyle val="lineMarker"/>
        <c:varyColors val="0"/>
        <c:ser>
          <c:idx val="2"/>
          <c:order val="2"/>
          <c:tx>
            <c:strRef>
              <c:f>'Tab&amp;Fig4.6.4'!$B$8</c:f>
              <c:strCache>
                <c:ptCount val="1"/>
                <c:pt idx="0">
                  <c:v>ObsCatch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'Tab&amp;Fig4.6.4'!$A$9:$A$43</c:f>
              <c:numCache>
                <c:formatCode>General</c:formatCod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 formatCode="0">
                  <c:v>2018</c:v>
                </c:pt>
                <c:pt idx="28" formatCode="0">
                  <c:v>2019</c:v>
                </c:pt>
                <c:pt idx="29" formatCode="0">
                  <c:v>2020</c:v>
                </c:pt>
                <c:pt idx="30" formatCode="0">
                  <c:v>2021</c:v>
                </c:pt>
                <c:pt idx="31" formatCode="0">
                  <c:v>2022</c:v>
                </c:pt>
                <c:pt idx="32" formatCode="0">
                  <c:v>2023</c:v>
                </c:pt>
                <c:pt idx="33" formatCode="0">
                  <c:v>2024</c:v>
                </c:pt>
                <c:pt idx="34" formatCode="0">
                  <c:v>2025</c:v>
                </c:pt>
              </c:numCache>
            </c:numRef>
          </c:xVal>
          <c:yVal>
            <c:numRef>
              <c:f>'Tab&amp;Fig4.6.4'!$B$9:$B$43</c:f>
              <c:numCache>
                <c:formatCode>0</c:formatCode>
                <c:ptCount val="35"/>
                <c:pt idx="0">
                  <c:v>99396</c:v>
                </c:pt>
                <c:pt idx="1">
                  <c:v>120131</c:v>
                </c:pt>
                <c:pt idx="2">
                  <c:v>105902</c:v>
                </c:pt>
                <c:pt idx="3">
                  <c:v>73291</c:v>
                </c:pt>
                <c:pt idx="4">
                  <c:v>121697</c:v>
                </c:pt>
                <c:pt idx="5">
                  <c:v>90619</c:v>
                </c:pt>
                <c:pt idx="6">
                  <c:v>72813</c:v>
                </c:pt>
                <c:pt idx="7">
                  <c:v>122632</c:v>
                </c:pt>
                <c:pt idx="8">
                  <c:v>83845</c:v>
                </c:pt>
                <c:pt idx="9">
                  <c:v>172113</c:v>
                </c:pt>
                <c:pt idx="10">
                  <c:v>211983</c:v>
                </c:pt>
                <c:pt idx="11">
                  <c:v>153849</c:v>
                </c:pt>
                <c:pt idx="12">
                  <c:v>101375.25757759484</c:v>
                </c:pt>
                <c:pt idx="13">
                  <c:v>181620.68434518093</c:v>
                </c:pt>
                <c:pt idx="14">
                  <c:v>272334.31854736165</c:v>
                </c:pt>
                <c:pt idx="15">
                  <c:v>256698.18287326588</c:v>
                </c:pt>
                <c:pt idx="16">
                  <c:v>307041.5</c:v>
                </c:pt>
                <c:pt idx="17">
                  <c:v>357546</c:v>
                </c:pt>
                <c:pt idx="18">
                  <c:v>346951</c:v>
                </c:pt>
                <c:pt idx="19">
                  <c:v>352345</c:v>
                </c:pt>
                <c:pt idx="20">
                  <c:v>256978</c:v>
                </c:pt>
                <c:pt idx="21">
                  <c:v>173484</c:v>
                </c:pt>
                <c:pt idx="22">
                  <c:v>139664</c:v>
                </c:pt>
                <c:pt idx="23">
                  <c:v>222025.64182262644</c:v>
                </c:pt>
                <c:pt idx="24">
                  <c:v>206345.89373852112</c:v>
                </c:pt>
                <c:pt idx="25">
                  <c:v>235845.42578400002</c:v>
                </c:pt>
                <c:pt idx="26">
                  <c:v>234539.03880159999</c:v>
                </c:pt>
                <c:pt idx="27">
                  <c:v>200843.90534000003</c:v>
                </c:pt>
                <c:pt idx="28">
                  <c:v>245224.37228000001</c:v>
                </c:pt>
                <c:pt idx="29">
                  <c:v>226458.89181257371</c:v>
                </c:pt>
                <c:pt idx="30">
                  <c:v>155859.96599070966</c:v>
                </c:pt>
                <c:pt idx="31">
                  <c:v>197670</c:v>
                </c:pt>
                <c:pt idx="32">
                  <c:v>150333.89595935252</c:v>
                </c:pt>
                <c:pt idx="33">
                  <c:v>345818.88024871983</c:v>
                </c:pt>
                <c:pt idx="34">
                  <c:v>384572.69416174496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FB-B442-BF79-649C22246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520896"/>
        <c:axId val="101522432"/>
      </c:scatterChart>
      <c:valAx>
        <c:axId val="10150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 rot="0" vert="horz"/>
          <a:lstStyle/>
          <a:p>
            <a:pPr>
              <a:defRPr lang="pt-PT"/>
            </a:pPr>
            <a:endParaRPr lang="fr-FR"/>
          </a:p>
        </c:txPr>
        <c:crossAx val="101506432"/>
        <c:crosses val="autoZero"/>
        <c:crossBetween val="midCat"/>
      </c:valAx>
      <c:valAx>
        <c:axId val="1015064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lang="pt-PT"/>
                </a:pPr>
                <a:r>
                  <a:rPr lang="pt-PT"/>
                  <a:t>Abund. Index</a:t>
                </a:r>
              </a:p>
            </c:rich>
          </c:tx>
          <c:layout>
            <c:manualLayout>
              <c:xMode val="edge"/>
              <c:yMode val="edge"/>
              <c:x val="3.6865254856841646E-4"/>
              <c:y val="0.26745884037222956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spPr>
          <a:ln w="22225">
            <a:solidFill>
              <a:prstClr val="black"/>
            </a:solidFill>
          </a:ln>
        </c:spPr>
        <c:txPr>
          <a:bodyPr rot="0" vert="horz"/>
          <a:lstStyle/>
          <a:p>
            <a:pPr>
              <a:defRPr lang="pt-PT"/>
            </a:pPr>
            <a:endParaRPr lang="fr-FR"/>
          </a:p>
        </c:txPr>
        <c:crossAx val="101504512"/>
        <c:crosses val="autoZero"/>
        <c:crossBetween val="midCat"/>
      </c:valAx>
      <c:valAx>
        <c:axId val="101520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01522432"/>
        <c:crosses val="autoZero"/>
        <c:crossBetween val="midCat"/>
      </c:valAx>
      <c:valAx>
        <c:axId val="10152243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ln w="22225">
            <a:solidFill>
              <a:schemeClr val="tx1"/>
            </a:solidFill>
          </a:ln>
        </c:spPr>
        <c:txPr>
          <a:bodyPr rot="0" vert="horz"/>
          <a:lstStyle/>
          <a:p>
            <a:pPr>
              <a:defRPr lang="pt-PT"/>
            </a:pPr>
            <a:endParaRPr lang="fr-FR"/>
          </a:p>
        </c:txPr>
        <c:crossAx val="101520896"/>
        <c:crosses val="max"/>
        <c:crossBetween val="midCat"/>
        <c:majorUnit val="40000"/>
        <c:minorUnit val="40000"/>
      </c:valAx>
    </c:plotArea>
    <c:legend>
      <c:legendPos val="r"/>
      <c:layout>
        <c:manualLayout>
          <c:xMode val="edge"/>
          <c:yMode val="edge"/>
          <c:x val="0.2550335774238266"/>
          <c:y val="0.88847588266343602"/>
          <c:w val="0.52852343228785892"/>
          <c:h val="7.80671424336421E-2"/>
        </c:manualLayout>
      </c:layout>
      <c:overlay val="0"/>
      <c:txPr>
        <a:bodyPr/>
        <a:lstStyle/>
        <a:p>
          <a:pPr>
            <a:defRPr lang="pt-PT"/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Times New Roman" pitchFamily="18" charset="0"/>
          <a:cs typeface="Times New Roman" pitchFamily="18" charset="0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5" footer="0.5"/>
    <c:pageSetup paperSize="9" orientation="landscape"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b="1"/>
              <a:t>Predicted vs Observed Ab. Index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b="1" i="1"/>
              <a:t>T. trecae</a:t>
            </a:r>
          </a:p>
        </c:rich>
      </c:tx>
      <c:layout>
        <c:manualLayout>
          <c:xMode val="edge"/>
          <c:yMode val="edge"/>
          <c:x val="0.37997122878724576"/>
          <c:y val="6.216097987751600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37776744096925"/>
          <c:y val="9.5645146897795796E-2"/>
          <c:w val="0.81867523593969416"/>
          <c:h val="0.69684321311253439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intercept val="0"/>
            <c:dispRSqr val="0"/>
            <c:dispEq val="0"/>
          </c:trendline>
          <c:xVal>
            <c:numRef>
              <c:f>'Tab&amp;Fig4.6.4'!$C$9:$C$43</c:f>
              <c:numCache>
                <c:formatCode>0</c:formatCode>
                <c:ptCount val="35"/>
                <c:pt idx="0">
                  <c:v>120022.88620470439</c:v>
                </c:pt>
                <c:pt idx="1">
                  <c:v>139031.49138443256</c:v>
                </c:pt>
                <c:pt idx="2">
                  <c:v>118585.48585485855</c:v>
                </c:pt>
                <c:pt idx="3">
                  <c:v>146031.33829951193</c:v>
                </c:pt>
                <c:pt idx="4">
                  <c:v>155089.28571428571</c:v>
                </c:pt>
                <c:pt idx="5">
                  <c:v>73464.067492110276</c:v>
                </c:pt>
                <c:pt idx="6">
                  <c:v>71635.421135800905</c:v>
                </c:pt>
                <c:pt idx="7">
                  <c:v>107533.88699168933</c:v>
                </c:pt>
                <c:pt idx="8">
                  <c:v>85214.733873154561</c:v>
                </c:pt>
                <c:pt idx="9">
                  <c:v>148694.31784237627</c:v>
                </c:pt>
                <c:pt idx="10">
                  <c:v>193734.61563997687</c:v>
                </c:pt>
                <c:pt idx="11">
                  <c:v>200269.62420869811</c:v>
                </c:pt>
                <c:pt idx="12">
                  <c:v>161838.51914350197</c:v>
                </c:pt>
                <c:pt idx="13">
                  <c:v>113450.22217653054</c:v>
                </c:pt>
                <c:pt idx="14">
                  <c:v>191686.77026926391</c:v>
                </c:pt>
                <c:pt idx="15">
                  <c:v>189895.49824071556</c:v>
                </c:pt>
                <c:pt idx="16">
                  <c:v>267913.99572649575</c:v>
                </c:pt>
                <c:pt idx="17">
                  <c:v>359336.80277555378</c:v>
                </c:pt>
                <c:pt idx="18">
                  <c:v>167930.84735250793</c:v>
                </c:pt>
                <c:pt idx="19">
                  <c:v>280498.08031545085</c:v>
                </c:pt>
                <c:pt idx="20">
                  <c:v>137048.92570541031</c:v>
                </c:pt>
                <c:pt idx="21">
                  <c:v>143692.11749352547</c:v>
                </c:pt>
                <c:pt idx="22">
                  <c:v>124890.04629629629</c:v>
                </c:pt>
                <c:pt idx="23">
                  <c:v>122791.51091281803</c:v>
                </c:pt>
                <c:pt idx="24">
                  <c:v>241184.76297841466</c:v>
                </c:pt>
                <c:pt idx="25" formatCode="General">
                  <c:v>308000</c:v>
                </c:pt>
                <c:pt idx="26" formatCode="General">
                  <c:v>223000</c:v>
                </c:pt>
                <c:pt idx="27" formatCode="General">
                  <c:v>249000</c:v>
                </c:pt>
                <c:pt idx="28" formatCode="General">
                  <c:v>280000</c:v>
                </c:pt>
                <c:pt idx="29" formatCode="General">
                  <c:v>186000</c:v>
                </c:pt>
                <c:pt idx="30" formatCode="General">
                  <c:v>240000</c:v>
                </c:pt>
                <c:pt idx="31" formatCode="General">
                  <c:v>249000</c:v>
                </c:pt>
                <c:pt idx="32" formatCode="General">
                  <c:v>318000</c:v>
                </c:pt>
                <c:pt idx="33" formatCode="General">
                  <c:v>267000</c:v>
                </c:pt>
                <c:pt idx="34" formatCode="General">
                  <c:v>252000</c:v>
                </c:pt>
              </c:numCache>
            </c:numRef>
          </c:xVal>
          <c:yVal>
            <c:numRef>
              <c:f>'Tab&amp;Fig4.6.4'!$D$9:$D$43</c:f>
              <c:numCache>
                <c:formatCode>General</c:formatCode>
                <c:ptCount val="35"/>
                <c:pt idx="0">
                  <c:v>87697.790950675684</c:v>
                </c:pt>
                <c:pt idx="1">
                  <c:v>88819.17711403819</c:v>
                </c:pt>
                <c:pt idx="2">
                  <c:v>89724.707059835753</c:v>
                </c:pt>
                <c:pt idx="3">
                  <c:v>92465.243945830633</c:v>
                </c:pt>
                <c:pt idx="4">
                  <c:v>94729.739685591485</c:v>
                </c:pt>
                <c:pt idx="5">
                  <c:v>89671.604060866986</c:v>
                </c:pt>
                <c:pt idx="6">
                  <c:v>86600.32113553946</c:v>
                </c:pt>
                <c:pt idx="7">
                  <c:v>88629.598766277486</c:v>
                </c:pt>
                <c:pt idx="8">
                  <c:v>90275.986122582661</c:v>
                </c:pt>
                <c:pt idx="9">
                  <c:v>132742.90662294408</c:v>
                </c:pt>
                <c:pt idx="10">
                  <c:v>186656.97815325879</c:v>
                </c:pt>
                <c:pt idx="11">
                  <c:v>179180.42133245527</c:v>
                </c:pt>
                <c:pt idx="12">
                  <c:v>176399.58308125203</c:v>
                </c:pt>
                <c:pt idx="13">
                  <c:v>172814.09820607415</c:v>
                </c:pt>
                <c:pt idx="14">
                  <c:v>163214.9706717626</c:v>
                </c:pt>
                <c:pt idx="15">
                  <c:v>151645.25999415031</c:v>
                </c:pt>
                <c:pt idx="16">
                  <c:v>205538.38650558604</c:v>
                </c:pt>
                <c:pt idx="17">
                  <c:v>270243.49792338209</c:v>
                </c:pt>
                <c:pt idx="18">
                  <c:v>238690.57194763955</c:v>
                </c:pt>
                <c:pt idx="19">
                  <c:v>212659.54803277529</c:v>
                </c:pt>
                <c:pt idx="20">
                  <c:v>193621.32418801292</c:v>
                </c:pt>
                <c:pt idx="21">
                  <c:v>183135.61494374229</c:v>
                </c:pt>
                <c:pt idx="22">
                  <c:v>177885.10102197059</c:v>
                </c:pt>
                <c:pt idx="23">
                  <c:v>171276.51799270822</c:v>
                </c:pt>
                <c:pt idx="24">
                  <c:v>162846.1224985306</c:v>
                </c:pt>
                <c:pt idx="25">
                  <c:v>225689.31188677452</c:v>
                </c:pt>
                <c:pt idx="26">
                  <c:v>302484.68178053561</c:v>
                </c:pt>
                <c:pt idx="27">
                  <c:v>305232.74408520886</c:v>
                </c:pt>
                <c:pt idx="28">
                  <c:v>307219.54897073092</c:v>
                </c:pt>
                <c:pt idx="29">
                  <c:v>258680.77417103786</c:v>
                </c:pt>
                <c:pt idx="30">
                  <c:v>324373.16719061194</c:v>
                </c:pt>
                <c:pt idx="31">
                  <c:v>418233.17458374455</c:v>
                </c:pt>
                <c:pt idx="32">
                  <c:v>339813.78136542632</c:v>
                </c:pt>
                <c:pt idx="33">
                  <c:v>281414.16190762736</c:v>
                </c:pt>
                <c:pt idx="34">
                  <c:v>246708.51418271457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80-FB41-A0CF-D5038A783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576704"/>
        <c:axId val="101578624"/>
      </c:scatterChart>
      <c:valAx>
        <c:axId val="101576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Observed Ab. Index</a:t>
                </a:r>
              </a:p>
            </c:rich>
          </c:tx>
          <c:layout>
            <c:manualLayout>
              <c:xMode val="edge"/>
              <c:yMode val="edge"/>
              <c:x val="0.39484217907876767"/>
              <c:y val="0.8888924679869487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1578624"/>
        <c:crosses val="autoZero"/>
        <c:crossBetween val="midCat"/>
      </c:valAx>
      <c:valAx>
        <c:axId val="1015786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Predicted Ab. Index</a:t>
                </a:r>
              </a:p>
            </c:rich>
          </c:tx>
          <c:layout>
            <c:manualLayout>
              <c:xMode val="edge"/>
              <c:yMode val="edge"/>
              <c:x val="9.920698843942366E-3"/>
              <c:y val="0.192308518253400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1576704"/>
        <c:crosses val="autoZero"/>
        <c:crossBetween val="midCat"/>
        <c:majorUnit val="100000"/>
        <c:minorUnit val="10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5" footer="0.5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1"/>
            </a:pPr>
            <a:r>
              <a:rPr lang="fr-FR" sz="1000" b="1"/>
              <a:t>Residuals</a:t>
            </a:r>
          </a:p>
          <a:p>
            <a:pPr>
              <a:defRPr lang="pt-PT" sz="1000" b="1"/>
            </a:pPr>
            <a:r>
              <a:rPr lang="fr-FR" sz="1000" b="1" i="1"/>
              <a:t>T. trecae</a:t>
            </a:r>
          </a:p>
        </c:rich>
      </c:tx>
      <c:layout>
        <c:manualLayout>
          <c:xMode val="edge"/>
          <c:yMode val="edge"/>
          <c:x val="0.42013175048961326"/>
          <c:y val="2.11864406779662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904465783580421"/>
          <c:y val="7.9144021890880822E-2"/>
          <c:w val="0.80962800875273522"/>
          <c:h val="0.86864406779661063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'Tab&amp;Fig4.6.4'!$D$9:$D$43</c:f>
              <c:numCache>
                <c:formatCode>General</c:formatCode>
                <c:ptCount val="35"/>
                <c:pt idx="0">
                  <c:v>87697.790950675684</c:v>
                </c:pt>
                <c:pt idx="1">
                  <c:v>88819.17711403819</c:v>
                </c:pt>
                <c:pt idx="2">
                  <c:v>89724.707059835753</c:v>
                </c:pt>
                <c:pt idx="3">
                  <c:v>92465.243945830633</c:v>
                </c:pt>
                <c:pt idx="4">
                  <c:v>94729.739685591485</c:v>
                </c:pt>
                <c:pt idx="5">
                  <c:v>89671.604060866986</c:v>
                </c:pt>
                <c:pt idx="6">
                  <c:v>86600.32113553946</c:v>
                </c:pt>
                <c:pt idx="7">
                  <c:v>88629.598766277486</c:v>
                </c:pt>
                <c:pt idx="8">
                  <c:v>90275.986122582661</c:v>
                </c:pt>
                <c:pt idx="9">
                  <c:v>132742.90662294408</c:v>
                </c:pt>
                <c:pt idx="10">
                  <c:v>186656.97815325879</c:v>
                </c:pt>
                <c:pt idx="11">
                  <c:v>179180.42133245527</c:v>
                </c:pt>
                <c:pt idx="12">
                  <c:v>176399.58308125203</c:v>
                </c:pt>
                <c:pt idx="13">
                  <c:v>172814.09820607415</c:v>
                </c:pt>
                <c:pt idx="14">
                  <c:v>163214.9706717626</c:v>
                </c:pt>
                <c:pt idx="15">
                  <c:v>151645.25999415031</c:v>
                </c:pt>
                <c:pt idx="16">
                  <c:v>205538.38650558604</c:v>
                </c:pt>
                <c:pt idx="17">
                  <c:v>270243.49792338209</c:v>
                </c:pt>
                <c:pt idx="18">
                  <c:v>238690.57194763955</c:v>
                </c:pt>
                <c:pt idx="19">
                  <c:v>212659.54803277529</c:v>
                </c:pt>
                <c:pt idx="20">
                  <c:v>193621.32418801292</c:v>
                </c:pt>
                <c:pt idx="21">
                  <c:v>183135.61494374229</c:v>
                </c:pt>
                <c:pt idx="22">
                  <c:v>177885.10102197059</c:v>
                </c:pt>
                <c:pt idx="23">
                  <c:v>171276.51799270822</c:v>
                </c:pt>
                <c:pt idx="24">
                  <c:v>162846.1224985306</c:v>
                </c:pt>
                <c:pt idx="25">
                  <c:v>225689.31188677452</c:v>
                </c:pt>
                <c:pt idx="26">
                  <c:v>302484.68178053561</c:v>
                </c:pt>
                <c:pt idx="27">
                  <c:v>305232.74408520886</c:v>
                </c:pt>
                <c:pt idx="28">
                  <c:v>307219.54897073092</c:v>
                </c:pt>
                <c:pt idx="29">
                  <c:v>258680.77417103786</c:v>
                </c:pt>
                <c:pt idx="30">
                  <c:v>324373.16719061194</c:v>
                </c:pt>
                <c:pt idx="31">
                  <c:v>418233.17458374455</c:v>
                </c:pt>
                <c:pt idx="32">
                  <c:v>339813.78136542632</c:v>
                </c:pt>
                <c:pt idx="33">
                  <c:v>281414.16190762736</c:v>
                </c:pt>
                <c:pt idx="34">
                  <c:v>246708.51418271457</c:v>
                </c:pt>
              </c:numCache>
            </c:numRef>
          </c:xVal>
          <c:yVal>
            <c:numRef>
              <c:f>'Tab&amp;Fig4.6.4'!$E$9:$E$43</c:f>
              <c:numCache>
                <c:formatCode>General</c:formatCode>
                <c:ptCount val="35"/>
                <c:pt idx="0">
                  <c:v>7.3109967403395523E-2</c:v>
                </c:pt>
                <c:pt idx="1">
                  <c:v>0.23149159595913238</c:v>
                </c:pt>
                <c:pt idx="2">
                  <c:v>8.7583655729804366E-2</c:v>
                </c:pt>
                <c:pt idx="3">
                  <c:v>0.28845176057127114</c:v>
                </c:pt>
                <c:pt idx="4">
                  <c:v>0.3487863966725781</c:v>
                </c:pt>
                <c:pt idx="5">
                  <c:v>-0.32683115961900078</c:v>
                </c:pt>
                <c:pt idx="6">
                  <c:v>-0.3024444771410133</c:v>
                </c:pt>
                <c:pt idx="7">
                  <c:v>0.11106946441628678</c:v>
                </c:pt>
                <c:pt idx="8">
                  <c:v>-0.10769372526662255</c:v>
                </c:pt>
                <c:pt idx="9">
                  <c:v>7.6784586128372606E-2</c:v>
                </c:pt>
                <c:pt idx="10">
                  <c:v>2.6766727575937826E-3</c:v>
                </c:pt>
                <c:pt idx="11">
                  <c:v>7.977394349867116E-2</c:v>
                </c:pt>
                <c:pt idx="12">
                  <c:v>-0.12056845909846876</c:v>
                </c:pt>
                <c:pt idx="13">
                  <c:v>-0.45468906908482476</c:v>
                </c:pt>
                <c:pt idx="14">
                  <c:v>0.14490184395602412</c:v>
                </c:pt>
                <c:pt idx="15">
                  <c:v>0.24136098692015026</c:v>
                </c:pt>
                <c:pt idx="16">
                  <c:v>0.29517494315511722</c:v>
                </c:pt>
                <c:pt idx="17">
                  <c:v>0.30471058504823073</c:v>
                </c:pt>
                <c:pt idx="18">
                  <c:v>-0.33709551898052437</c:v>
                </c:pt>
                <c:pt idx="19">
                  <c:v>0.30040623632288943</c:v>
                </c:pt>
                <c:pt idx="20">
                  <c:v>-0.30742411863747715</c:v>
                </c:pt>
                <c:pt idx="21">
                  <c:v>-0.19650204064318164</c:v>
                </c:pt>
                <c:pt idx="22">
                  <c:v>-0.30645092190772144</c:v>
                </c:pt>
                <c:pt idx="23">
                  <c:v>-0.27585416954664971</c:v>
                </c:pt>
                <c:pt idx="24">
                  <c:v>0.47155020065720865</c:v>
                </c:pt>
                <c:pt idx="25">
                  <c:v>0.38819721206838848</c:v>
                </c:pt>
                <c:pt idx="26">
                  <c:v>-0.26115816869601066</c:v>
                </c:pt>
                <c:pt idx="27">
                  <c:v>-0.12948561129389649</c:v>
                </c:pt>
                <c:pt idx="28">
                  <c:v>1.0436146477203772E-2</c:v>
                </c:pt>
                <c:pt idx="29">
                  <c:v>-0.32822932851427383</c:v>
                </c:pt>
                <c:pt idx="30">
                  <c:v>3.5483016814175333E-3</c:v>
                </c:pt>
                <c:pt idx="31">
                  <c:v>-5.5877309940693693E-3</c:v>
                </c:pt>
                <c:pt idx="32">
                  <c:v>5.3270066063455732E-2</c:v>
                </c:pt>
                <c:pt idx="33">
                  <c:v>-4.7269451980432996E-2</c:v>
                </c:pt>
                <c:pt idx="34">
                  <c:v>2.1221552278519955E-2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0F-AC46-B56D-F5937091E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02816"/>
        <c:axId val="101617664"/>
      </c:scatterChart>
      <c:valAx>
        <c:axId val="101602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fr-FR"/>
                  <a:t>Predicted Ab. Index</a:t>
                </a:r>
              </a:p>
            </c:rich>
          </c:tx>
          <c:layout>
            <c:manualLayout>
              <c:xMode val="edge"/>
              <c:yMode val="edge"/>
              <c:x val="0.35886260388130364"/>
              <c:y val="0.885593220338983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/>
            </a:pPr>
            <a:endParaRPr lang="fr-FR"/>
          </a:p>
        </c:txPr>
        <c:crossAx val="101617664"/>
        <c:crosses val="autoZero"/>
        <c:crossBetween val="midCat"/>
      </c:valAx>
      <c:valAx>
        <c:axId val="101617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/>
                </a:pPr>
                <a:r>
                  <a:rPr lang="fr-FR"/>
                  <a:t>Residuals (ln(Obs/Exp))</a:t>
                </a:r>
              </a:p>
            </c:rich>
          </c:tx>
          <c:layout>
            <c:manualLayout>
              <c:xMode val="edge"/>
              <c:yMode val="edge"/>
              <c:x val="1.5317286652078774E-2"/>
              <c:y val="0.203389830508476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/>
            </a:pPr>
            <a:endParaRPr lang="fr-FR"/>
          </a:p>
        </c:txPr>
        <c:crossAx val="10160281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 pitchFamily="18" charset="0"/>
          <a:ea typeface="Arial"/>
          <a:cs typeface="Times New Roman" pitchFamily="18" charset="0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5" footer="0.5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Trachurus trachurus- </a:t>
            </a:r>
            <a:r>
              <a:rPr lang="pt-PT" sz="1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Nord Ouest Africaine </a:t>
            </a:r>
            <a:r>
              <a:rPr lang="pt-P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- status quo</a:t>
            </a:r>
          </a:p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PT" sz="1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Catches (Relative to MSY)</a:t>
            </a:r>
          </a:p>
        </c:rich>
      </c:tx>
      <c:layout>
        <c:manualLayout>
          <c:xMode val="edge"/>
          <c:yMode val="edge"/>
          <c:x val="0.27330534969893466"/>
          <c:y val="2.116464799698202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412558915435758"/>
          <c:y val="0.20585610996319179"/>
          <c:w val="0.83643314806237457"/>
          <c:h val="0.62138682206009765"/>
        </c:manualLayout>
      </c:layout>
      <c:scatterChart>
        <c:scatterStyle val="lineMarker"/>
        <c:varyColors val="0"/>
        <c:ser>
          <c:idx val="2"/>
          <c:order val="0"/>
          <c:spPr>
            <a:ln w="25400">
              <a:solidFill>
                <a:srgbClr val="000000"/>
              </a:solidFill>
              <a:prstDash val="solid"/>
            </a:ln>
          </c:spPr>
          <c:marker>
            <c:symbol val="star"/>
            <c:size val="7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'Tab&amp;FigTT4.7.1a'!$P$7:$P$42</c:f>
              <c:numCache>
                <c:formatCode>General</c:formatCode>
                <c:ptCount val="3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</c:numCache>
            </c:numRef>
          </c:xVal>
          <c:yVal>
            <c:numRef>
              <c:f>'Tab&amp;FigTT4.7.1a'!$Q$7:$Q$42</c:f>
              <c:numCache>
                <c:formatCode>General</c:formatCode>
                <c:ptCount val="36"/>
                <c:pt idx="0">
                  <c:v>0.70982128608374262</c:v>
                </c:pt>
                <c:pt idx="1">
                  <c:v>0.47356449453986321</c:v>
                </c:pt>
                <c:pt idx="2">
                  <c:v>0.50065025007901043</c:v>
                </c:pt>
                <c:pt idx="3">
                  <c:v>0.84281115606987755</c:v>
                </c:pt>
                <c:pt idx="4">
                  <c:v>0.82444003417601242</c:v>
                </c:pt>
                <c:pt idx="5">
                  <c:v>0.67595417740082642</c:v>
                </c:pt>
                <c:pt idx="6">
                  <c:v>0.69349250154019371</c:v>
                </c:pt>
                <c:pt idx="7">
                  <c:v>0.41007358001837757</c:v>
                </c:pt>
                <c:pt idx="8">
                  <c:v>0.63507761791390427</c:v>
                </c:pt>
                <c:pt idx="9">
                  <c:v>1.6789837911688867</c:v>
                </c:pt>
                <c:pt idx="10">
                  <c:v>1.1977453924505903</c:v>
                </c:pt>
                <c:pt idx="11">
                  <c:v>0.91598675999070855</c:v>
                </c:pt>
                <c:pt idx="12">
                  <c:v>0.99142589821183114</c:v>
                </c:pt>
                <c:pt idx="13">
                  <c:v>1.0409971931224227</c:v>
                </c:pt>
                <c:pt idx="14">
                  <c:v>1.1853983751969759</c:v>
                </c:pt>
                <c:pt idx="15">
                  <c:v>1.0953570751213773</c:v>
                </c:pt>
                <c:pt idx="16">
                  <c:v>0.67040177230368692</c:v>
                </c:pt>
                <c:pt idx="17">
                  <c:v>0.58134240393447134</c:v>
                </c:pt>
                <c:pt idx="18">
                  <c:v>0.8563639480984333</c:v>
                </c:pt>
                <c:pt idx="19">
                  <c:v>1.0340968688708683</c:v>
                </c:pt>
                <c:pt idx="20">
                  <c:v>1.1395449274046787</c:v>
                </c:pt>
                <c:pt idx="21">
                  <c:v>1.5885500055458794</c:v>
                </c:pt>
                <c:pt idx="22">
                  <c:v>1.1069742235689286</c:v>
                </c:pt>
                <c:pt idx="23">
                  <c:v>0.9842135656866986</c:v>
                </c:pt>
                <c:pt idx="24">
                  <c:v>0.74861125691039987</c:v>
                </c:pt>
                <c:pt idx="25">
                  <c:v>0.81008162650390625</c:v>
                </c:pt>
                <c:pt idx="26">
                  <c:v>0.78875342702911388</c:v>
                </c:pt>
                <c:pt idx="27">
                  <c:v>0.55321850705042741</c:v>
                </c:pt>
                <c:pt idx="28">
                  <c:v>0.78293789489172716</c:v>
                </c:pt>
                <c:pt idx="29">
                  <c:v>0.77006995419764845</c:v>
                </c:pt>
                <c:pt idx="30">
                  <c:v>0.76266219222766907</c:v>
                </c:pt>
                <c:pt idx="31">
                  <c:v>0.75834266124072969</c:v>
                </c:pt>
                <c:pt idx="32">
                  <c:v>0.75580509012294583</c:v>
                </c:pt>
                <c:pt idx="33">
                  <c:v>0.74483706355513779</c:v>
                </c:pt>
                <c:pt idx="34">
                  <c:v>0.74646471010918791</c:v>
                </c:pt>
                <c:pt idx="35">
                  <c:v>0.75393045683410931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F3-2B48-B3A0-5D0262D7DB8C}"/>
            </c:ext>
          </c:extLst>
        </c:ser>
        <c:ser>
          <c:idx val="0"/>
          <c:order val="1"/>
          <c:tx>
            <c:v>MSY</c:v>
          </c:tx>
          <c:spPr>
            <a:ln w="38100">
              <a:solidFill>
                <a:srgbClr val="000000"/>
              </a:solidFill>
              <a:prstDash val="lg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7164308101001933E-3"/>
                  <c:y val="-5.664766651643289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 sz="10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F3-2B48-B3A0-5D0262D7DB8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'Tab&amp;FigTT4.7.1a'!$E$30:$E$31</c:f>
              <c:numCache>
                <c:formatCode>General</c:formatCode>
                <c:ptCount val="2"/>
                <c:pt idx="0">
                  <c:v>1995</c:v>
                </c:pt>
                <c:pt idx="1">
                  <c:v>2030</c:v>
                </c:pt>
              </c:numCache>
            </c:numRef>
          </c:xVal>
          <c:yVal>
            <c:numRef>
              <c:f>'Tab&amp;FigTT4.7.1a'!$F$30:$F$31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F3-2B48-B3A0-5D0262D7DB8C}"/>
            </c:ext>
          </c:extLst>
        </c:ser>
        <c:ser>
          <c:idx val="1"/>
          <c:order val="2"/>
          <c:tx>
            <c:strRef>
              <c:f>'Tab&amp;FigTT4.7.1a'!$R$6</c:f>
              <c:strCache>
                <c:ptCount val="1"/>
                <c:pt idx="0">
                  <c:v>SustainableCatch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'Tab&amp;FigTT4.7.1a'!$P$7:$P$42</c:f>
              <c:numCache>
                <c:formatCode>General</c:formatCode>
                <c:ptCount val="3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</c:numCache>
            </c:numRef>
          </c:xVal>
          <c:yVal>
            <c:numRef>
              <c:f>'Tab&amp;FigTT4.7.1a'!$R$7:$R$42</c:f>
              <c:numCache>
                <c:formatCode>General</c:formatCode>
                <c:ptCount val="36"/>
                <c:pt idx="0">
                  <c:v>0.89339644735243784</c:v>
                </c:pt>
                <c:pt idx="1">
                  <c:v>0.8990357295033321</c:v>
                </c:pt>
                <c:pt idx="2">
                  <c:v>0.95460968577280569</c:v>
                </c:pt>
                <c:pt idx="3">
                  <c:v>0.98912283281295343</c:v>
                </c:pt>
                <c:pt idx="4">
                  <c:v>0.90275115891550117</c:v>
                </c:pt>
                <c:pt idx="5">
                  <c:v>0.88025117413079201</c:v>
                </c:pt>
                <c:pt idx="6">
                  <c:v>0.89246802689532756</c:v>
                </c:pt>
                <c:pt idx="7">
                  <c:v>0.75611537409053586</c:v>
                </c:pt>
                <c:pt idx="8">
                  <c:v>0.83489349961206438</c:v>
                </c:pt>
                <c:pt idx="9">
                  <c:v>0.85071211246901379</c:v>
                </c:pt>
                <c:pt idx="10">
                  <c:v>0.94054827011818087</c:v>
                </c:pt>
                <c:pt idx="11">
                  <c:v>0.8288088929678169</c:v>
                </c:pt>
                <c:pt idx="12">
                  <c:v>0.99669332081468498</c:v>
                </c:pt>
                <c:pt idx="13">
                  <c:v>0.99996521766134538</c:v>
                </c:pt>
                <c:pt idx="14">
                  <c:v>0.99227061367747293</c:v>
                </c:pt>
                <c:pt idx="15">
                  <c:v>0.89922015193461902</c:v>
                </c:pt>
                <c:pt idx="16">
                  <c:v>0.96112411034978129</c:v>
                </c:pt>
                <c:pt idx="17">
                  <c:v>0.94371665390812431</c:v>
                </c:pt>
                <c:pt idx="18">
                  <c:v>0.90878337886643934</c:v>
                </c:pt>
                <c:pt idx="19">
                  <c:v>0.93002675851837602</c:v>
                </c:pt>
                <c:pt idx="20">
                  <c:v>0.99989523067619523</c:v>
                </c:pt>
                <c:pt idx="21">
                  <c:v>0.85000079195852596</c:v>
                </c:pt>
                <c:pt idx="22">
                  <c:v>0.99184487328373927</c:v>
                </c:pt>
                <c:pt idx="23">
                  <c:v>0.99975574581136306</c:v>
                </c:pt>
                <c:pt idx="24">
                  <c:v>0.99409752737043244</c:v>
                </c:pt>
                <c:pt idx="25">
                  <c:v>0.78561158419943866</c:v>
                </c:pt>
                <c:pt idx="26">
                  <c:v>0.83178707090886006</c:v>
                </c:pt>
                <c:pt idx="27">
                  <c:v>0.95301649812109213</c:v>
                </c:pt>
                <c:pt idx="28">
                  <c:v>0.96928836463723034</c:v>
                </c:pt>
                <c:pt idx="29">
                  <c:v>0.97442243509821191</c:v>
                </c:pt>
                <c:pt idx="30">
                  <c:v>0.97717973395541013</c:v>
                </c:pt>
                <c:pt idx="31">
                  <c:v>0.97871975921224152</c:v>
                </c:pt>
                <c:pt idx="32">
                  <c:v>0.9796010025513161</c:v>
                </c:pt>
                <c:pt idx="33">
                  <c:v>0.97889505466130189</c:v>
                </c:pt>
                <c:pt idx="34">
                  <c:v>0.98004060876586296</c:v>
                </c:pt>
                <c:pt idx="35">
                  <c:v>0.99156917282634183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F3-2B48-B3A0-5D0262D7DB8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'Tab&amp;FigTT4.7.1a'!$B$30:$B$31</c:f>
              <c:numCache>
                <c:formatCode>General</c:formatCode>
                <c:ptCount val="2"/>
                <c:pt idx="0">
                  <c:v>2025</c:v>
                </c:pt>
                <c:pt idx="1">
                  <c:v>2025</c:v>
                </c:pt>
              </c:numCache>
            </c:numRef>
          </c:xVal>
          <c:yVal>
            <c:numRef>
              <c:f>'Tab&amp;FigTT4.7.1a'!$C$30:$C$31</c:f>
              <c:numCache>
                <c:formatCode>General</c:formatCode>
                <c:ptCount val="2"/>
                <c:pt idx="0">
                  <c:v>0</c:v>
                </c:pt>
                <c:pt idx="1">
                  <c:v>1.5810268275675101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EF3-2B48-B3A0-5D0262D7D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94944"/>
        <c:axId val="101796864"/>
      </c:scatterChart>
      <c:valAx>
        <c:axId val="101794944"/>
        <c:scaling>
          <c:orientation val="minMax"/>
          <c:max val="2031"/>
          <c:min val="1995"/>
        </c:scaling>
        <c:delete val="0"/>
        <c:axPos val="b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Time</a:t>
                </a:r>
              </a:p>
            </c:rich>
          </c:tx>
          <c:layout>
            <c:manualLayout>
              <c:xMode val="edge"/>
              <c:yMode val="edge"/>
              <c:x val="0.52848656785548109"/>
              <c:y val="0.814491078523450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1796864"/>
        <c:crosses val="autoZero"/>
        <c:crossBetween val="midCat"/>
        <c:majorUnit val="2"/>
      </c:valAx>
      <c:valAx>
        <c:axId val="1017968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PT"/>
                  <a:t>Relative Catches</a:t>
                </a:r>
              </a:p>
            </c:rich>
          </c:tx>
          <c:layout>
            <c:manualLayout>
              <c:xMode val="edge"/>
              <c:yMode val="edge"/>
              <c:x val="0"/>
              <c:y val="0.2727273311019609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179494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lang="pt-PT"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ysClr val="window" lastClr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/>
            </a:pPr>
            <a:r>
              <a:rPr lang="fr-FR"/>
              <a:t>Trachurus Trachurus Status Quo</a:t>
            </a:r>
          </a:p>
          <a:p>
            <a:pPr algn="ctr" rtl="0">
              <a:defRPr/>
            </a:pPr>
            <a:r>
              <a:rPr lang="fr-FR"/>
              <a:t>Predicted Abundance Indices (Relative to U0.1)</a:t>
            </a:r>
          </a:p>
        </c:rich>
      </c:tx>
      <c:layout>
        <c:manualLayout>
          <c:xMode val="edge"/>
          <c:yMode val="edge"/>
          <c:x val="0.31093195761483838"/>
          <c:y val="0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9082774049217"/>
          <c:y val="2.6016260162601636E-2"/>
          <c:w val="0.86768095965327818"/>
          <c:h val="0.77182193056432591"/>
        </c:manualLayout>
      </c:layout>
      <c:scatterChart>
        <c:scatterStyle val="lineMarker"/>
        <c:varyColors val="0"/>
        <c:ser>
          <c:idx val="1"/>
          <c:order val="0"/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'Tab&amp;FigTT4.7.1a'!$P$7:$P$42</c:f>
              <c:numCache>
                <c:formatCode>General</c:formatCode>
                <c:ptCount val="3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</c:numCache>
            </c:numRef>
          </c:xVal>
          <c:yVal>
            <c:numRef>
              <c:f>'Tab&amp;FigTT4.7.1a'!$S$8:$S$42</c:f>
              <c:numCache>
                <c:formatCode>General</c:formatCode>
                <c:ptCount val="35"/>
                <c:pt idx="0">
                  <c:v>0.66612087818948629</c:v>
                </c:pt>
                <c:pt idx="1">
                  <c:v>0.7632445319692841</c:v>
                </c:pt>
                <c:pt idx="2">
                  <c:v>0.71372760856411088</c:v>
                </c:pt>
                <c:pt idx="3">
                  <c:v>0.6098496746939569</c:v>
                </c:pt>
                <c:pt idx="4">
                  <c:v>0.60268544749088204</c:v>
                </c:pt>
                <c:pt idx="5">
                  <c:v>0.53022303304679352</c:v>
                </c:pt>
                <c:pt idx="6">
                  <c:v>0.49833315339776652</c:v>
                </c:pt>
                <c:pt idx="7">
                  <c:v>0.54869280541147347</c:v>
                </c:pt>
                <c:pt idx="8">
                  <c:v>0.61925328431034588</c:v>
                </c:pt>
                <c:pt idx="9">
                  <c:v>0.60528280661477807</c:v>
                </c:pt>
                <c:pt idx="10">
                  <c:v>0.7157952001983876</c:v>
                </c:pt>
                <c:pt idx="11">
                  <c:v>0.93210281212992119</c:v>
                </c:pt>
                <c:pt idx="12">
                  <c:v>0.865645471615618</c:v>
                </c:pt>
                <c:pt idx="13">
                  <c:v>0.99653595130836203</c:v>
                </c:pt>
                <c:pt idx="14">
                  <c:v>1.141704285569314</c:v>
                </c:pt>
                <c:pt idx="15">
                  <c:v>1.1064004513554442</c:v>
                </c:pt>
                <c:pt idx="16">
                  <c:v>1.1538343488685134</c:v>
                </c:pt>
                <c:pt idx="17">
                  <c:v>1.1664870608027986</c:v>
                </c:pt>
                <c:pt idx="18">
                  <c:v>1.0170372128313871</c:v>
                </c:pt>
                <c:pt idx="19">
                  <c:v>1.0652657949237518</c:v>
                </c:pt>
                <c:pt idx="20">
                  <c:v>1.1180628993993289</c:v>
                </c:pt>
                <c:pt idx="21">
                  <c:v>0.94180491008404688</c:v>
                </c:pt>
                <c:pt idx="22">
                  <c:v>0.86661902407516811</c:v>
                </c:pt>
                <c:pt idx="23">
                  <c:v>1.0565109616447994</c:v>
                </c:pt>
                <c:pt idx="24">
                  <c:v>1.3057599713712955</c:v>
                </c:pt>
                <c:pt idx="25">
                  <c:v>1.1908031188548034</c:v>
                </c:pt>
                <c:pt idx="26">
                  <c:v>1.0916241306268599</c:v>
                </c:pt>
                <c:pt idx="27">
                  <c:v>1.0684066861775969</c:v>
                </c:pt>
                <c:pt idx="28">
                  <c:v>1.0544817045007544</c:v>
                </c:pt>
                <c:pt idx="29">
                  <c:v>1.0464216194356577</c:v>
                </c:pt>
                <c:pt idx="30">
                  <c:v>1.0417068050372538</c:v>
                </c:pt>
                <c:pt idx="31">
                  <c:v>1.0389318717237577</c:v>
                </c:pt>
                <c:pt idx="32">
                  <c:v>1.0411594654762231</c:v>
                </c:pt>
                <c:pt idx="33">
                  <c:v>1.0375251905593375</c:v>
                </c:pt>
                <c:pt idx="34">
                  <c:v>0.99256321445834006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88-46C0-910F-25EB20CE633F}"/>
            </c:ext>
          </c:extLst>
        </c:ser>
        <c:ser>
          <c:idx val="0"/>
          <c:order val="1"/>
          <c:tx>
            <c:v>Rel Ab. Indx MSY</c:v>
          </c:tx>
          <c:spPr>
            <a:ln w="38100">
              <a:solidFill>
                <a:srgbClr val="00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7.9110692480644534E-2"/>
                  <c:y val="-0.11235133694225705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UMSY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5988-46C0-910F-25EB20CE633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'Tab&amp;FigTT4.7.1a'!$K$30:$K$31</c:f>
              <c:numCache>
                <c:formatCode>0</c:formatCode>
                <c:ptCount val="2"/>
                <c:pt idx="0">
                  <c:v>1995</c:v>
                </c:pt>
                <c:pt idx="1">
                  <c:v>2030</c:v>
                </c:pt>
              </c:numCache>
            </c:numRef>
          </c:xVal>
          <c:yVal>
            <c:numRef>
              <c:f>'Tab&amp;FigTT4.7.1a'!$L$30:$L$31</c:f>
              <c:numCache>
                <c:formatCode>0</c:formatCode>
                <c:ptCount val="2"/>
                <c:pt idx="0">
                  <c:v>0.90909090909090895</c:v>
                </c:pt>
                <c:pt idx="1">
                  <c:v>0.90909090909090895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88-46C0-910F-25EB20CE633F}"/>
            </c:ext>
          </c:extLst>
        </c:ser>
        <c:ser>
          <c:idx val="3"/>
          <c:order val="2"/>
          <c:tx>
            <c:v>Rel Ab. Indx  0.1</c:v>
          </c:tx>
          <c:spPr>
            <a:ln w="38100">
              <a:solidFill>
                <a:srgbClr val="000000"/>
              </a:solidFill>
              <a:prstDash val="lg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477377491792112E-2"/>
                  <c:y val="-0.15475790135608153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U0.1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988-46C0-910F-25EB20CE633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'Tab&amp;FigTT4.7.1a'!$N$30:$N$31</c:f>
              <c:numCache>
                <c:formatCode>General</c:formatCode>
                <c:ptCount val="2"/>
                <c:pt idx="0">
                  <c:v>1995</c:v>
                </c:pt>
                <c:pt idx="1">
                  <c:v>2030</c:v>
                </c:pt>
              </c:numCache>
            </c:numRef>
          </c:xVal>
          <c:yVal>
            <c:numRef>
              <c:f>'Tab&amp;FigTT4.7.1a'!$O$30:$O$31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988-46C0-910F-25EB20CE633F}"/>
            </c:ext>
          </c:extLst>
        </c:ser>
        <c:ser>
          <c:idx val="2"/>
          <c:order val="3"/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'Tab&amp;FigTT4.7.1a'!$H$30:$H$31</c:f>
              <c:numCache>
                <c:formatCode>General</c:formatCode>
                <c:ptCount val="2"/>
                <c:pt idx="0">
                  <c:v>2025</c:v>
                </c:pt>
                <c:pt idx="1">
                  <c:v>2025</c:v>
                </c:pt>
              </c:numCache>
            </c:numRef>
          </c:xVal>
          <c:yVal>
            <c:numRef>
              <c:f>'Tab&amp;FigTT4.7.1a'!$I$30:$I$31</c:f>
              <c:numCache>
                <c:formatCode>General</c:formatCode>
                <c:ptCount val="2"/>
                <c:pt idx="0">
                  <c:v>0</c:v>
                </c:pt>
                <c:pt idx="1">
                  <c:v>1.4018383077727559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988-46C0-910F-25EB20CE6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60864"/>
        <c:axId val="101862784"/>
      </c:scatterChart>
      <c:valAx>
        <c:axId val="101860864"/>
        <c:scaling>
          <c:orientation val="minMax"/>
          <c:max val="2029"/>
          <c:min val="199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Time</a:t>
                </a:r>
              </a:p>
            </c:rich>
          </c:tx>
          <c:layout>
            <c:manualLayout>
              <c:xMode val="edge"/>
              <c:yMode val="edge"/>
              <c:x val="0.56093186955019625"/>
              <c:y val="0.846353905557794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81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fr-FR"/>
          </a:p>
        </c:txPr>
        <c:crossAx val="101862784"/>
        <c:crosses val="autoZero"/>
        <c:crossBetween val="midCat"/>
        <c:majorUnit val="2"/>
      </c:valAx>
      <c:valAx>
        <c:axId val="1018627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algn="ctr" rtl="0">
                  <a:defRPr/>
                </a:pPr>
                <a:r>
                  <a:rPr lang="fr-FR"/>
                  <a:t>Relative Abund. Index</a:t>
                </a:r>
              </a:p>
            </c:rich>
          </c:tx>
          <c:layout>
            <c:manualLayout>
              <c:xMode val="edge"/>
              <c:yMode val="edge"/>
              <c:x val="1.4925373134328361E-3"/>
              <c:y val="0.19661453146788829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81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fr-FR"/>
          </a:p>
        </c:txPr>
        <c:crossAx val="101860864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6.7441162766531559E-2"/>
          <c:y val="0.91786175523126057"/>
          <c:w val="0.7795698924731248"/>
          <c:h val="4.3024771838331637E-2"/>
        </c:manualLayout>
      </c:layout>
      <c:overlay val="0"/>
      <c:spPr>
        <a:noFill/>
        <a:ln w="25400">
          <a:noFill/>
        </a:ln>
      </c:sp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b="1"/>
            </a:pPr>
            <a:r>
              <a:rPr lang="pt-PT" b="1" i="1"/>
              <a:t>T. trecae </a:t>
            </a:r>
            <a:r>
              <a:rPr lang="pt-PT" b="1"/>
              <a:t>- Nord Ouest Africaine - </a:t>
            </a:r>
            <a:r>
              <a:rPr lang="pt-PT" b="1" i="1"/>
              <a:t>status quo</a:t>
            </a:r>
          </a:p>
          <a:p>
            <a:pPr>
              <a:defRPr lang="pt-PT" b="1"/>
            </a:pPr>
            <a:r>
              <a:rPr lang="pt-PT" b="1"/>
              <a:t>Predicted Abundance Indices (Relative to U</a:t>
            </a:r>
            <a:r>
              <a:rPr lang="pt-PT" b="1" baseline="-25000"/>
              <a:t>0.1</a:t>
            </a:r>
            <a:r>
              <a:rPr lang="pt-PT" b="1"/>
              <a:t>) 2024</a:t>
            </a:r>
          </a:p>
        </c:rich>
      </c:tx>
      <c:layout>
        <c:manualLayout>
          <c:xMode val="edge"/>
          <c:yMode val="edge"/>
          <c:x val="0.27320000204652573"/>
          <c:y val="1.984387435441571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672413793103744"/>
          <c:y val="0.15248279754958149"/>
          <c:w val="0.78232758620689669"/>
          <c:h val="0.58510840920188245"/>
        </c:manualLayout>
      </c:layout>
      <c:scatterChart>
        <c:scatterStyle val="lineMarker"/>
        <c:varyColors val="0"/>
        <c:ser>
          <c:idx val="1"/>
          <c:order val="0"/>
          <c:tx>
            <c:strRef>
              <c:f>'Tab&amp;FigTtre4.7.2'!$E$26</c:f>
              <c:strCache>
                <c:ptCount val="1"/>
                <c:pt idx="0">
                  <c:v>PredAbIndxRelative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'Tab&amp;FigTtre4.7.2'!$B$27:$B$66</c:f>
              <c:numCache>
                <c:formatCode>General</c:formatCode>
                <c:ptCount val="40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  <c:pt idx="35">
                  <c:v>2026</c:v>
                </c:pt>
                <c:pt idx="36">
                  <c:v>2027</c:v>
                </c:pt>
                <c:pt idx="37">
                  <c:v>2028</c:v>
                </c:pt>
                <c:pt idx="38">
                  <c:v>2029</c:v>
                </c:pt>
                <c:pt idx="39">
                  <c:v>2030</c:v>
                </c:pt>
              </c:numCache>
            </c:numRef>
          </c:xVal>
          <c:yVal>
            <c:numRef>
              <c:f>'Tab&amp;FigTtre4.7.2'!$E$27:$E$66</c:f>
              <c:numCache>
                <c:formatCode>General</c:formatCode>
                <c:ptCount val="40"/>
                <c:pt idx="0">
                  <c:v>0.38835744224341029</c:v>
                </c:pt>
                <c:pt idx="1">
                  <c:v>0.38396854648465079</c:v>
                </c:pt>
                <c:pt idx="2">
                  <c:v>0.37819130980479387</c:v>
                </c:pt>
                <c:pt idx="3">
                  <c:v>0.38096869068594724</c:v>
                </c:pt>
                <c:pt idx="4">
                  <c:v>0.38090884838242373</c:v>
                </c:pt>
                <c:pt idx="5">
                  <c:v>0.35459342403754768</c:v>
                </c:pt>
                <c:pt idx="6">
                  <c:v>0.33743646349274731</c:v>
                </c:pt>
                <c:pt idx="7">
                  <c:v>0.33498202530953713</c:v>
                </c:pt>
                <c:pt idx="8">
                  <c:v>0.33036739768447065</c:v>
                </c:pt>
                <c:pt idx="9">
                  <c:v>0.47935208544113983</c:v>
                </c:pt>
                <c:pt idx="10">
                  <c:v>0.67258618373942214</c:v>
                </c:pt>
                <c:pt idx="11">
                  <c:v>0.64368310930673178</c:v>
                </c:pt>
                <c:pt idx="12">
                  <c:v>0.63554480981107919</c:v>
                </c:pt>
                <c:pt idx="13">
                  <c:v>0.62226562037557231</c:v>
                </c:pt>
                <c:pt idx="14">
                  <c:v>0.5772471667840271</c:v>
                </c:pt>
                <c:pt idx="15">
                  <c:v>0.5192659014215707</c:v>
                </c:pt>
                <c:pt idx="16">
                  <c:v>0.69421402058504589</c:v>
                </c:pt>
                <c:pt idx="17">
                  <c:v>0.92226013173020716</c:v>
                </c:pt>
                <c:pt idx="18">
                  <c:v>0.81886723451416144</c:v>
                </c:pt>
                <c:pt idx="19">
                  <c:v>0.72301367889296364</c:v>
                </c:pt>
                <c:pt idx="20">
                  <c:v>0.6487333738448241</c:v>
                </c:pt>
                <c:pt idx="21">
                  <c:v>0.60876309755504288</c:v>
                </c:pt>
                <c:pt idx="22">
                  <c:v>0.59059806143859794</c:v>
                </c:pt>
                <c:pt idx="23">
                  <c:v>0.56317320490990996</c:v>
                </c:pt>
                <c:pt idx="24">
                  <c:v>0.52387245030634111</c:v>
                </c:pt>
                <c:pt idx="25">
                  <c:v>0.72714223586317628</c:v>
                </c:pt>
                <c:pt idx="26">
                  <c:v>1.0078173011754379</c:v>
                </c:pt>
                <c:pt idx="27">
                  <c:v>0.9445270253045609</c:v>
                </c:pt>
                <c:pt idx="28">
                  <c:v>0.88494378221769587</c:v>
                </c:pt>
                <c:pt idx="29">
                  <c:v>1.0097415535349761</c:v>
                </c:pt>
                <c:pt idx="30">
                  <c:v>1.0971362265839431</c:v>
                </c:pt>
                <c:pt idx="31">
                  <c:v>1.0956932588618709</c:v>
                </c:pt>
                <c:pt idx="32">
                  <c:v>1.1450507399971717</c:v>
                </c:pt>
                <c:pt idx="33">
                  <c:v>1.0629409978360174</c:v>
                </c:pt>
                <c:pt idx="34">
                  <c:v>0.99726736425593798</c:v>
                </c:pt>
                <c:pt idx="35">
                  <c:v>0.94372074302563358</c:v>
                </c:pt>
                <c:pt idx="36">
                  <c:v>0.89937174573676881</c:v>
                </c:pt>
                <c:pt idx="37">
                  <c:v>1.0086293984657102</c:v>
                </c:pt>
                <c:pt idx="38">
                  <c:v>0.99544926926419575</c:v>
                </c:pt>
                <c:pt idx="39">
                  <c:v>0.92605758822977613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A5-1C4C-888D-2880C54D8FA7}"/>
            </c:ext>
          </c:extLst>
        </c:ser>
        <c:ser>
          <c:idx val="0"/>
          <c:order val="1"/>
          <c:tx>
            <c:v>Rel Ab. Indx MSY</c:v>
          </c:tx>
          <c:spPr>
            <a:ln w="38100">
              <a:solidFill>
                <a:srgbClr val="00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9.0105889148378547E-3"/>
                  <c:y val="3.0228624672336873E-2"/>
                </c:manualLayout>
              </c:layout>
              <c:tx>
                <c:rich>
                  <a:bodyPr/>
                  <a:lstStyle/>
                  <a:p>
                    <a:pPr>
                      <a:defRPr lang="pt-PT"/>
                    </a:pPr>
                    <a:r>
                      <a:rPr lang="en-US"/>
                      <a:t>UMSY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C3A5-1C4C-888D-2880C54D8FA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'Tab&amp;FigTtre4.7.2'!#REF!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'Tab&amp;FigTtre4.7.2'!#REF!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A5-1C4C-888D-2880C54D8FA7}"/>
            </c:ext>
          </c:extLst>
        </c:ser>
        <c:ser>
          <c:idx val="3"/>
          <c:order val="2"/>
          <c:tx>
            <c:v>Rel Ab. Indx  0.1</c:v>
          </c:tx>
          <c:spPr>
            <a:ln w="38100">
              <a:solidFill>
                <a:srgbClr val="000000"/>
              </a:solidFill>
              <a:prstDash val="lg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3.9361347321780762E-4"/>
                  <c:y val="-5.5247178432723976E-2"/>
                </c:manualLayout>
              </c:layout>
              <c:tx>
                <c:rich>
                  <a:bodyPr/>
                  <a:lstStyle/>
                  <a:p>
                    <a:pPr>
                      <a:defRPr lang="pt-PT"/>
                    </a:pPr>
                    <a:r>
                      <a:rPr lang="en-US"/>
                      <a:t>U0.1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C3A5-1C4C-888D-2880C54D8FA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'Tab&amp;FigTtre4.7.2'!#REF!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'Tab&amp;FigTtre4.7.2'!#REF!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3A5-1C4C-888D-2880C54D8FA7}"/>
            </c:ext>
          </c:extLst>
        </c:ser>
        <c:ser>
          <c:idx val="2"/>
          <c:order val="3"/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none"/>
          </c:marker>
          <c:xVal>
            <c:numRef>
              <c:f>'Tab&amp;FigTtre4.7.2'!$D$24:$D$25</c:f>
              <c:numCache>
                <c:formatCode>General</c:formatCode>
                <c:ptCount val="2"/>
                <c:pt idx="0">
                  <c:v>2025</c:v>
                </c:pt>
                <c:pt idx="1">
                  <c:v>2025</c:v>
                </c:pt>
              </c:numCache>
            </c:numRef>
          </c:xVal>
          <c:yVal>
            <c:numRef>
              <c:f>'Tab&amp;FigTtre4.7.2'!$E$24:$E$25</c:f>
              <c:numCache>
                <c:formatCode>General</c:formatCode>
                <c:ptCount val="2"/>
                <c:pt idx="0">
                  <c:v>0</c:v>
                </c:pt>
                <c:pt idx="1">
                  <c:v>2.2199492841093957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3A5-1C4C-888D-2880C54D8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21760"/>
        <c:axId val="102032128"/>
      </c:scatterChart>
      <c:valAx>
        <c:axId val="102021760"/>
        <c:scaling>
          <c:orientation val="minMax"/>
          <c:max val="2029"/>
          <c:min val="1995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pt-PT"/>
                  <a:t>Time</a:t>
                </a:r>
              </a:p>
            </c:rich>
          </c:tx>
          <c:layout>
            <c:manualLayout>
              <c:xMode val="edge"/>
              <c:yMode val="edge"/>
              <c:x val="0.57044384071874055"/>
              <c:y val="0.856133434933543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032128"/>
        <c:crosses val="autoZero"/>
        <c:crossBetween val="midCat"/>
        <c:majorUnit val="2"/>
      </c:valAx>
      <c:valAx>
        <c:axId val="1020321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 sz="1000"/>
                </a:pPr>
                <a:r>
                  <a:rPr lang="pt-PT" sz="1000"/>
                  <a:t>Relative Abund. Index</a:t>
                </a:r>
              </a:p>
            </c:rich>
          </c:tx>
          <c:layout>
            <c:manualLayout>
              <c:xMode val="edge"/>
              <c:yMode val="edge"/>
              <c:x val="6.0818713450292522E-2"/>
              <c:y val="0.19642841419016449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/>
            </a:pPr>
            <a:endParaRPr lang="fr-FR"/>
          </a:p>
        </c:txPr>
        <c:crossAx val="10202176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"/>
          <c:y val="0.86674185081704358"/>
          <c:w val="1"/>
          <c:h val="0.1120267547201772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pt-PT"/>
          </a:pPr>
          <a:endParaRPr lang="fr-FR"/>
        </a:p>
      </c:txPr>
    </c:legend>
    <c:plotVisOnly val="1"/>
    <c:dispBlanksAs val="gap"/>
    <c:showDLblsOverMax val="0"/>
  </c:chart>
  <c:spPr>
    <a:solidFill>
      <a:sysClr val="window" lastClr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 b="1"/>
            </a:pPr>
            <a:r>
              <a:rPr lang="pt-PT" b="1" i="1"/>
              <a:t>T. trecae </a:t>
            </a:r>
            <a:r>
              <a:rPr lang="pt-PT" b="1"/>
              <a:t>- Nord Ouest Africaine </a:t>
            </a:r>
            <a:r>
              <a:rPr lang="pt-PT" b="1" i="1"/>
              <a:t>- status quo</a:t>
            </a:r>
          </a:p>
          <a:p>
            <a:pPr>
              <a:defRPr lang="pt-PT" b="1"/>
            </a:pPr>
            <a:r>
              <a:rPr lang="pt-PT" b="1"/>
              <a:t>Catches (Relative to MSY) 2024</a:t>
            </a:r>
          </a:p>
        </c:rich>
      </c:tx>
      <c:layout>
        <c:manualLayout>
          <c:xMode val="edge"/>
          <c:yMode val="edge"/>
          <c:x val="0.31431776793309141"/>
          <c:y val="0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70142180094791"/>
          <c:y val="0.12903270970790529"/>
          <c:w val="0.82306477093205432"/>
          <c:h val="0.64994252062580093"/>
        </c:manualLayout>
      </c:layout>
      <c:scatterChart>
        <c:scatterStyle val="lineMarker"/>
        <c:varyColors val="0"/>
        <c:ser>
          <c:idx val="2"/>
          <c:order val="0"/>
          <c:tx>
            <c:strRef>
              <c:f>'Tab&amp;FigTtre4.7.2'!$C$26</c:f>
              <c:strCache>
                <c:ptCount val="1"/>
                <c:pt idx="0">
                  <c:v>Catch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star"/>
            <c:size val="7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'Tab&amp;FigTtre4.7.2'!$B$27:$B$66</c:f>
              <c:numCache>
                <c:formatCode>General</c:formatCode>
                <c:ptCount val="40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  <c:pt idx="35">
                  <c:v>2026</c:v>
                </c:pt>
                <c:pt idx="36">
                  <c:v>2027</c:v>
                </c:pt>
                <c:pt idx="37">
                  <c:v>2028</c:v>
                </c:pt>
                <c:pt idx="38">
                  <c:v>2029</c:v>
                </c:pt>
                <c:pt idx="39">
                  <c:v>2030</c:v>
                </c:pt>
              </c:numCache>
            </c:numRef>
          </c:xVal>
          <c:yVal>
            <c:numRef>
              <c:f>'Tab&amp;FigTtre4.7.2'!$C$27:$C$66</c:f>
              <c:numCache>
                <c:formatCode>General</c:formatCode>
                <c:ptCount val="40"/>
                <c:pt idx="0">
                  <c:v>0.34328164746590595</c:v>
                </c:pt>
                <c:pt idx="1">
                  <c:v>0.41489363346338637</c:v>
                </c:pt>
                <c:pt idx="2">
                  <c:v>0.36575126795780888</c:v>
                </c:pt>
                <c:pt idx="3">
                  <c:v>0.25312341768706703</c:v>
                </c:pt>
                <c:pt idx="4">
                  <c:v>0.42030209114711214</c:v>
                </c:pt>
                <c:pt idx="5">
                  <c:v>0.31296872722959607</c:v>
                </c:pt>
                <c:pt idx="6">
                  <c:v>0.25147256023315839</c:v>
                </c:pt>
                <c:pt idx="7">
                  <c:v>0.42353127884461123</c:v>
                </c:pt>
                <c:pt idx="8">
                  <c:v>0.28957352138696613</c:v>
                </c:pt>
                <c:pt idx="9">
                  <c:v>0.59442265473760991</c:v>
                </c:pt>
                <c:pt idx="10">
                  <c:v>0.73212074404166305</c:v>
                </c:pt>
                <c:pt idx="11">
                  <c:v>0.53134470382089993</c:v>
                </c:pt>
                <c:pt idx="12">
                  <c:v>0.35011736320895531</c:v>
                </c:pt>
                <c:pt idx="13">
                  <c:v>0.62725912245864002</c:v>
                </c:pt>
                <c:pt idx="14">
                  <c:v>0.94055468562561007</c:v>
                </c:pt>
                <c:pt idx="15">
                  <c:v>0.88655252845425481</c:v>
                </c:pt>
                <c:pt idx="16">
                  <c:v>1.0604220689001869</c:v>
                </c:pt>
                <c:pt idx="17">
                  <c:v>1.2348482828770253</c:v>
                </c:pt>
                <c:pt idx="18">
                  <c:v>1.1982565784331718</c:v>
                </c:pt>
                <c:pt idx="19">
                  <c:v>1.216885710454894</c:v>
                </c:pt>
                <c:pt idx="20">
                  <c:v>0.8875189263400296</c:v>
                </c:pt>
                <c:pt idx="21">
                  <c:v>0.59915764546838135</c:v>
                </c:pt>
                <c:pt idx="22">
                  <c:v>0.4823543000893224</c:v>
                </c:pt>
                <c:pt idx="23">
                  <c:v>0.76680478192831059</c:v>
                </c:pt>
                <c:pt idx="24">
                  <c:v>0.71265200159346753</c:v>
                </c:pt>
                <c:pt idx="25">
                  <c:v>0.81453384754345837</c:v>
                </c:pt>
                <c:pt idx="26">
                  <c:v>0.81002200928491375</c:v>
                </c:pt>
                <c:pt idx="27">
                  <c:v>0.69364991255786623</c:v>
                </c:pt>
                <c:pt idx="28">
                  <c:v>0.846925696356705</c:v>
                </c:pt>
                <c:pt idx="29">
                  <c:v>0.78211579404325793</c:v>
                </c:pt>
                <c:pt idx="30">
                  <c:v>0.5382899301709414</c:v>
                </c:pt>
                <c:pt idx="31">
                  <c:v>0.682688269694813</c:v>
                </c:pt>
                <c:pt idx="32">
                  <c:v>0.75025143447290232</c:v>
                </c:pt>
                <c:pt idx="33">
                  <c:v>0.69235212193199225</c:v>
                </c:pt>
                <c:pt idx="34">
                  <c:v>0.64651065584129452</c:v>
                </c:pt>
                <c:pt idx="35">
                  <c:v>0.60944136075395239</c:v>
                </c:pt>
                <c:pt idx="36">
                  <c:v>0.5789478899943703</c:v>
                </c:pt>
                <c:pt idx="37">
                  <c:v>0.51226716780953163</c:v>
                </c:pt>
                <c:pt idx="38">
                  <c:v>0.60518045860631742</c:v>
                </c:pt>
                <c:pt idx="39">
                  <c:v>0.62854458948246827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E2-3143-9FB9-6DE31EF984E0}"/>
            </c:ext>
          </c:extLst>
        </c:ser>
        <c:ser>
          <c:idx val="0"/>
          <c:order val="1"/>
          <c:tx>
            <c:v>MSY</c:v>
          </c:tx>
          <c:spPr>
            <a:ln w="38100">
              <a:solidFill>
                <a:srgbClr val="000000"/>
              </a:solidFill>
              <a:prstDash val="lg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6797136935064422E-2"/>
                  <c:y val="-3.8690390973855605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lang="pt-PT"/>
                  </a:pPr>
                  <a:endParaRPr lang="fr-FR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E2-3143-9FB9-6DE31EF984E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'Tab&amp;FigTtre4.7.2'!#REF!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'Tab&amp;FigTtre4.7.2'!#REF!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E2-3143-9FB9-6DE31EF984E0}"/>
            </c:ext>
          </c:extLst>
        </c:ser>
        <c:ser>
          <c:idx val="1"/>
          <c:order val="2"/>
          <c:tx>
            <c:strRef>
              <c:f>'Tab&amp;FigTtre4.7.2'!$D$26</c:f>
              <c:strCache>
                <c:ptCount val="1"/>
                <c:pt idx="0">
                  <c:v>SustainableCatch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'Tab&amp;FigTtre4.7.2'!$B$27:$B$66</c:f>
              <c:numCache>
                <c:formatCode>General</c:formatCode>
                <c:ptCount val="40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  <c:pt idx="35">
                  <c:v>2026</c:v>
                </c:pt>
                <c:pt idx="36">
                  <c:v>2027</c:v>
                </c:pt>
                <c:pt idx="37">
                  <c:v>2028</c:v>
                </c:pt>
                <c:pt idx="38">
                  <c:v>2029</c:v>
                </c:pt>
                <c:pt idx="39">
                  <c:v>2030</c:v>
                </c:pt>
              </c:numCache>
            </c:numRef>
          </c:xVal>
          <c:yVal>
            <c:numRef>
              <c:f>'Tab&amp;FigTtre4.7.2'!$D$27:$D$66</c:f>
              <c:numCache>
                <c:formatCode>General</c:formatCode>
                <c:ptCount val="40"/>
                <c:pt idx="0">
                  <c:v>0.67216712872854023</c:v>
                </c:pt>
                <c:pt idx="1">
                  <c:v>0.67161761922576302</c:v>
                </c:pt>
                <c:pt idx="2">
                  <c:v>0.66107422909209179</c:v>
                </c:pt>
                <c:pt idx="3">
                  <c:v>0.65684081268780581</c:v>
                </c:pt>
                <c:pt idx="4">
                  <c:v>0.66820802359907439</c:v>
                </c:pt>
                <c:pt idx="5">
                  <c:v>0.65668835362985456</c:v>
                </c:pt>
                <c:pt idx="6">
                  <c:v>0.59985120339797993</c:v>
                </c:pt>
                <c:pt idx="7">
                  <c:v>0.60933964222740977</c:v>
                </c:pt>
                <c:pt idx="8">
                  <c:v>0.59308502076217295</c:v>
                </c:pt>
                <c:pt idx="9">
                  <c:v>0.59640895672110594</c:v>
                </c:pt>
                <c:pt idx="10">
                  <c:v>0.9435144199205886</c:v>
                </c:pt>
                <c:pt idx="11">
                  <c:v>0.92048724712279317</c:v>
                </c:pt>
                <c:pt idx="12">
                  <c:v>0.90892961293392016</c:v>
                </c:pt>
                <c:pt idx="13">
                  <c:v>0.90998703419198346</c:v>
                </c:pt>
                <c:pt idx="14">
                  <c:v>0.89066964381098401</c:v>
                </c:pt>
                <c:pt idx="15">
                  <c:v>0.84188299744855233</c:v>
                </c:pt>
                <c:pt idx="16">
                  <c:v>0.78990337986606896</c:v>
                </c:pt>
                <c:pt idx="17">
                  <c:v>0.99412886386667998</c:v>
                </c:pt>
                <c:pt idx="18">
                  <c:v>0.9980582926620587</c:v>
                </c:pt>
                <c:pt idx="19">
                  <c:v>0.97712587370835335</c:v>
                </c:pt>
                <c:pt idx="20">
                  <c:v>0.93509588460965609</c:v>
                </c:pt>
                <c:pt idx="21">
                  <c:v>0.89971300977785751</c:v>
                </c:pt>
                <c:pt idx="22">
                  <c:v>0.88182485121075482</c:v>
                </c:pt>
                <c:pt idx="23">
                  <c:v>0.87265647690940518</c:v>
                </c:pt>
                <c:pt idx="24">
                  <c:v>0.83735192460833252</c:v>
                </c:pt>
                <c:pt idx="25">
                  <c:v>0.8033222350411221</c:v>
                </c:pt>
                <c:pt idx="26">
                  <c:v>0.97762027978996424</c:v>
                </c:pt>
                <c:pt idx="27">
                  <c:v>0.99523047519269181</c:v>
                </c:pt>
                <c:pt idx="28">
                  <c:v>0.9999050509848153</c:v>
                </c:pt>
                <c:pt idx="29">
                  <c:v>0.99621006464942752</c:v>
                </c:pt>
                <c:pt idx="30">
                  <c:v>0.90101384318732314</c:v>
                </c:pt>
                <c:pt idx="31">
                  <c:v>0.98835458012995825</c:v>
                </c:pt>
                <c:pt idx="32">
                  <c:v>0.93263077942041239</c:v>
                </c:pt>
                <c:pt idx="33">
                  <c:v>0.97135948173367792</c:v>
                </c:pt>
                <c:pt idx="34">
                  <c:v>0.99059214443298094</c:v>
                </c:pt>
                <c:pt idx="35">
                  <c:v>0.99854893726800065</c:v>
                </c:pt>
                <c:pt idx="36">
                  <c:v>0.99988570081507144</c:v>
                </c:pt>
                <c:pt idx="37">
                  <c:v>0.98801142785090901</c:v>
                </c:pt>
                <c:pt idx="38">
                  <c:v>0.99097610269009873</c:v>
                </c:pt>
                <c:pt idx="39">
                  <c:v>0.99965167947678846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E2-3143-9FB9-6DE31EF984E0}"/>
            </c:ext>
          </c:extLst>
        </c:ser>
        <c:ser>
          <c:idx val="3"/>
          <c:order val="3"/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'Tab&amp;FigTtre4.7.2'!$A$24:$A$25</c:f>
              <c:numCache>
                <c:formatCode>General</c:formatCode>
                <c:ptCount val="2"/>
                <c:pt idx="0">
                  <c:v>2025</c:v>
                </c:pt>
                <c:pt idx="1">
                  <c:v>2025</c:v>
                </c:pt>
              </c:numCache>
            </c:numRef>
          </c:xVal>
          <c:yVal>
            <c:numRef>
              <c:f>'Tab&amp;FigTtre4.7.2'!$B$24:$B$25</c:f>
              <c:numCache>
                <c:formatCode>General</c:formatCode>
                <c:ptCount val="2"/>
                <c:pt idx="0">
                  <c:v>0</c:v>
                </c:pt>
                <c:pt idx="1">
                  <c:v>1.2143182734057842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1E2-3143-9FB9-6DE31EF98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41856"/>
        <c:axId val="102060416"/>
      </c:scatterChart>
      <c:valAx>
        <c:axId val="102041856"/>
        <c:scaling>
          <c:orientation val="minMax"/>
          <c:max val="2029"/>
          <c:min val="1995"/>
        </c:scaling>
        <c:delete val="0"/>
        <c:axPos val="b"/>
        <c:title>
          <c:tx>
            <c:rich>
              <a:bodyPr/>
              <a:lstStyle/>
              <a:p>
                <a:pPr>
                  <a:defRPr lang="pt-PT"/>
                </a:pPr>
                <a:r>
                  <a:rPr lang="pt-PT"/>
                  <a:t>Time</a:t>
                </a:r>
              </a:p>
            </c:rich>
          </c:tx>
          <c:layout>
            <c:manualLayout>
              <c:xMode val="edge"/>
              <c:yMode val="edge"/>
              <c:x val="0.49076272026632856"/>
              <c:y val="0.83954416607015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060416"/>
        <c:crosses val="autoZero"/>
        <c:crossBetween val="midCat"/>
        <c:majorUnit val="2"/>
      </c:valAx>
      <c:valAx>
        <c:axId val="1020604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pt-PT"/>
                </a:pPr>
                <a:r>
                  <a:rPr lang="pt-PT"/>
                  <a:t>Relative Catches</a:t>
                </a:r>
              </a:p>
            </c:rich>
          </c:tx>
          <c:layout>
            <c:manualLayout>
              <c:xMode val="edge"/>
              <c:yMode val="edge"/>
              <c:x val="0"/>
              <c:y val="0.27272727272727282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PT"/>
            </a:pPr>
            <a:endParaRPr lang="fr-FR"/>
          </a:p>
        </c:txPr>
        <c:crossAx val="102041856"/>
        <c:crosses val="autoZero"/>
        <c:crossBetween val="midCat"/>
        <c:majorUnit val="0.4"/>
        <c:minorUnit val="0.4"/>
      </c:valAx>
      <c:spPr>
        <a:noFill/>
        <a:ln w="25400">
          <a:noFill/>
        </a:ln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0.10674869418658672"/>
          <c:y val="0.93267363397758196"/>
          <c:w val="0.78650240290540219"/>
          <c:h val="3.865235027439751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pt-PT"/>
          </a:pPr>
          <a:endParaRPr lang="fr-FR"/>
        </a:p>
      </c:txPr>
    </c:legend>
    <c:plotVisOnly val="1"/>
    <c:dispBlanksAs val="gap"/>
    <c:showDLblsOverMax val="0"/>
  </c:chart>
  <c:spPr>
    <a:solidFill>
      <a:sysClr val="window" lastClr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13" Type="http://schemas.openxmlformats.org/officeDocument/2006/relationships/chart" Target="../charts/chart27.xml"/><Relationship Id="rId18" Type="http://schemas.openxmlformats.org/officeDocument/2006/relationships/chart" Target="../charts/chart32.xml"/><Relationship Id="rId26" Type="http://schemas.openxmlformats.org/officeDocument/2006/relationships/chart" Target="../charts/chart40.xml"/><Relationship Id="rId39" Type="http://schemas.openxmlformats.org/officeDocument/2006/relationships/chart" Target="../charts/chart53.xml"/><Relationship Id="rId3" Type="http://schemas.openxmlformats.org/officeDocument/2006/relationships/chart" Target="../charts/chart17.xml"/><Relationship Id="rId21" Type="http://schemas.openxmlformats.org/officeDocument/2006/relationships/chart" Target="../charts/chart35.xml"/><Relationship Id="rId34" Type="http://schemas.openxmlformats.org/officeDocument/2006/relationships/chart" Target="../charts/chart48.xml"/><Relationship Id="rId42" Type="http://schemas.openxmlformats.org/officeDocument/2006/relationships/chart" Target="../charts/chart56.xml"/><Relationship Id="rId7" Type="http://schemas.openxmlformats.org/officeDocument/2006/relationships/chart" Target="../charts/chart21.xml"/><Relationship Id="rId12" Type="http://schemas.openxmlformats.org/officeDocument/2006/relationships/chart" Target="../charts/chart26.xml"/><Relationship Id="rId17" Type="http://schemas.openxmlformats.org/officeDocument/2006/relationships/chart" Target="../charts/chart31.xml"/><Relationship Id="rId25" Type="http://schemas.openxmlformats.org/officeDocument/2006/relationships/chart" Target="../charts/chart39.xml"/><Relationship Id="rId33" Type="http://schemas.openxmlformats.org/officeDocument/2006/relationships/chart" Target="../charts/chart47.xml"/><Relationship Id="rId38" Type="http://schemas.openxmlformats.org/officeDocument/2006/relationships/chart" Target="../charts/chart52.xml"/><Relationship Id="rId2" Type="http://schemas.openxmlformats.org/officeDocument/2006/relationships/chart" Target="../charts/chart16.xml"/><Relationship Id="rId16" Type="http://schemas.openxmlformats.org/officeDocument/2006/relationships/chart" Target="../charts/chart30.xml"/><Relationship Id="rId20" Type="http://schemas.openxmlformats.org/officeDocument/2006/relationships/chart" Target="../charts/chart34.xml"/><Relationship Id="rId29" Type="http://schemas.openxmlformats.org/officeDocument/2006/relationships/chart" Target="../charts/chart43.xml"/><Relationship Id="rId41" Type="http://schemas.openxmlformats.org/officeDocument/2006/relationships/chart" Target="../charts/chart55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24" Type="http://schemas.openxmlformats.org/officeDocument/2006/relationships/chart" Target="../charts/chart38.xml"/><Relationship Id="rId32" Type="http://schemas.openxmlformats.org/officeDocument/2006/relationships/chart" Target="../charts/chart46.xml"/><Relationship Id="rId37" Type="http://schemas.openxmlformats.org/officeDocument/2006/relationships/chart" Target="../charts/chart51.xml"/><Relationship Id="rId40" Type="http://schemas.openxmlformats.org/officeDocument/2006/relationships/chart" Target="../charts/chart54.xml"/><Relationship Id="rId5" Type="http://schemas.openxmlformats.org/officeDocument/2006/relationships/chart" Target="../charts/chart19.xml"/><Relationship Id="rId15" Type="http://schemas.openxmlformats.org/officeDocument/2006/relationships/chart" Target="../charts/chart29.xml"/><Relationship Id="rId23" Type="http://schemas.openxmlformats.org/officeDocument/2006/relationships/chart" Target="../charts/chart37.xml"/><Relationship Id="rId28" Type="http://schemas.openxmlformats.org/officeDocument/2006/relationships/chart" Target="../charts/chart42.xml"/><Relationship Id="rId36" Type="http://schemas.openxmlformats.org/officeDocument/2006/relationships/chart" Target="../charts/chart50.xml"/><Relationship Id="rId10" Type="http://schemas.openxmlformats.org/officeDocument/2006/relationships/chart" Target="../charts/chart24.xml"/><Relationship Id="rId19" Type="http://schemas.openxmlformats.org/officeDocument/2006/relationships/chart" Target="../charts/chart33.xml"/><Relationship Id="rId31" Type="http://schemas.openxmlformats.org/officeDocument/2006/relationships/chart" Target="../charts/chart45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Relationship Id="rId14" Type="http://schemas.openxmlformats.org/officeDocument/2006/relationships/chart" Target="../charts/chart28.xml"/><Relationship Id="rId22" Type="http://schemas.openxmlformats.org/officeDocument/2006/relationships/chart" Target="../charts/chart36.xml"/><Relationship Id="rId27" Type="http://schemas.openxmlformats.org/officeDocument/2006/relationships/chart" Target="../charts/chart41.xml"/><Relationship Id="rId30" Type="http://schemas.openxmlformats.org/officeDocument/2006/relationships/chart" Target="../charts/chart44.xml"/><Relationship Id="rId35" Type="http://schemas.openxmlformats.org/officeDocument/2006/relationships/chart" Target="../charts/chart49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4.xml"/><Relationship Id="rId13" Type="http://schemas.openxmlformats.org/officeDocument/2006/relationships/chart" Target="../charts/chart69.xml"/><Relationship Id="rId18" Type="http://schemas.openxmlformats.org/officeDocument/2006/relationships/chart" Target="../charts/chart74.xml"/><Relationship Id="rId3" Type="http://schemas.openxmlformats.org/officeDocument/2006/relationships/chart" Target="../charts/chart59.xml"/><Relationship Id="rId21" Type="http://schemas.openxmlformats.org/officeDocument/2006/relationships/chart" Target="../charts/chart77.xml"/><Relationship Id="rId7" Type="http://schemas.openxmlformats.org/officeDocument/2006/relationships/chart" Target="../charts/chart63.xml"/><Relationship Id="rId12" Type="http://schemas.openxmlformats.org/officeDocument/2006/relationships/chart" Target="../charts/chart68.xml"/><Relationship Id="rId17" Type="http://schemas.openxmlformats.org/officeDocument/2006/relationships/chart" Target="../charts/chart73.xml"/><Relationship Id="rId2" Type="http://schemas.openxmlformats.org/officeDocument/2006/relationships/chart" Target="../charts/chart58.xml"/><Relationship Id="rId16" Type="http://schemas.openxmlformats.org/officeDocument/2006/relationships/chart" Target="../charts/chart72.xml"/><Relationship Id="rId20" Type="http://schemas.openxmlformats.org/officeDocument/2006/relationships/chart" Target="../charts/chart76.xml"/><Relationship Id="rId1" Type="http://schemas.openxmlformats.org/officeDocument/2006/relationships/chart" Target="../charts/chart57.xml"/><Relationship Id="rId6" Type="http://schemas.openxmlformats.org/officeDocument/2006/relationships/chart" Target="../charts/chart62.xml"/><Relationship Id="rId11" Type="http://schemas.openxmlformats.org/officeDocument/2006/relationships/chart" Target="../charts/chart67.xml"/><Relationship Id="rId24" Type="http://schemas.openxmlformats.org/officeDocument/2006/relationships/chart" Target="../charts/chart80.xml"/><Relationship Id="rId5" Type="http://schemas.openxmlformats.org/officeDocument/2006/relationships/chart" Target="../charts/chart61.xml"/><Relationship Id="rId15" Type="http://schemas.openxmlformats.org/officeDocument/2006/relationships/chart" Target="../charts/chart71.xml"/><Relationship Id="rId23" Type="http://schemas.openxmlformats.org/officeDocument/2006/relationships/chart" Target="../charts/chart79.xml"/><Relationship Id="rId10" Type="http://schemas.openxmlformats.org/officeDocument/2006/relationships/chart" Target="../charts/chart66.xml"/><Relationship Id="rId19" Type="http://schemas.openxmlformats.org/officeDocument/2006/relationships/chart" Target="../charts/chart75.xml"/><Relationship Id="rId4" Type="http://schemas.openxmlformats.org/officeDocument/2006/relationships/chart" Target="../charts/chart60.xml"/><Relationship Id="rId9" Type="http://schemas.openxmlformats.org/officeDocument/2006/relationships/chart" Target="../charts/chart65.xml"/><Relationship Id="rId14" Type="http://schemas.openxmlformats.org/officeDocument/2006/relationships/chart" Target="../charts/chart70.xml"/><Relationship Id="rId22" Type="http://schemas.openxmlformats.org/officeDocument/2006/relationships/chart" Target="../charts/chart78.xml"/></Relationships>
</file>

<file path=xl/drawings/_rels/drawing1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93.xml"/><Relationship Id="rId18" Type="http://schemas.openxmlformats.org/officeDocument/2006/relationships/chart" Target="../charts/chart98.xml"/><Relationship Id="rId26" Type="http://schemas.openxmlformats.org/officeDocument/2006/relationships/chart" Target="../charts/chart106.xml"/><Relationship Id="rId39" Type="http://schemas.openxmlformats.org/officeDocument/2006/relationships/chart" Target="../charts/chart119.xml"/><Relationship Id="rId3" Type="http://schemas.openxmlformats.org/officeDocument/2006/relationships/chart" Target="../charts/chart83.xml"/><Relationship Id="rId21" Type="http://schemas.openxmlformats.org/officeDocument/2006/relationships/chart" Target="../charts/chart101.xml"/><Relationship Id="rId34" Type="http://schemas.openxmlformats.org/officeDocument/2006/relationships/chart" Target="../charts/chart114.xml"/><Relationship Id="rId42" Type="http://schemas.openxmlformats.org/officeDocument/2006/relationships/chart" Target="../charts/chart122.xml"/><Relationship Id="rId47" Type="http://schemas.openxmlformats.org/officeDocument/2006/relationships/chart" Target="../charts/chart125.xml"/><Relationship Id="rId50" Type="http://schemas.openxmlformats.org/officeDocument/2006/relationships/chart" Target="../charts/chart128.xml"/><Relationship Id="rId7" Type="http://schemas.openxmlformats.org/officeDocument/2006/relationships/chart" Target="../charts/chart87.xml"/><Relationship Id="rId12" Type="http://schemas.openxmlformats.org/officeDocument/2006/relationships/chart" Target="../charts/chart92.xml"/><Relationship Id="rId17" Type="http://schemas.openxmlformats.org/officeDocument/2006/relationships/chart" Target="../charts/chart97.xml"/><Relationship Id="rId25" Type="http://schemas.openxmlformats.org/officeDocument/2006/relationships/chart" Target="../charts/chart105.xml"/><Relationship Id="rId33" Type="http://schemas.openxmlformats.org/officeDocument/2006/relationships/chart" Target="../charts/chart113.xml"/><Relationship Id="rId38" Type="http://schemas.openxmlformats.org/officeDocument/2006/relationships/chart" Target="../charts/chart118.xml"/><Relationship Id="rId46" Type="http://schemas.openxmlformats.org/officeDocument/2006/relationships/image" Target="../media/image2.png"/><Relationship Id="rId2" Type="http://schemas.openxmlformats.org/officeDocument/2006/relationships/chart" Target="../charts/chart82.xml"/><Relationship Id="rId16" Type="http://schemas.openxmlformats.org/officeDocument/2006/relationships/chart" Target="../charts/chart96.xml"/><Relationship Id="rId20" Type="http://schemas.openxmlformats.org/officeDocument/2006/relationships/chart" Target="../charts/chart100.xml"/><Relationship Id="rId29" Type="http://schemas.openxmlformats.org/officeDocument/2006/relationships/chart" Target="../charts/chart109.xml"/><Relationship Id="rId41" Type="http://schemas.openxmlformats.org/officeDocument/2006/relationships/chart" Target="../charts/chart121.xml"/><Relationship Id="rId1" Type="http://schemas.openxmlformats.org/officeDocument/2006/relationships/chart" Target="../charts/chart81.xml"/><Relationship Id="rId6" Type="http://schemas.openxmlformats.org/officeDocument/2006/relationships/chart" Target="../charts/chart86.xml"/><Relationship Id="rId11" Type="http://schemas.openxmlformats.org/officeDocument/2006/relationships/chart" Target="../charts/chart91.xml"/><Relationship Id="rId24" Type="http://schemas.openxmlformats.org/officeDocument/2006/relationships/chart" Target="../charts/chart104.xml"/><Relationship Id="rId32" Type="http://schemas.openxmlformats.org/officeDocument/2006/relationships/chart" Target="../charts/chart112.xml"/><Relationship Id="rId37" Type="http://schemas.openxmlformats.org/officeDocument/2006/relationships/chart" Target="../charts/chart117.xml"/><Relationship Id="rId40" Type="http://schemas.openxmlformats.org/officeDocument/2006/relationships/chart" Target="../charts/chart120.xml"/><Relationship Id="rId45" Type="http://schemas.openxmlformats.org/officeDocument/2006/relationships/image" Target="../media/image1.png"/><Relationship Id="rId5" Type="http://schemas.openxmlformats.org/officeDocument/2006/relationships/chart" Target="../charts/chart85.xml"/><Relationship Id="rId15" Type="http://schemas.openxmlformats.org/officeDocument/2006/relationships/chart" Target="../charts/chart95.xml"/><Relationship Id="rId23" Type="http://schemas.openxmlformats.org/officeDocument/2006/relationships/chart" Target="../charts/chart103.xml"/><Relationship Id="rId28" Type="http://schemas.openxmlformats.org/officeDocument/2006/relationships/chart" Target="../charts/chart108.xml"/><Relationship Id="rId36" Type="http://schemas.openxmlformats.org/officeDocument/2006/relationships/chart" Target="../charts/chart116.xml"/><Relationship Id="rId49" Type="http://schemas.openxmlformats.org/officeDocument/2006/relationships/chart" Target="../charts/chart127.xml"/><Relationship Id="rId10" Type="http://schemas.openxmlformats.org/officeDocument/2006/relationships/chart" Target="../charts/chart90.xml"/><Relationship Id="rId19" Type="http://schemas.openxmlformats.org/officeDocument/2006/relationships/chart" Target="../charts/chart99.xml"/><Relationship Id="rId31" Type="http://schemas.openxmlformats.org/officeDocument/2006/relationships/chart" Target="../charts/chart111.xml"/><Relationship Id="rId44" Type="http://schemas.openxmlformats.org/officeDocument/2006/relationships/chart" Target="../charts/chart124.xml"/><Relationship Id="rId4" Type="http://schemas.openxmlformats.org/officeDocument/2006/relationships/chart" Target="../charts/chart84.xml"/><Relationship Id="rId9" Type="http://schemas.openxmlformats.org/officeDocument/2006/relationships/chart" Target="../charts/chart89.xml"/><Relationship Id="rId14" Type="http://schemas.openxmlformats.org/officeDocument/2006/relationships/chart" Target="../charts/chart94.xml"/><Relationship Id="rId22" Type="http://schemas.openxmlformats.org/officeDocument/2006/relationships/chart" Target="../charts/chart102.xml"/><Relationship Id="rId27" Type="http://schemas.openxmlformats.org/officeDocument/2006/relationships/chart" Target="../charts/chart107.xml"/><Relationship Id="rId30" Type="http://schemas.openxmlformats.org/officeDocument/2006/relationships/chart" Target="../charts/chart110.xml"/><Relationship Id="rId35" Type="http://schemas.openxmlformats.org/officeDocument/2006/relationships/chart" Target="../charts/chart115.xml"/><Relationship Id="rId43" Type="http://schemas.openxmlformats.org/officeDocument/2006/relationships/chart" Target="../charts/chart123.xml"/><Relationship Id="rId48" Type="http://schemas.openxmlformats.org/officeDocument/2006/relationships/chart" Target="../charts/chart126.xml"/><Relationship Id="rId8" Type="http://schemas.openxmlformats.org/officeDocument/2006/relationships/chart" Target="../charts/chart88.xml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1.xml"/><Relationship Id="rId2" Type="http://schemas.openxmlformats.org/officeDocument/2006/relationships/chart" Target="../charts/chart130.xml"/><Relationship Id="rId1" Type="http://schemas.openxmlformats.org/officeDocument/2006/relationships/chart" Target="../charts/chart129.xml"/><Relationship Id="rId6" Type="http://schemas.openxmlformats.org/officeDocument/2006/relationships/chart" Target="../charts/chart134.xml"/><Relationship Id="rId5" Type="http://schemas.openxmlformats.org/officeDocument/2006/relationships/chart" Target="../charts/chart133.xml"/><Relationship Id="rId4" Type="http://schemas.openxmlformats.org/officeDocument/2006/relationships/chart" Target="../charts/chart132.xml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7.xml"/><Relationship Id="rId7" Type="http://schemas.openxmlformats.org/officeDocument/2006/relationships/chart" Target="../charts/chart141.xml"/><Relationship Id="rId2" Type="http://schemas.openxmlformats.org/officeDocument/2006/relationships/chart" Target="../charts/chart136.xml"/><Relationship Id="rId1" Type="http://schemas.openxmlformats.org/officeDocument/2006/relationships/chart" Target="../charts/chart135.xml"/><Relationship Id="rId6" Type="http://schemas.openxmlformats.org/officeDocument/2006/relationships/chart" Target="../charts/chart140.xml"/><Relationship Id="rId5" Type="http://schemas.openxmlformats.org/officeDocument/2006/relationships/chart" Target="../charts/chart139.xml"/><Relationship Id="rId4" Type="http://schemas.openxmlformats.org/officeDocument/2006/relationships/chart" Target="../charts/chart138.xml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4.xml"/><Relationship Id="rId2" Type="http://schemas.openxmlformats.org/officeDocument/2006/relationships/chart" Target="../charts/chart143.xml"/><Relationship Id="rId1" Type="http://schemas.openxmlformats.org/officeDocument/2006/relationships/chart" Target="../charts/chart142.xml"/><Relationship Id="rId4" Type="http://schemas.openxmlformats.org/officeDocument/2006/relationships/chart" Target="../charts/chart145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6.xml"/></Relationships>
</file>

<file path=xl/drawings/_rels/drawing4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4.xml"/><Relationship Id="rId3" Type="http://schemas.openxmlformats.org/officeDocument/2006/relationships/chart" Target="../charts/chart149.xml"/><Relationship Id="rId7" Type="http://schemas.openxmlformats.org/officeDocument/2006/relationships/chart" Target="../charts/chart153.xml"/><Relationship Id="rId2" Type="http://schemas.openxmlformats.org/officeDocument/2006/relationships/chart" Target="../charts/chart148.xml"/><Relationship Id="rId1" Type="http://schemas.openxmlformats.org/officeDocument/2006/relationships/chart" Target="../charts/chart147.xml"/><Relationship Id="rId6" Type="http://schemas.openxmlformats.org/officeDocument/2006/relationships/chart" Target="../charts/chart152.xml"/><Relationship Id="rId5" Type="http://schemas.openxmlformats.org/officeDocument/2006/relationships/chart" Target="../charts/chart151.xml"/><Relationship Id="rId4" Type="http://schemas.openxmlformats.org/officeDocument/2006/relationships/chart" Target="../charts/chart150.xml"/></Relationships>
</file>

<file path=xl/drawings/_rels/drawing4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2.xml"/><Relationship Id="rId3" Type="http://schemas.openxmlformats.org/officeDocument/2006/relationships/chart" Target="../charts/chart157.xml"/><Relationship Id="rId7" Type="http://schemas.openxmlformats.org/officeDocument/2006/relationships/chart" Target="../charts/chart161.xml"/><Relationship Id="rId2" Type="http://schemas.openxmlformats.org/officeDocument/2006/relationships/chart" Target="../charts/chart156.xml"/><Relationship Id="rId1" Type="http://schemas.openxmlformats.org/officeDocument/2006/relationships/chart" Target="../charts/chart155.xml"/><Relationship Id="rId6" Type="http://schemas.openxmlformats.org/officeDocument/2006/relationships/chart" Target="../charts/chart160.xml"/><Relationship Id="rId5" Type="http://schemas.openxmlformats.org/officeDocument/2006/relationships/chart" Target="../charts/chart159.xml"/><Relationship Id="rId4" Type="http://schemas.openxmlformats.org/officeDocument/2006/relationships/chart" Target="../charts/chart158.xml"/><Relationship Id="rId9" Type="http://schemas.openxmlformats.org/officeDocument/2006/relationships/chart" Target="../charts/chart163.xml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6.xml"/><Relationship Id="rId2" Type="http://schemas.openxmlformats.org/officeDocument/2006/relationships/chart" Target="../charts/chart165.xml"/><Relationship Id="rId1" Type="http://schemas.openxmlformats.org/officeDocument/2006/relationships/chart" Target="../charts/chart164.xml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9.xml"/><Relationship Id="rId2" Type="http://schemas.openxmlformats.org/officeDocument/2006/relationships/chart" Target="../charts/chart168.xml"/><Relationship Id="rId1" Type="http://schemas.openxmlformats.org/officeDocument/2006/relationships/chart" Target="../charts/chart167.xml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1.xml"/><Relationship Id="rId1" Type="http://schemas.openxmlformats.org/officeDocument/2006/relationships/chart" Target="../charts/chart170.xml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3.xml"/><Relationship Id="rId1" Type="http://schemas.openxmlformats.org/officeDocument/2006/relationships/chart" Target="../charts/chart17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164305</xdr:colOff>
      <xdr:row>101</xdr:row>
      <xdr:rowOff>92870</xdr:rowOff>
    </xdr:from>
    <xdr:to>
      <xdr:col>36</xdr:col>
      <xdr:colOff>47625</xdr:colOff>
      <xdr:row>128</xdr:row>
      <xdr:rowOff>92869</xdr:rowOff>
    </xdr:to>
    <xdr:graphicFrame macro="">
      <xdr:nvGraphicFramePr>
        <xdr:cNvPr id="1222" name="Chart 3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190500</xdr:colOff>
      <xdr:row>28</xdr:row>
      <xdr:rowOff>111126</xdr:rowOff>
    </xdr:from>
    <xdr:to>
      <xdr:col>30</xdr:col>
      <xdr:colOff>126999</xdr:colOff>
      <xdr:row>52</xdr:row>
      <xdr:rowOff>47625</xdr:rowOff>
    </xdr:to>
    <xdr:graphicFrame macro="">
      <xdr:nvGraphicFramePr>
        <xdr:cNvPr id="5146" name="Chart 5">
          <a:extLst>
            <a:ext uri="{FF2B5EF4-FFF2-40B4-BE49-F238E27FC236}">
              <a16:creationId xmlns:a16="http://schemas.microsoft.com/office/drawing/2014/main" id="{00000000-0008-0000-0100-00001A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865186</xdr:colOff>
      <xdr:row>28</xdr:row>
      <xdr:rowOff>126999</xdr:rowOff>
    </xdr:from>
    <xdr:to>
      <xdr:col>12</xdr:col>
      <xdr:colOff>127000</xdr:colOff>
      <xdr:row>51</xdr:row>
      <xdr:rowOff>95249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265111</xdr:colOff>
      <xdr:row>29</xdr:row>
      <xdr:rowOff>154781</xdr:rowOff>
    </xdr:from>
    <xdr:to>
      <xdr:col>22</xdr:col>
      <xdr:colOff>467517</xdr:colOff>
      <xdr:row>47</xdr:row>
      <xdr:rowOff>154781</xdr:rowOff>
    </xdr:to>
    <xdr:graphicFrame macro="">
      <xdr:nvGraphicFramePr>
        <xdr:cNvPr id="491525" name="Chart 1">
          <a:extLst>
            <a:ext uri="{FF2B5EF4-FFF2-40B4-BE49-F238E27FC236}">
              <a16:creationId xmlns:a16="http://schemas.microsoft.com/office/drawing/2014/main" id="{00000000-0008-0000-0200-00000580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</xdr:colOff>
      <xdr:row>30</xdr:row>
      <xdr:rowOff>9525</xdr:rowOff>
    </xdr:from>
    <xdr:to>
      <xdr:col>3</xdr:col>
      <xdr:colOff>352431</xdr:colOff>
      <xdr:row>47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1175658</xdr:colOff>
      <xdr:row>35</xdr:row>
      <xdr:rowOff>34018</xdr:rowOff>
    </xdr:from>
    <xdr:to>
      <xdr:col>15</xdr:col>
      <xdr:colOff>349704</xdr:colOff>
      <xdr:row>53</xdr:row>
      <xdr:rowOff>47626</xdr:rowOff>
    </xdr:to>
    <xdr:graphicFrame macro="">
      <xdr:nvGraphicFramePr>
        <xdr:cNvPr id="507906" name="Chart 4">
          <a:extLst>
            <a:ext uri="{FF2B5EF4-FFF2-40B4-BE49-F238E27FC236}">
              <a16:creationId xmlns:a16="http://schemas.microsoft.com/office/drawing/2014/main" id="{00000000-0008-0000-0400-000002C0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701675</xdr:colOff>
      <xdr:row>10</xdr:row>
      <xdr:rowOff>111125</xdr:rowOff>
    </xdr:from>
    <xdr:to>
      <xdr:col>14</xdr:col>
      <xdr:colOff>165100</xdr:colOff>
      <xdr:row>27</xdr:row>
      <xdr:rowOff>98425</xdr:rowOff>
    </xdr:to>
    <xdr:graphicFrame macro="">
      <xdr:nvGraphicFramePr>
        <xdr:cNvPr id="509954" name="Chart 3">
          <a:extLst>
            <a:ext uri="{FF2B5EF4-FFF2-40B4-BE49-F238E27FC236}">
              <a16:creationId xmlns:a16="http://schemas.microsoft.com/office/drawing/2014/main" id="{00000000-0008-0000-0500-000002C8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404813</xdr:colOff>
      <xdr:row>4</xdr:row>
      <xdr:rowOff>33338</xdr:rowOff>
    </xdr:from>
    <xdr:to>
      <xdr:col>23</xdr:col>
      <xdr:colOff>86679</xdr:colOff>
      <xdr:row>28</xdr:row>
      <xdr:rowOff>23812</xdr:rowOff>
    </xdr:to>
    <xdr:graphicFrame macro="">
      <xdr:nvGraphicFramePr>
        <xdr:cNvPr id="512002" name="Chart 4">
          <a:extLst>
            <a:ext uri="{FF2B5EF4-FFF2-40B4-BE49-F238E27FC236}">
              <a16:creationId xmlns:a16="http://schemas.microsoft.com/office/drawing/2014/main" id="{00000000-0008-0000-0600-000002D0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396308</xdr:colOff>
      <xdr:row>23</xdr:row>
      <xdr:rowOff>129268</xdr:rowOff>
    </xdr:from>
    <xdr:to>
      <xdr:col>23</xdr:col>
      <xdr:colOff>272143</xdr:colOff>
      <xdr:row>39</xdr:row>
      <xdr:rowOff>61231</xdr:rowOff>
    </xdr:to>
    <xdr:graphicFrame macro="">
      <xdr:nvGraphicFramePr>
        <xdr:cNvPr id="504835" name="Chart 3">
          <a:extLst>
            <a:ext uri="{FF2B5EF4-FFF2-40B4-BE49-F238E27FC236}">
              <a16:creationId xmlns:a16="http://schemas.microsoft.com/office/drawing/2014/main" id="{00000000-0008-0000-0300-000003B4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190501</xdr:colOff>
      <xdr:row>2</xdr:row>
      <xdr:rowOff>111919</xdr:rowOff>
    </xdr:from>
    <xdr:to>
      <xdr:col>23</xdr:col>
      <xdr:colOff>500063</xdr:colOff>
      <xdr:row>22</xdr:row>
      <xdr:rowOff>59531</xdr:rowOff>
    </xdr:to>
    <xdr:graphicFrame macro="">
      <xdr:nvGraphicFramePr>
        <xdr:cNvPr id="504836" name="Graphique 2">
          <a:extLst>
            <a:ext uri="{FF2B5EF4-FFF2-40B4-BE49-F238E27FC236}">
              <a16:creationId xmlns:a16="http://schemas.microsoft.com/office/drawing/2014/main" id="{00000000-0008-0000-0300-000004B4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375896</xdr:colOff>
      <xdr:row>47</xdr:row>
      <xdr:rowOff>95251</xdr:rowOff>
    </xdr:from>
    <xdr:to>
      <xdr:col>24</xdr:col>
      <xdr:colOff>102052</xdr:colOff>
      <xdr:row>64</xdr:row>
      <xdr:rowOff>147977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580118</xdr:colOff>
      <xdr:row>43</xdr:row>
      <xdr:rowOff>14061</xdr:rowOff>
    </xdr:from>
    <xdr:to>
      <xdr:col>20</xdr:col>
      <xdr:colOff>539296</xdr:colOff>
      <xdr:row>59</xdr:row>
      <xdr:rowOff>25400</xdr:rowOff>
    </xdr:to>
    <xdr:graphicFrame macro="">
      <xdr:nvGraphicFramePr>
        <xdr:cNvPr id="493574" name="Chart 1025">
          <a:extLst>
            <a:ext uri="{FF2B5EF4-FFF2-40B4-BE49-F238E27FC236}">
              <a16:creationId xmlns:a16="http://schemas.microsoft.com/office/drawing/2014/main" id="{00000000-0008-0000-0700-00000688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616859</xdr:colOff>
      <xdr:row>24</xdr:row>
      <xdr:rowOff>97519</xdr:rowOff>
    </xdr:from>
    <xdr:to>
      <xdr:col>21</xdr:col>
      <xdr:colOff>164311</xdr:colOff>
      <xdr:row>39</xdr:row>
      <xdr:rowOff>108784</xdr:rowOff>
    </xdr:to>
    <xdr:graphicFrame macro="">
      <xdr:nvGraphicFramePr>
        <xdr:cNvPr id="493575" name="Chart 1026">
          <a:extLst>
            <a:ext uri="{FF2B5EF4-FFF2-40B4-BE49-F238E27FC236}">
              <a16:creationId xmlns:a16="http://schemas.microsoft.com/office/drawing/2014/main" id="{00000000-0008-0000-0700-00000788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552451</xdr:colOff>
      <xdr:row>0</xdr:row>
      <xdr:rowOff>0</xdr:rowOff>
    </xdr:from>
    <xdr:to>
      <xdr:col>23</xdr:col>
      <xdr:colOff>617311</xdr:colOff>
      <xdr:row>24</xdr:row>
      <xdr:rowOff>142875</xdr:rowOff>
    </xdr:to>
    <xdr:graphicFrame macro="">
      <xdr:nvGraphicFramePr>
        <xdr:cNvPr id="493576" name="Graphique 3">
          <a:extLst>
            <a:ext uri="{FF2B5EF4-FFF2-40B4-BE49-F238E27FC236}">
              <a16:creationId xmlns:a16="http://schemas.microsoft.com/office/drawing/2014/main" id="{00000000-0008-0000-0700-00000888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183273</xdr:colOff>
      <xdr:row>55</xdr:row>
      <xdr:rowOff>43793</xdr:rowOff>
    </xdr:from>
    <xdr:to>
      <xdr:col>46</xdr:col>
      <xdr:colOff>157873</xdr:colOff>
      <xdr:row>69</xdr:row>
      <xdr:rowOff>92841</xdr:rowOff>
    </xdr:to>
    <xdr:graphicFrame macro="">
      <xdr:nvGraphicFramePr>
        <xdr:cNvPr id="27" name="Graphique 7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416035</xdr:colOff>
      <xdr:row>72</xdr:row>
      <xdr:rowOff>93812</xdr:rowOff>
    </xdr:from>
    <xdr:to>
      <xdr:col>30</xdr:col>
      <xdr:colOff>127876</xdr:colOff>
      <xdr:row>87</xdr:row>
      <xdr:rowOff>25727</xdr:rowOff>
    </xdr:to>
    <xdr:graphicFrame macro="">
      <xdr:nvGraphicFramePr>
        <xdr:cNvPr id="31" name="Graphique 7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416035</xdr:colOff>
      <xdr:row>88</xdr:row>
      <xdr:rowOff>95667</xdr:rowOff>
    </xdr:from>
    <xdr:to>
      <xdr:col>30</xdr:col>
      <xdr:colOff>127876</xdr:colOff>
      <xdr:row>102</xdr:row>
      <xdr:rowOff>105212</xdr:rowOff>
    </xdr:to>
    <xdr:graphicFrame macro="">
      <xdr:nvGraphicFramePr>
        <xdr:cNvPr id="32" name="Graphique 7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478878</xdr:colOff>
      <xdr:row>104</xdr:row>
      <xdr:rowOff>43794</xdr:rowOff>
    </xdr:from>
    <xdr:to>
      <xdr:col>30</xdr:col>
      <xdr:colOff>190719</xdr:colOff>
      <xdr:row>120</xdr:row>
      <xdr:rowOff>25291</xdr:rowOff>
    </xdr:to>
    <xdr:graphicFrame macro="">
      <xdr:nvGraphicFramePr>
        <xdr:cNvPr id="33" name="Graphique 7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459828</xdr:colOff>
      <xdr:row>120</xdr:row>
      <xdr:rowOff>65690</xdr:rowOff>
    </xdr:from>
    <xdr:to>
      <xdr:col>30</xdr:col>
      <xdr:colOff>171669</xdr:colOff>
      <xdr:row>136</xdr:row>
      <xdr:rowOff>25291</xdr:rowOff>
    </xdr:to>
    <xdr:graphicFrame macro="">
      <xdr:nvGraphicFramePr>
        <xdr:cNvPr id="36" name="Graphique 7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459828</xdr:colOff>
      <xdr:row>137</xdr:row>
      <xdr:rowOff>65690</xdr:rowOff>
    </xdr:from>
    <xdr:to>
      <xdr:col>30</xdr:col>
      <xdr:colOff>171669</xdr:colOff>
      <xdr:row>153</xdr:row>
      <xdr:rowOff>25290</xdr:rowOff>
    </xdr:to>
    <xdr:graphicFrame macro="">
      <xdr:nvGraphicFramePr>
        <xdr:cNvPr id="38" name="Graphique 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99578</xdr:colOff>
      <xdr:row>0</xdr:row>
      <xdr:rowOff>0</xdr:rowOff>
    </xdr:from>
    <xdr:to>
      <xdr:col>43</xdr:col>
      <xdr:colOff>709179</xdr:colOff>
      <xdr:row>11</xdr:row>
      <xdr:rowOff>71502</xdr:rowOff>
    </xdr:to>
    <xdr:graphicFrame macro="">
      <xdr:nvGraphicFramePr>
        <xdr:cNvPr id="19" name="Graphique 7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38</xdr:col>
      <xdr:colOff>132982</xdr:colOff>
      <xdr:row>12</xdr:row>
      <xdr:rowOff>11745</xdr:rowOff>
    </xdr:from>
    <xdr:to>
      <xdr:col>43</xdr:col>
      <xdr:colOff>742583</xdr:colOff>
      <xdr:row>25</xdr:row>
      <xdr:rowOff>61669</xdr:rowOff>
    </xdr:to>
    <xdr:graphicFrame macro="">
      <xdr:nvGraphicFramePr>
        <xdr:cNvPr id="20" name="Graphique 7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38</xdr:col>
      <xdr:colOff>167190</xdr:colOff>
      <xdr:row>25</xdr:row>
      <xdr:rowOff>100384</xdr:rowOff>
    </xdr:from>
    <xdr:to>
      <xdr:col>44</xdr:col>
      <xdr:colOff>109484</xdr:colOff>
      <xdr:row>37</xdr:row>
      <xdr:rowOff>153276</xdr:rowOff>
    </xdr:to>
    <xdr:graphicFrame macro="">
      <xdr:nvGraphicFramePr>
        <xdr:cNvPr id="24" name="Graphique 7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38</xdr:col>
      <xdr:colOff>164224</xdr:colOff>
      <xdr:row>39</xdr:row>
      <xdr:rowOff>149245</xdr:rowOff>
    </xdr:from>
    <xdr:to>
      <xdr:col>44</xdr:col>
      <xdr:colOff>76638</xdr:colOff>
      <xdr:row>54</xdr:row>
      <xdr:rowOff>108547</xdr:rowOff>
    </xdr:to>
    <xdr:graphicFrame macro="">
      <xdr:nvGraphicFramePr>
        <xdr:cNvPr id="25" name="Graphique 7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31</xdr:col>
      <xdr:colOff>744482</xdr:colOff>
      <xdr:row>15</xdr:row>
      <xdr:rowOff>0</xdr:rowOff>
    </xdr:from>
    <xdr:to>
      <xdr:col>37</xdr:col>
      <xdr:colOff>87585</xdr:colOff>
      <xdr:row>28</xdr:row>
      <xdr:rowOff>65690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31</xdr:col>
      <xdr:colOff>755432</xdr:colOff>
      <xdr:row>1</xdr:row>
      <xdr:rowOff>43793</xdr:rowOff>
    </xdr:from>
    <xdr:to>
      <xdr:col>37</xdr:col>
      <xdr:colOff>98535</xdr:colOff>
      <xdr:row>14</xdr:row>
      <xdr:rowOff>43794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32</xdr:col>
      <xdr:colOff>0</xdr:colOff>
      <xdr:row>30</xdr:row>
      <xdr:rowOff>0</xdr:rowOff>
    </xdr:from>
    <xdr:to>
      <xdr:col>37</xdr:col>
      <xdr:colOff>109483</xdr:colOff>
      <xdr:row>43</xdr:row>
      <xdr:rowOff>65690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58</xdr:col>
      <xdr:colOff>96344</xdr:colOff>
      <xdr:row>3</xdr:row>
      <xdr:rowOff>45983</xdr:rowOff>
    </xdr:from>
    <xdr:to>
      <xdr:col>64</xdr:col>
      <xdr:colOff>751052</xdr:colOff>
      <xdr:row>17</xdr:row>
      <xdr:rowOff>24087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58</xdr:col>
      <xdr:colOff>70068</xdr:colOff>
      <xdr:row>18</xdr:row>
      <xdr:rowOff>67880</xdr:rowOff>
    </xdr:from>
    <xdr:to>
      <xdr:col>64</xdr:col>
      <xdr:colOff>713828</xdr:colOff>
      <xdr:row>34</xdr:row>
      <xdr:rowOff>2190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58</xdr:col>
      <xdr:colOff>91791</xdr:colOff>
      <xdr:row>34</xdr:row>
      <xdr:rowOff>52551</xdr:rowOff>
    </xdr:from>
    <xdr:to>
      <xdr:col>64</xdr:col>
      <xdr:colOff>665656</xdr:colOff>
      <xdr:row>50</xdr:row>
      <xdr:rowOff>8757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78</xdr:col>
      <xdr:colOff>26276</xdr:colOff>
      <xdr:row>5</xdr:row>
      <xdr:rowOff>0</xdr:rowOff>
    </xdr:from>
    <xdr:to>
      <xdr:col>84</xdr:col>
      <xdr:colOff>102915</xdr:colOff>
      <xdr:row>21</xdr:row>
      <xdr:rowOff>144518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78</xdr:col>
      <xdr:colOff>0</xdr:colOff>
      <xdr:row>23</xdr:row>
      <xdr:rowOff>13138</xdr:rowOff>
    </xdr:from>
    <xdr:to>
      <xdr:col>84</xdr:col>
      <xdr:colOff>65691</xdr:colOff>
      <xdr:row>38</xdr:row>
      <xdr:rowOff>122621</xdr:rowOff>
    </xdr:to>
    <xdr:graphicFrame macro="">
      <xdr:nvGraphicFramePr>
        <xdr:cNvPr id="22" name="Graphiqu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78</xdr:col>
      <xdr:colOff>21723</xdr:colOff>
      <xdr:row>38</xdr:row>
      <xdr:rowOff>172982</xdr:rowOff>
    </xdr:from>
    <xdr:to>
      <xdr:col>84</xdr:col>
      <xdr:colOff>17519</xdr:colOff>
      <xdr:row>54</xdr:row>
      <xdr:rowOff>94153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93</xdr:col>
      <xdr:colOff>26276</xdr:colOff>
      <xdr:row>5</xdr:row>
      <xdr:rowOff>0</xdr:rowOff>
    </xdr:from>
    <xdr:to>
      <xdr:col>99</xdr:col>
      <xdr:colOff>102915</xdr:colOff>
      <xdr:row>21</xdr:row>
      <xdr:rowOff>144518</xdr:rowOff>
    </xdr:to>
    <xdr:graphicFrame macro="">
      <xdr:nvGraphicFramePr>
        <xdr:cNvPr id="26" name="Graphiqu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93</xdr:col>
      <xdr:colOff>0</xdr:colOff>
      <xdr:row>23</xdr:row>
      <xdr:rowOff>13138</xdr:rowOff>
    </xdr:from>
    <xdr:to>
      <xdr:col>99</xdr:col>
      <xdr:colOff>65691</xdr:colOff>
      <xdr:row>38</xdr:row>
      <xdr:rowOff>122621</xdr:rowOff>
    </xdr:to>
    <xdr:graphicFrame macro="">
      <xdr:nvGraphicFramePr>
        <xdr:cNvPr id="28" name="Graphique 27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93</xdr:col>
      <xdr:colOff>21722</xdr:colOff>
      <xdr:row>38</xdr:row>
      <xdr:rowOff>163457</xdr:rowOff>
    </xdr:from>
    <xdr:to>
      <xdr:col>99</xdr:col>
      <xdr:colOff>65689</xdr:colOff>
      <xdr:row>54</xdr:row>
      <xdr:rowOff>94153</xdr:rowOff>
    </xdr:to>
    <xdr:graphicFrame macro="">
      <xdr:nvGraphicFramePr>
        <xdr:cNvPr id="29" name="Graphique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112</xdr:col>
      <xdr:colOff>231320</xdr:colOff>
      <xdr:row>36</xdr:row>
      <xdr:rowOff>34018</xdr:rowOff>
    </xdr:from>
    <xdr:to>
      <xdr:col>118</xdr:col>
      <xdr:colOff>217713</xdr:colOff>
      <xdr:row>52</xdr:row>
      <xdr:rowOff>156569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112</xdr:col>
      <xdr:colOff>296333</xdr:colOff>
      <xdr:row>18</xdr:row>
      <xdr:rowOff>99484</xdr:rowOff>
    </xdr:from>
    <xdr:to>
      <xdr:col>118</xdr:col>
      <xdr:colOff>296333</xdr:colOff>
      <xdr:row>35</xdr:row>
      <xdr:rowOff>149226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112</xdr:col>
      <xdr:colOff>328515</xdr:colOff>
      <xdr:row>4</xdr:row>
      <xdr:rowOff>184150</xdr:rowOff>
    </xdr:from>
    <xdr:to>
      <xdr:col>118</xdr:col>
      <xdr:colOff>95250</xdr:colOff>
      <xdr:row>18</xdr:row>
      <xdr:rowOff>146439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133</xdr:col>
      <xdr:colOff>488157</xdr:colOff>
      <xdr:row>6</xdr:row>
      <xdr:rowOff>90485</xdr:rowOff>
    </xdr:from>
    <xdr:to>
      <xdr:col>139</xdr:col>
      <xdr:colOff>488157</xdr:colOff>
      <xdr:row>20</xdr:row>
      <xdr:rowOff>190498</xdr:rowOff>
    </xdr:to>
    <xdr:graphicFrame macro="">
      <xdr:nvGraphicFramePr>
        <xdr:cNvPr id="30" name="Graphique 29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133</xdr:col>
      <xdr:colOff>576263</xdr:colOff>
      <xdr:row>21</xdr:row>
      <xdr:rowOff>180975</xdr:rowOff>
    </xdr:from>
    <xdr:to>
      <xdr:col>139</xdr:col>
      <xdr:colOff>576263</xdr:colOff>
      <xdr:row>36</xdr:row>
      <xdr:rowOff>66675</xdr:rowOff>
    </xdr:to>
    <xdr:graphicFrame macro="">
      <xdr:nvGraphicFramePr>
        <xdr:cNvPr id="34" name="Graphique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133</xdr:col>
      <xdr:colOff>438150</xdr:colOff>
      <xdr:row>35</xdr:row>
      <xdr:rowOff>152400</xdr:rowOff>
    </xdr:from>
    <xdr:to>
      <xdr:col>139</xdr:col>
      <xdr:colOff>438150</xdr:colOff>
      <xdr:row>50</xdr:row>
      <xdr:rowOff>0</xdr:rowOff>
    </xdr:to>
    <xdr:graphicFrame macro="">
      <xdr:nvGraphicFramePr>
        <xdr:cNvPr id="35" name="Graphique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158</xdr:col>
      <xdr:colOff>79374</xdr:colOff>
      <xdr:row>20</xdr:row>
      <xdr:rowOff>19050</xdr:rowOff>
    </xdr:from>
    <xdr:to>
      <xdr:col>164</xdr:col>
      <xdr:colOff>31749</xdr:colOff>
      <xdr:row>33</xdr:row>
      <xdr:rowOff>38100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158</xdr:col>
      <xdr:colOff>95250</xdr:colOff>
      <xdr:row>4</xdr:row>
      <xdr:rowOff>41275</xdr:rowOff>
    </xdr:from>
    <xdr:to>
      <xdr:col>164</xdr:col>
      <xdr:colOff>95250</xdr:colOff>
      <xdr:row>18</xdr:row>
      <xdr:rowOff>22225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158</xdr:col>
      <xdr:colOff>15875</xdr:colOff>
      <xdr:row>35</xdr:row>
      <xdr:rowOff>25400</xdr:rowOff>
    </xdr:from>
    <xdr:to>
      <xdr:col>164</xdr:col>
      <xdr:colOff>15875</xdr:colOff>
      <xdr:row>48</xdr:row>
      <xdr:rowOff>85725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182</xdr:col>
      <xdr:colOff>360588</xdr:colOff>
      <xdr:row>19</xdr:row>
      <xdr:rowOff>0</xdr:rowOff>
    </xdr:from>
    <xdr:to>
      <xdr:col>190</xdr:col>
      <xdr:colOff>351235</xdr:colOff>
      <xdr:row>36</xdr:row>
      <xdr:rowOff>115094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182</xdr:col>
      <xdr:colOff>428625</xdr:colOff>
      <xdr:row>38</xdr:row>
      <xdr:rowOff>76199</xdr:rowOff>
    </xdr:from>
    <xdr:to>
      <xdr:col>192</xdr:col>
      <xdr:colOff>0</xdr:colOff>
      <xdr:row>52</xdr:row>
      <xdr:rowOff>66674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207</xdr:col>
      <xdr:colOff>257467</xdr:colOff>
      <xdr:row>5</xdr:row>
      <xdr:rowOff>57929</xdr:rowOff>
    </xdr:from>
    <xdr:to>
      <xdr:col>213</xdr:col>
      <xdr:colOff>245560</xdr:colOff>
      <xdr:row>19</xdr:row>
      <xdr:rowOff>105748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207</xdr:col>
      <xdr:colOff>190501</xdr:colOff>
      <xdr:row>21</xdr:row>
      <xdr:rowOff>59530</xdr:rowOff>
    </xdr:from>
    <xdr:to>
      <xdr:col>214</xdr:col>
      <xdr:colOff>678657</xdr:colOff>
      <xdr:row>34</xdr:row>
      <xdr:rowOff>152399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207</xdr:col>
      <xdr:colOff>483393</xdr:colOff>
      <xdr:row>38</xdr:row>
      <xdr:rowOff>78581</xdr:rowOff>
    </xdr:from>
    <xdr:to>
      <xdr:col>214</xdr:col>
      <xdr:colOff>495300</xdr:colOff>
      <xdr:row>51</xdr:row>
      <xdr:rowOff>61913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232</xdr:col>
      <xdr:colOff>29159</xdr:colOff>
      <xdr:row>7</xdr:row>
      <xdr:rowOff>117046</xdr:rowOff>
    </xdr:from>
    <xdr:to>
      <xdr:col>237</xdr:col>
      <xdr:colOff>534566</xdr:colOff>
      <xdr:row>18</xdr:row>
      <xdr:rowOff>126351</xdr:rowOff>
    </xdr:to>
    <xdr:graphicFrame macro="">
      <xdr:nvGraphicFramePr>
        <xdr:cNvPr id="37" name="Graphique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232</xdr:col>
      <xdr:colOff>184671</xdr:colOff>
      <xdr:row>23</xdr:row>
      <xdr:rowOff>204108</xdr:rowOff>
    </xdr:from>
    <xdr:to>
      <xdr:col>237</xdr:col>
      <xdr:colOff>507353</xdr:colOff>
      <xdr:row>35</xdr:row>
      <xdr:rowOff>97194</xdr:rowOff>
    </xdr:to>
    <xdr:graphicFrame macro="">
      <xdr:nvGraphicFramePr>
        <xdr:cNvPr id="39" name="Graphique 38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232</xdr:col>
      <xdr:colOff>75812</xdr:colOff>
      <xdr:row>36</xdr:row>
      <xdr:rowOff>144623</xdr:rowOff>
    </xdr:from>
    <xdr:to>
      <xdr:col>238</xdr:col>
      <xdr:colOff>99138</xdr:colOff>
      <xdr:row>49</xdr:row>
      <xdr:rowOff>108078</xdr:rowOff>
    </xdr:to>
    <xdr:graphicFrame macro="">
      <xdr:nvGraphicFramePr>
        <xdr:cNvPr id="40" name="Graphique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244</xdr:col>
      <xdr:colOff>371475</xdr:colOff>
      <xdr:row>18</xdr:row>
      <xdr:rowOff>66675</xdr:rowOff>
    </xdr:from>
    <xdr:to>
      <xdr:col>250</xdr:col>
      <xdr:colOff>371475</xdr:colOff>
      <xdr:row>31</xdr:row>
      <xdr:rowOff>85725</xdr:rowOff>
    </xdr:to>
    <xdr:graphicFrame macro="">
      <xdr:nvGraphicFramePr>
        <xdr:cNvPr id="41" name="Graphique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257</xdr:col>
      <xdr:colOff>104775</xdr:colOff>
      <xdr:row>15</xdr:row>
      <xdr:rowOff>38100</xdr:rowOff>
    </xdr:from>
    <xdr:to>
      <xdr:col>261</xdr:col>
      <xdr:colOff>28575</xdr:colOff>
      <xdr:row>26</xdr:row>
      <xdr:rowOff>142875</xdr:rowOff>
    </xdr:to>
    <xdr:graphicFrame macro="">
      <xdr:nvGraphicFramePr>
        <xdr:cNvPr id="42" name="Graphique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256</xdr:col>
      <xdr:colOff>704850</xdr:colOff>
      <xdr:row>3</xdr:row>
      <xdr:rowOff>161925</xdr:rowOff>
    </xdr:from>
    <xdr:to>
      <xdr:col>260</xdr:col>
      <xdr:colOff>438150</xdr:colOff>
      <xdr:row>12</xdr:row>
      <xdr:rowOff>123825</xdr:rowOff>
    </xdr:to>
    <xdr:graphicFrame macro="">
      <xdr:nvGraphicFramePr>
        <xdr:cNvPr id="43" name="Graphique 42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400050</xdr:colOff>
      <xdr:row>1</xdr:row>
      <xdr:rowOff>0</xdr:rowOff>
    </xdr:from>
    <xdr:to>
      <xdr:col>21</xdr:col>
      <xdr:colOff>200025</xdr:colOff>
      <xdr:row>18</xdr:row>
      <xdr:rowOff>57150</xdr:rowOff>
    </xdr:to>
    <xdr:graphicFrame macro="">
      <xdr:nvGraphicFramePr>
        <xdr:cNvPr id="497669" name="Graphique 9">
          <a:extLst>
            <a:ext uri="{FF2B5EF4-FFF2-40B4-BE49-F238E27FC236}">
              <a16:creationId xmlns:a16="http://schemas.microsoft.com/office/drawing/2014/main" id="{00000000-0008-0000-0A00-00000598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409575</xdr:colOff>
      <xdr:row>18</xdr:row>
      <xdr:rowOff>95250</xdr:rowOff>
    </xdr:from>
    <xdr:to>
      <xdr:col>21</xdr:col>
      <xdr:colOff>209550</xdr:colOff>
      <xdr:row>35</xdr:row>
      <xdr:rowOff>152400</xdr:rowOff>
    </xdr:to>
    <xdr:graphicFrame macro="">
      <xdr:nvGraphicFramePr>
        <xdr:cNvPr id="497670" name="Graphique 10">
          <a:extLst>
            <a:ext uri="{FF2B5EF4-FFF2-40B4-BE49-F238E27FC236}">
              <a16:creationId xmlns:a16="http://schemas.microsoft.com/office/drawing/2014/main" id="{00000000-0008-0000-0A00-00000698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800100</xdr:colOff>
      <xdr:row>79</xdr:row>
      <xdr:rowOff>38100</xdr:rowOff>
    </xdr:from>
    <xdr:to>
      <xdr:col>30</xdr:col>
      <xdr:colOff>190500</xdr:colOff>
      <xdr:row>97</xdr:row>
      <xdr:rowOff>66675</xdr:rowOff>
    </xdr:to>
    <xdr:graphicFrame macro="">
      <xdr:nvGraphicFramePr>
        <xdr:cNvPr id="497671" name="Graphique 11">
          <a:extLst>
            <a:ext uri="{FF2B5EF4-FFF2-40B4-BE49-F238E27FC236}">
              <a16:creationId xmlns:a16="http://schemas.microsoft.com/office/drawing/2014/main" id="{00000000-0008-0000-0A00-00000798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455083</xdr:colOff>
      <xdr:row>3</xdr:row>
      <xdr:rowOff>63501</xdr:rowOff>
    </xdr:from>
    <xdr:to>
      <xdr:col>38</xdr:col>
      <xdr:colOff>116416</xdr:colOff>
      <xdr:row>18</xdr:row>
      <xdr:rowOff>105834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0</xdr:colOff>
      <xdr:row>20</xdr:row>
      <xdr:rowOff>0</xdr:rowOff>
    </xdr:from>
    <xdr:to>
      <xdr:col>38</xdr:col>
      <xdr:colOff>275166</xdr:colOff>
      <xdr:row>33</xdr:row>
      <xdr:rowOff>169333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48</xdr:col>
      <xdr:colOff>0</xdr:colOff>
      <xdr:row>5</xdr:row>
      <xdr:rowOff>0</xdr:rowOff>
    </xdr:from>
    <xdr:to>
      <xdr:col>55</xdr:col>
      <xdr:colOff>275165</xdr:colOff>
      <xdr:row>20</xdr:row>
      <xdr:rowOff>95249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48</xdr:col>
      <xdr:colOff>31750</xdr:colOff>
      <xdr:row>22</xdr:row>
      <xdr:rowOff>21166</xdr:rowOff>
    </xdr:from>
    <xdr:to>
      <xdr:col>55</xdr:col>
      <xdr:colOff>306915</xdr:colOff>
      <xdr:row>36</xdr:row>
      <xdr:rowOff>22224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64</xdr:col>
      <xdr:colOff>0</xdr:colOff>
      <xdr:row>9</xdr:row>
      <xdr:rowOff>0</xdr:rowOff>
    </xdr:from>
    <xdr:to>
      <xdr:col>71</xdr:col>
      <xdr:colOff>275165</xdr:colOff>
      <xdr:row>24</xdr:row>
      <xdr:rowOff>35983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64</xdr:col>
      <xdr:colOff>31750</xdr:colOff>
      <xdr:row>25</xdr:row>
      <xdr:rowOff>148166</xdr:rowOff>
    </xdr:from>
    <xdr:to>
      <xdr:col>71</xdr:col>
      <xdr:colOff>306915</xdr:colOff>
      <xdr:row>39</xdr:row>
      <xdr:rowOff>149224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81</xdr:col>
      <xdr:colOff>0</xdr:colOff>
      <xdr:row>9</xdr:row>
      <xdr:rowOff>0</xdr:rowOff>
    </xdr:from>
    <xdr:to>
      <xdr:col>88</xdr:col>
      <xdr:colOff>275166</xdr:colOff>
      <xdr:row>24</xdr:row>
      <xdr:rowOff>35983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81</xdr:col>
      <xdr:colOff>31750</xdr:colOff>
      <xdr:row>25</xdr:row>
      <xdr:rowOff>148166</xdr:rowOff>
    </xdr:from>
    <xdr:to>
      <xdr:col>88</xdr:col>
      <xdr:colOff>306916</xdr:colOff>
      <xdr:row>39</xdr:row>
      <xdr:rowOff>149224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97</xdr:col>
      <xdr:colOff>15875</xdr:colOff>
      <xdr:row>23</xdr:row>
      <xdr:rowOff>0</xdr:rowOff>
    </xdr:from>
    <xdr:to>
      <xdr:col>104</xdr:col>
      <xdr:colOff>269875</xdr:colOff>
      <xdr:row>41</xdr:row>
      <xdr:rowOff>153358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97</xdr:col>
      <xdr:colOff>0</xdr:colOff>
      <xdr:row>7</xdr:row>
      <xdr:rowOff>63952</xdr:rowOff>
    </xdr:from>
    <xdr:to>
      <xdr:col>104</xdr:col>
      <xdr:colOff>285750</xdr:colOff>
      <xdr:row>23</xdr:row>
      <xdr:rowOff>31295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111</xdr:col>
      <xdr:colOff>190501</xdr:colOff>
      <xdr:row>31</xdr:row>
      <xdr:rowOff>166687</xdr:rowOff>
    </xdr:from>
    <xdr:to>
      <xdr:col>117</xdr:col>
      <xdr:colOff>571500</xdr:colOff>
      <xdr:row>47</xdr:row>
      <xdr:rowOff>71438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129</xdr:col>
      <xdr:colOff>130967</xdr:colOff>
      <xdr:row>25</xdr:row>
      <xdr:rowOff>11906</xdr:rowOff>
    </xdr:from>
    <xdr:to>
      <xdr:col>136</xdr:col>
      <xdr:colOff>488156</xdr:colOff>
      <xdr:row>41</xdr:row>
      <xdr:rowOff>71436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129</xdr:col>
      <xdr:colOff>95250</xdr:colOff>
      <xdr:row>8</xdr:row>
      <xdr:rowOff>71438</xdr:rowOff>
    </xdr:from>
    <xdr:to>
      <xdr:col>135</xdr:col>
      <xdr:colOff>285749</xdr:colOff>
      <xdr:row>23</xdr:row>
      <xdr:rowOff>109537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150</xdr:col>
      <xdr:colOff>214311</xdr:colOff>
      <xdr:row>9</xdr:row>
      <xdr:rowOff>21431</xdr:rowOff>
    </xdr:from>
    <xdr:to>
      <xdr:col>157</xdr:col>
      <xdr:colOff>535780</xdr:colOff>
      <xdr:row>24</xdr:row>
      <xdr:rowOff>85725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151</xdr:col>
      <xdr:colOff>107157</xdr:colOff>
      <xdr:row>26</xdr:row>
      <xdr:rowOff>57149</xdr:rowOff>
    </xdr:from>
    <xdr:to>
      <xdr:col>158</xdr:col>
      <xdr:colOff>419100</xdr:colOff>
      <xdr:row>41</xdr:row>
      <xdr:rowOff>83343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174</xdr:col>
      <xdr:colOff>95250</xdr:colOff>
      <xdr:row>13</xdr:row>
      <xdr:rowOff>164306</xdr:rowOff>
    </xdr:from>
    <xdr:to>
      <xdr:col>181</xdr:col>
      <xdr:colOff>416719</xdr:colOff>
      <xdr:row>29</xdr:row>
      <xdr:rowOff>50006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174</xdr:col>
      <xdr:colOff>149679</xdr:colOff>
      <xdr:row>31</xdr:row>
      <xdr:rowOff>29935</xdr:rowOff>
    </xdr:from>
    <xdr:to>
      <xdr:col>181</xdr:col>
      <xdr:colOff>435429</xdr:colOff>
      <xdr:row>46</xdr:row>
      <xdr:rowOff>119743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196</xdr:col>
      <xdr:colOff>381000</xdr:colOff>
      <xdr:row>22</xdr:row>
      <xdr:rowOff>120649</xdr:rowOff>
    </xdr:from>
    <xdr:to>
      <xdr:col>207</xdr:col>
      <xdr:colOff>79375</xdr:colOff>
      <xdr:row>40</xdr:row>
      <xdr:rowOff>15874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196</xdr:col>
      <xdr:colOff>142875</xdr:colOff>
      <xdr:row>3</xdr:row>
      <xdr:rowOff>25399</xdr:rowOff>
    </xdr:from>
    <xdr:to>
      <xdr:col>207</xdr:col>
      <xdr:colOff>15875</xdr:colOff>
      <xdr:row>21</xdr:row>
      <xdr:rowOff>79374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223</xdr:col>
      <xdr:colOff>381000</xdr:colOff>
      <xdr:row>22</xdr:row>
      <xdr:rowOff>120649</xdr:rowOff>
    </xdr:from>
    <xdr:to>
      <xdr:col>234</xdr:col>
      <xdr:colOff>79375</xdr:colOff>
      <xdr:row>40</xdr:row>
      <xdr:rowOff>15874</xdr:rowOff>
    </xdr:to>
    <xdr:graphicFrame macro="">
      <xdr:nvGraphicFramePr>
        <xdr:cNvPr id="21" name="Graphique 18">
          <a:extLst>
            <a:ext uri="{FF2B5EF4-FFF2-40B4-BE49-F238E27FC236}">
              <a16:creationId xmlns:a16="http://schemas.microsoft.com/office/drawing/2014/main" id="{4854253F-ACB4-49A2-AF46-B41FF2D72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223</xdr:col>
      <xdr:colOff>142875</xdr:colOff>
      <xdr:row>3</xdr:row>
      <xdr:rowOff>25399</xdr:rowOff>
    </xdr:from>
    <xdr:to>
      <xdr:col>234</xdr:col>
      <xdr:colOff>15875</xdr:colOff>
      <xdr:row>21</xdr:row>
      <xdr:rowOff>79374</xdr:rowOff>
    </xdr:to>
    <xdr:graphicFrame macro="">
      <xdr:nvGraphicFramePr>
        <xdr:cNvPr id="22" name="Graphique 19">
          <a:extLst>
            <a:ext uri="{FF2B5EF4-FFF2-40B4-BE49-F238E27FC236}">
              <a16:creationId xmlns:a16="http://schemas.microsoft.com/office/drawing/2014/main" id="{0FEB719E-7875-41C7-924C-1F8E203E06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691764</xdr:colOff>
      <xdr:row>40</xdr:row>
      <xdr:rowOff>31472</xdr:rowOff>
    </xdr:from>
    <xdr:to>
      <xdr:col>9</xdr:col>
      <xdr:colOff>98999</xdr:colOff>
      <xdr:row>55</xdr:row>
      <xdr:rowOff>48014</xdr:rowOff>
    </xdr:to>
    <xdr:graphicFrame macro="">
      <xdr:nvGraphicFramePr>
        <xdr:cNvPr id="2" name="Chart 20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690562</xdr:colOff>
      <xdr:row>57</xdr:row>
      <xdr:rowOff>59531</xdr:rowOff>
    </xdr:from>
    <xdr:to>
      <xdr:col>9</xdr:col>
      <xdr:colOff>154781</xdr:colOff>
      <xdr:row>72</xdr:row>
      <xdr:rowOff>75741</xdr:rowOff>
    </xdr:to>
    <xdr:graphicFrame macro="">
      <xdr:nvGraphicFramePr>
        <xdr:cNvPr id="3" name="Chart 20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690562</xdr:colOff>
      <xdr:row>74</xdr:row>
      <xdr:rowOff>59531</xdr:rowOff>
    </xdr:from>
    <xdr:to>
      <xdr:col>9</xdr:col>
      <xdr:colOff>154781</xdr:colOff>
      <xdr:row>89</xdr:row>
      <xdr:rowOff>75741</xdr:rowOff>
    </xdr:to>
    <xdr:graphicFrame macro="">
      <xdr:nvGraphicFramePr>
        <xdr:cNvPr id="4" name="Chart 20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310101</xdr:colOff>
      <xdr:row>91</xdr:row>
      <xdr:rowOff>0</xdr:rowOff>
    </xdr:from>
    <xdr:to>
      <xdr:col>9</xdr:col>
      <xdr:colOff>8117</xdr:colOff>
      <xdr:row>108</xdr:row>
      <xdr:rowOff>145418</xdr:rowOff>
    </xdr:to>
    <xdr:graphicFrame macro="">
      <xdr:nvGraphicFramePr>
        <xdr:cNvPr id="5" name="Chart 20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390525</xdr:colOff>
      <xdr:row>110</xdr:row>
      <xdr:rowOff>38100</xdr:rowOff>
    </xdr:from>
    <xdr:to>
      <xdr:col>9</xdr:col>
      <xdr:colOff>76200</xdr:colOff>
      <xdr:row>125</xdr:row>
      <xdr:rowOff>54310</xdr:rowOff>
    </xdr:to>
    <xdr:graphicFrame macro="">
      <xdr:nvGraphicFramePr>
        <xdr:cNvPr id="6" name="Chart 20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357809</xdr:colOff>
      <xdr:row>126</xdr:row>
      <xdr:rowOff>119270</xdr:rowOff>
    </xdr:from>
    <xdr:to>
      <xdr:col>9</xdr:col>
      <xdr:colOff>63776</xdr:colOff>
      <xdr:row>144</xdr:row>
      <xdr:rowOff>105664</xdr:rowOff>
    </xdr:to>
    <xdr:graphicFrame macro="">
      <xdr:nvGraphicFramePr>
        <xdr:cNvPr id="7" name="Chart 20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691764</xdr:colOff>
      <xdr:row>40</xdr:row>
      <xdr:rowOff>31472</xdr:rowOff>
    </xdr:from>
    <xdr:to>
      <xdr:col>8</xdr:col>
      <xdr:colOff>98999</xdr:colOff>
      <xdr:row>55</xdr:row>
      <xdr:rowOff>48014</xdr:rowOff>
    </xdr:to>
    <xdr:graphicFrame macro="">
      <xdr:nvGraphicFramePr>
        <xdr:cNvPr id="8" name="Chart 20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690562</xdr:colOff>
      <xdr:row>57</xdr:row>
      <xdr:rowOff>59531</xdr:rowOff>
    </xdr:from>
    <xdr:to>
      <xdr:col>8</xdr:col>
      <xdr:colOff>154781</xdr:colOff>
      <xdr:row>72</xdr:row>
      <xdr:rowOff>75741</xdr:rowOff>
    </xdr:to>
    <xdr:graphicFrame macro="">
      <xdr:nvGraphicFramePr>
        <xdr:cNvPr id="9" name="Chart 20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690562</xdr:colOff>
      <xdr:row>74</xdr:row>
      <xdr:rowOff>59531</xdr:rowOff>
    </xdr:from>
    <xdr:to>
      <xdr:col>8</xdr:col>
      <xdr:colOff>154781</xdr:colOff>
      <xdr:row>89</xdr:row>
      <xdr:rowOff>75741</xdr:rowOff>
    </xdr:to>
    <xdr:graphicFrame macro="">
      <xdr:nvGraphicFramePr>
        <xdr:cNvPr id="10" name="Chart 20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310101</xdr:colOff>
      <xdr:row>91</xdr:row>
      <xdr:rowOff>0</xdr:rowOff>
    </xdr:from>
    <xdr:to>
      <xdr:col>8</xdr:col>
      <xdr:colOff>8117</xdr:colOff>
      <xdr:row>108</xdr:row>
      <xdr:rowOff>145418</xdr:rowOff>
    </xdr:to>
    <xdr:graphicFrame macro="">
      <xdr:nvGraphicFramePr>
        <xdr:cNvPr id="11" name="Chart 2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390525</xdr:colOff>
      <xdr:row>110</xdr:row>
      <xdr:rowOff>38100</xdr:rowOff>
    </xdr:from>
    <xdr:to>
      <xdr:col>8</xdr:col>
      <xdr:colOff>76200</xdr:colOff>
      <xdr:row>125</xdr:row>
      <xdr:rowOff>54310</xdr:rowOff>
    </xdr:to>
    <xdr:graphicFrame macro="">
      <xdr:nvGraphicFramePr>
        <xdr:cNvPr id="12" name="Chart 20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357809</xdr:colOff>
      <xdr:row>126</xdr:row>
      <xdr:rowOff>119270</xdr:rowOff>
    </xdr:from>
    <xdr:to>
      <xdr:col>8</xdr:col>
      <xdr:colOff>63776</xdr:colOff>
      <xdr:row>144</xdr:row>
      <xdr:rowOff>105664</xdr:rowOff>
    </xdr:to>
    <xdr:graphicFrame macro="">
      <xdr:nvGraphicFramePr>
        <xdr:cNvPr id="13" name="Chart 20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6</xdr:col>
      <xdr:colOff>428625</xdr:colOff>
      <xdr:row>55</xdr:row>
      <xdr:rowOff>16210</xdr:rowOff>
    </xdr:to>
    <xdr:graphicFrame macro="">
      <xdr:nvGraphicFramePr>
        <xdr:cNvPr id="14" name="Chart 20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28575</xdr:colOff>
      <xdr:row>57</xdr:row>
      <xdr:rowOff>76200</xdr:rowOff>
    </xdr:from>
    <xdr:to>
      <xdr:col>6</xdr:col>
      <xdr:colOff>457200</xdr:colOff>
      <xdr:row>72</xdr:row>
      <xdr:rowOff>92410</xdr:rowOff>
    </xdr:to>
    <xdr:graphicFrame macro="">
      <xdr:nvGraphicFramePr>
        <xdr:cNvPr id="15" name="Chart 20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38100</xdr:colOff>
      <xdr:row>74</xdr:row>
      <xdr:rowOff>19050</xdr:rowOff>
    </xdr:from>
    <xdr:to>
      <xdr:col>6</xdr:col>
      <xdr:colOff>466725</xdr:colOff>
      <xdr:row>89</xdr:row>
      <xdr:rowOff>35260</xdr:rowOff>
    </xdr:to>
    <xdr:graphicFrame macro="">
      <xdr:nvGraphicFramePr>
        <xdr:cNvPr id="16" name="Chart 20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71438</xdr:colOff>
      <xdr:row>39</xdr:row>
      <xdr:rowOff>130968</xdr:rowOff>
    </xdr:from>
    <xdr:to>
      <xdr:col>17</xdr:col>
      <xdr:colOff>738188</xdr:colOff>
      <xdr:row>54</xdr:row>
      <xdr:rowOff>147178</xdr:rowOff>
    </xdr:to>
    <xdr:graphicFrame macro="">
      <xdr:nvGraphicFramePr>
        <xdr:cNvPr id="17" name="Chart 20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0</xdr:colOff>
      <xdr:row>57</xdr:row>
      <xdr:rowOff>0</xdr:rowOff>
    </xdr:from>
    <xdr:to>
      <xdr:col>17</xdr:col>
      <xdr:colOff>666750</xdr:colOff>
      <xdr:row>72</xdr:row>
      <xdr:rowOff>16210</xdr:rowOff>
    </xdr:to>
    <xdr:graphicFrame macro="">
      <xdr:nvGraphicFramePr>
        <xdr:cNvPr id="18" name="Chart 20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0</xdr:colOff>
      <xdr:row>74</xdr:row>
      <xdr:rowOff>0</xdr:rowOff>
    </xdr:from>
    <xdr:to>
      <xdr:col>17</xdr:col>
      <xdr:colOff>666750</xdr:colOff>
      <xdr:row>89</xdr:row>
      <xdr:rowOff>16210</xdr:rowOff>
    </xdr:to>
    <xdr:graphicFrame macro="">
      <xdr:nvGraphicFramePr>
        <xdr:cNvPr id="19" name="Chart 20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202407</xdr:colOff>
      <xdr:row>91</xdr:row>
      <xdr:rowOff>23813</xdr:rowOff>
    </xdr:from>
    <xdr:to>
      <xdr:col>18</xdr:col>
      <xdr:colOff>107157</xdr:colOff>
      <xdr:row>106</xdr:row>
      <xdr:rowOff>40023</xdr:rowOff>
    </xdr:to>
    <xdr:graphicFrame macro="">
      <xdr:nvGraphicFramePr>
        <xdr:cNvPr id="20" name="Chart 20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0</xdr:colOff>
      <xdr:row>108</xdr:row>
      <xdr:rowOff>161925</xdr:rowOff>
    </xdr:from>
    <xdr:to>
      <xdr:col>6</xdr:col>
      <xdr:colOff>428625</xdr:colOff>
      <xdr:row>123</xdr:row>
      <xdr:rowOff>178135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</xdr:col>
      <xdr:colOff>723900</xdr:colOff>
      <xdr:row>108</xdr:row>
      <xdr:rowOff>142875</xdr:rowOff>
    </xdr:from>
    <xdr:to>
      <xdr:col>17</xdr:col>
      <xdr:colOff>628650</xdr:colOff>
      <xdr:row>123</xdr:row>
      <xdr:rowOff>159085</xdr:rowOff>
    </xdr:to>
    <xdr:graphicFrame macro="">
      <xdr:nvGraphicFramePr>
        <xdr:cNvPr id="22" name="Chart 20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0</xdr:colOff>
      <xdr:row>125</xdr:row>
      <xdr:rowOff>161925</xdr:rowOff>
    </xdr:from>
    <xdr:to>
      <xdr:col>6</xdr:col>
      <xdr:colOff>428625</xdr:colOff>
      <xdr:row>140</xdr:row>
      <xdr:rowOff>178135</xdr:rowOff>
    </xdr:to>
    <xdr:graphicFrame macro="">
      <xdr:nvGraphicFramePr>
        <xdr:cNvPr id="23" name="Chart 20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</xdr:col>
      <xdr:colOff>723900</xdr:colOff>
      <xdr:row>125</xdr:row>
      <xdr:rowOff>142875</xdr:rowOff>
    </xdr:from>
    <xdr:to>
      <xdr:col>17</xdr:col>
      <xdr:colOff>628650</xdr:colOff>
      <xdr:row>140</xdr:row>
      <xdr:rowOff>159085</xdr:rowOff>
    </xdr:to>
    <xdr:graphicFrame macro="">
      <xdr:nvGraphicFramePr>
        <xdr:cNvPr id="24" name="Chart 20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0</xdr:colOff>
      <xdr:row>144</xdr:row>
      <xdr:rowOff>3175</xdr:rowOff>
    </xdr:from>
    <xdr:to>
      <xdr:col>6</xdr:col>
      <xdr:colOff>428625</xdr:colOff>
      <xdr:row>159</xdr:row>
      <xdr:rowOff>335</xdr:rowOff>
    </xdr:to>
    <xdr:graphicFrame macro="">
      <xdr:nvGraphicFramePr>
        <xdr:cNvPr id="25" name="Chart 20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8</xdr:col>
      <xdr:colOff>723900</xdr:colOff>
      <xdr:row>143</xdr:row>
      <xdr:rowOff>142875</xdr:rowOff>
    </xdr:from>
    <xdr:to>
      <xdr:col>17</xdr:col>
      <xdr:colOff>628650</xdr:colOff>
      <xdr:row>158</xdr:row>
      <xdr:rowOff>159085</xdr:rowOff>
    </xdr:to>
    <xdr:graphicFrame macro="">
      <xdr:nvGraphicFramePr>
        <xdr:cNvPr id="26" name="Chart 20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160</xdr:row>
      <xdr:rowOff>161925</xdr:rowOff>
    </xdr:from>
    <xdr:to>
      <xdr:col>6</xdr:col>
      <xdr:colOff>428625</xdr:colOff>
      <xdr:row>175</xdr:row>
      <xdr:rowOff>178135</xdr:rowOff>
    </xdr:to>
    <xdr:graphicFrame macro="">
      <xdr:nvGraphicFramePr>
        <xdr:cNvPr id="27" name="Chart 20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8</xdr:col>
      <xdr:colOff>723900</xdr:colOff>
      <xdr:row>160</xdr:row>
      <xdr:rowOff>142875</xdr:rowOff>
    </xdr:from>
    <xdr:to>
      <xdr:col>17</xdr:col>
      <xdr:colOff>628650</xdr:colOff>
      <xdr:row>175</xdr:row>
      <xdr:rowOff>159085</xdr:rowOff>
    </xdr:to>
    <xdr:graphicFrame macro="">
      <xdr:nvGraphicFramePr>
        <xdr:cNvPr id="28" name="Chart 20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6</xdr:col>
      <xdr:colOff>428625</xdr:colOff>
      <xdr:row>55</xdr:row>
      <xdr:rowOff>16210</xdr:rowOff>
    </xdr:to>
    <xdr:graphicFrame macro="">
      <xdr:nvGraphicFramePr>
        <xdr:cNvPr id="29" name="Chart 20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28575</xdr:colOff>
      <xdr:row>57</xdr:row>
      <xdr:rowOff>76200</xdr:rowOff>
    </xdr:from>
    <xdr:to>
      <xdr:col>6</xdr:col>
      <xdr:colOff>457200</xdr:colOff>
      <xdr:row>72</xdr:row>
      <xdr:rowOff>92410</xdr:rowOff>
    </xdr:to>
    <xdr:graphicFrame macro="">
      <xdr:nvGraphicFramePr>
        <xdr:cNvPr id="30" name="Chart 20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38100</xdr:colOff>
      <xdr:row>74</xdr:row>
      <xdr:rowOff>19050</xdr:rowOff>
    </xdr:from>
    <xdr:to>
      <xdr:col>6</xdr:col>
      <xdr:colOff>466725</xdr:colOff>
      <xdr:row>89</xdr:row>
      <xdr:rowOff>35260</xdr:rowOff>
    </xdr:to>
    <xdr:graphicFrame macro="">
      <xdr:nvGraphicFramePr>
        <xdr:cNvPr id="31" name="Chart 20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9</xdr:col>
      <xdr:colOff>71438</xdr:colOff>
      <xdr:row>39</xdr:row>
      <xdr:rowOff>130968</xdr:rowOff>
    </xdr:from>
    <xdr:to>
      <xdr:col>17</xdr:col>
      <xdr:colOff>738188</xdr:colOff>
      <xdr:row>54</xdr:row>
      <xdr:rowOff>147178</xdr:rowOff>
    </xdr:to>
    <xdr:graphicFrame macro="">
      <xdr:nvGraphicFramePr>
        <xdr:cNvPr id="32" name="Chart 20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9</xdr:col>
      <xdr:colOff>0</xdr:colOff>
      <xdr:row>57</xdr:row>
      <xdr:rowOff>0</xdr:rowOff>
    </xdr:from>
    <xdr:to>
      <xdr:col>17</xdr:col>
      <xdr:colOff>666750</xdr:colOff>
      <xdr:row>72</xdr:row>
      <xdr:rowOff>16210</xdr:rowOff>
    </xdr:to>
    <xdr:graphicFrame macro="">
      <xdr:nvGraphicFramePr>
        <xdr:cNvPr id="33" name="Chart 20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9</xdr:col>
      <xdr:colOff>0</xdr:colOff>
      <xdr:row>74</xdr:row>
      <xdr:rowOff>0</xdr:rowOff>
    </xdr:from>
    <xdr:to>
      <xdr:col>17</xdr:col>
      <xdr:colOff>666750</xdr:colOff>
      <xdr:row>89</xdr:row>
      <xdr:rowOff>16210</xdr:rowOff>
    </xdr:to>
    <xdr:graphicFrame macro="">
      <xdr:nvGraphicFramePr>
        <xdr:cNvPr id="34" name="Chart 20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9</xdr:col>
      <xdr:colOff>202407</xdr:colOff>
      <xdr:row>91</xdr:row>
      <xdr:rowOff>23813</xdr:rowOff>
    </xdr:from>
    <xdr:to>
      <xdr:col>18</xdr:col>
      <xdr:colOff>107157</xdr:colOff>
      <xdr:row>106</xdr:row>
      <xdr:rowOff>40023</xdr:rowOff>
    </xdr:to>
    <xdr:graphicFrame macro="">
      <xdr:nvGraphicFramePr>
        <xdr:cNvPr id="35" name="Chart 20">
          <a:extLst>
            <a:ext uri="{FF2B5EF4-FFF2-40B4-BE49-F238E27FC236}">
              <a16:creationId xmlns:a16="http://schemas.microsoft.com/office/drawing/2014/main" id="{00000000-0008-0000-0F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0</xdr:col>
      <xdr:colOff>0</xdr:colOff>
      <xdr:row>108</xdr:row>
      <xdr:rowOff>161925</xdr:rowOff>
    </xdr:from>
    <xdr:to>
      <xdr:col>6</xdr:col>
      <xdr:colOff>428625</xdr:colOff>
      <xdr:row>123</xdr:row>
      <xdr:rowOff>178135</xdr:rowOff>
    </xdr:to>
    <xdr:graphicFrame macro="">
      <xdr:nvGraphicFramePr>
        <xdr:cNvPr id="36" name="Chart 20">
          <a:extLst>
            <a:ext uri="{FF2B5EF4-FFF2-40B4-BE49-F238E27FC236}">
              <a16:creationId xmlns:a16="http://schemas.microsoft.com/office/drawing/2014/main" id="{00000000-0008-0000-0F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8</xdr:col>
      <xdr:colOff>723900</xdr:colOff>
      <xdr:row>108</xdr:row>
      <xdr:rowOff>142875</xdr:rowOff>
    </xdr:from>
    <xdr:to>
      <xdr:col>17</xdr:col>
      <xdr:colOff>628650</xdr:colOff>
      <xdr:row>123</xdr:row>
      <xdr:rowOff>159085</xdr:rowOff>
    </xdr:to>
    <xdr:graphicFrame macro="">
      <xdr:nvGraphicFramePr>
        <xdr:cNvPr id="37" name="Chart 20">
          <a:extLst>
            <a:ext uri="{FF2B5EF4-FFF2-40B4-BE49-F238E27FC236}">
              <a16:creationId xmlns:a16="http://schemas.microsoft.com/office/drawing/2014/main" id="{00000000-0008-0000-0F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0</xdr:colOff>
      <xdr:row>125</xdr:row>
      <xdr:rowOff>161925</xdr:rowOff>
    </xdr:from>
    <xdr:to>
      <xdr:col>6</xdr:col>
      <xdr:colOff>428625</xdr:colOff>
      <xdr:row>140</xdr:row>
      <xdr:rowOff>178135</xdr:rowOff>
    </xdr:to>
    <xdr:graphicFrame macro="">
      <xdr:nvGraphicFramePr>
        <xdr:cNvPr id="38" name="Chart 20">
          <a:extLst>
            <a:ext uri="{FF2B5EF4-FFF2-40B4-BE49-F238E27FC236}">
              <a16:creationId xmlns:a16="http://schemas.microsoft.com/office/drawing/2014/main" id="{00000000-0008-0000-0F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8</xdr:col>
      <xdr:colOff>723900</xdr:colOff>
      <xdr:row>125</xdr:row>
      <xdr:rowOff>142875</xdr:rowOff>
    </xdr:from>
    <xdr:to>
      <xdr:col>17</xdr:col>
      <xdr:colOff>314325</xdr:colOff>
      <xdr:row>141</xdr:row>
      <xdr:rowOff>335</xdr:rowOff>
    </xdr:to>
    <xdr:graphicFrame macro="">
      <xdr:nvGraphicFramePr>
        <xdr:cNvPr id="39" name="Chart 20">
          <a:extLst>
            <a:ext uri="{FF2B5EF4-FFF2-40B4-BE49-F238E27FC236}">
              <a16:creationId xmlns:a16="http://schemas.microsoft.com/office/drawing/2014/main" id="{00000000-0008-0000-0F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0</xdr:col>
      <xdr:colOff>0</xdr:colOff>
      <xdr:row>144</xdr:row>
      <xdr:rowOff>3175</xdr:rowOff>
    </xdr:from>
    <xdr:to>
      <xdr:col>6</xdr:col>
      <xdr:colOff>428625</xdr:colOff>
      <xdr:row>159</xdr:row>
      <xdr:rowOff>335</xdr:rowOff>
    </xdr:to>
    <xdr:graphicFrame macro="">
      <xdr:nvGraphicFramePr>
        <xdr:cNvPr id="40" name="Chart 20">
          <a:extLst>
            <a:ext uri="{FF2B5EF4-FFF2-40B4-BE49-F238E27FC236}">
              <a16:creationId xmlns:a16="http://schemas.microsoft.com/office/drawing/2014/main" id="{00000000-0008-0000-0F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8</xdr:col>
      <xdr:colOff>723900</xdr:colOff>
      <xdr:row>143</xdr:row>
      <xdr:rowOff>142875</xdr:rowOff>
    </xdr:from>
    <xdr:to>
      <xdr:col>17</xdr:col>
      <xdr:colOff>314325</xdr:colOff>
      <xdr:row>159</xdr:row>
      <xdr:rowOff>335</xdr:rowOff>
    </xdr:to>
    <xdr:graphicFrame macro="">
      <xdr:nvGraphicFramePr>
        <xdr:cNvPr id="41" name="Chart 20">
          <a:extLst>
            <a:ext uri="{FF2B5EF4-FFF2-40B4-BE49-F238E27FC236}">
              <a16:creationId xmlns:a16="http://schemas.microsoft.com/office/drawing/2014/main" id="{00000000-0008-0000-0F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0</xdr:colOff>
      <xdr:row>160</xdr:row>
      <xdr:rowOff>161925</xdr:rowOff>
    </xdr:from>
    <xdr:to>
      <xdr:col>6</xdr:col>
      <xdr:colOff>428625</xdr:colOff>
      <xdr:row>175</xdr:row>
      <xdr:rowOff>178135</xdr:rowOff>
    </xdr:to>
    <xdr:graphicFrame macro="">
      <xdr:nvGraphicFramePr>
        <xdr:cNvPr id="42" name="Chart 20">
          <a:extLst>
            <a:ext uri="{FF2B5EF4-FFF2-40B4-BE49-F238E27FC236}">
              <a16:creationId xmlns:a16="http://schemas.microsoft.com/office/drawing/2014/main" id="{00000000-0008-0000-0F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8</xdr:col>
      <xdr:colOff>723900</xdr:colOff>
      <xdr:row>160</xdr:row>
      <xdr:rowOff>142875</xdr:rowOff>
    </xdr:from>
    <xdr:to>
      <xdr:col>17</xdr:col>
      <xdr:colOff>628650</xdr:colOff>
      <xdr:row>175</xdr:row>
      <xdr:rowOff>159085</xdr:rowOff>
    </xdr:to>
    <xdr:graphicFrame macro="">
      <xdr:nvGraphicFramePr>
        <xdr:cNvPr id="43" name="Chart 20">
          <a:extLst>
            <a:ext uri="{FF2B5EF4-FFF2-40B4-BE49-F238E27FC236}">
              <a16:creationId xmlns:a16="http://schemas.microsoft.com/office/drawing/2014/main" id="{00000000-0008-0000-0F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0</xdr:col>
      <xdr:colOff>0</xdr:colOff>
      <xdr:row>177</xdr:row>
      <xdr:rowOff>19050</xdr:rowOff>
    </xdr:from>
    <xdr:to>
      <xdr:col>6</xdr:col>
      <xdr:colOff>428625</xdr:colOff>
      <xdr:row>192</xdr:row>
      <xdr:rowOff>35260</xdr:rowOff>
    </xdr:to>
    <xdr:graphicFrame macro="">
      <xdr:nvGraphicFramePr>
        <xdr:cNvPr id="44" name="Chart 20">
          <a:extLst>
            <a:ext uri="{FF2B5EF4-FFF2-40B4-BE49-F238E27FC236}">
              <a16:creationId xmlns:a16="http://schemas.microsoft.com/office/drawing/2014/main" id="{00000000-0008-0000-0F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8</xdr:col>
      <xdr:colOff>723900</xdr:colOff>
      <xdr:row>177</xdr:row>
      <xdr:rowOff>0</xdr:rowOff>
    </xdr:from>
    <xdr:to>
      <xdr:col>17</xdr:col>
      <xdr:colOff>628650</xdr:colOff>
      <xdr:row>192</xdr:row>
      <xdr:rowOff>16210</xdr:rowOff>
    </xdr:to>
    <xdr:graphicFrame macro="">
      <xdr:nvGraphicFramePr>
        <xdr:cNvPr id="45" name="Chart 20">
          <a:extLst>
            <a:ext uri="{FF2B5EF4-FFF2-40B4-BE49-F238E27FC236}">
              <a16:creationId xmlns:a16="http://schemas.microsoft.com/office/drawing/2014/main" id="{00000000-0008-0000-0F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635000</xdr:colOff>
      <xdr:row>193</xdr:row>
      <xdr:rowOff>15875</xdr:rowOff>
    </xdr:from>
    <xdr:to>
      <xdr:col>6</xdr:col>
      <xdr:colOff>444896</xdr:colOff>
      <xdr:row>210</xdr:row>
      <xdr:rowOff>60563</xdr:rowOff>
    </xdr:to>
    <xdr:pic>
      <xdr:nvPicPr>
        <xdr:cNvPr id="47" name="Image 46">
          <a:extLst>
            <a:ext uri="{FF2B5EF4-FFF2-40B4-BE49-F238E27FC236}">
              <a16:creationId xmlns:a16="http://schemas.microsoft.com/office/drawing/2014/main" id="{00000000-0008-0000-0F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35000" y="31702375"/>
          <a:ext cx="4572396" cy="2743438"/>
        </a:xfrm>
        <a:prstGeom prst="rect">
          <a:avLst/>
        </a:prstGeom>
      </xdr:spPr>
    </xdr:pic>
    <xdr:clientData/>
  </xdr:twoCellAnchor>
  <xdr:twoCellAnchor editAs="oneCell">
    <xdr:from>
      <xdr:col>9</xdr:col>
      <xdr:colOff>460375</xdr:colOff>
      <xdr:row>193</xdr:row>
      <xdr:rowOff>79375</xdr:rowOff>
    </xdr:from>
    <xdr:to>
      <xdr:col>16</xdr:col>
      <xdr:colOff>348325</xdr:colOff>
      <xdr:row>210</xdr:row>
      <xdr:rowOff>124063</xdr:rowOff>
    </xdr:to>
    <xdr:pic>
      <xdr:nvPicPr>
        <xdr:cNvPr id="46" name="Image 45">
          <a:extLst>
            <a:ext uri="{FF2B5EF4-FFF2-40B4-BE49-F238E27FC236}">
              <a16:creationId xmlns:a16="http://schemas.microsoft.com/office/drawing/2014/main" id="{00000000-0008-0000-0F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7318375" y="31765875"/>
          <a:ext cx="5444200" cy="2743438"/>
        </a:xfrm>
        <a:prstGeom prst="rect">
          <a:avLst/>
        </a:prstGeom>
      </xdr:spPr>
    </xdr:pic>
    <xdr:clientData/>
  </xdr:twoCellAnchor>
  <xdr:twoCellAnchor>
    <xdr:from>
      <xdr:col>9</xdr:col>
      <xdr:colOff>404812</xdr:colOff>
      <xdr:row>211</xdr:row>
      <xdr:rowOff>95250</xdr:rowOff>
    </xdr:from>
    <xdr:to>
      <xdr:col>16</xdr:col>
      <xdr:colOff>738187</xdr:colOff>
      <xdr:row>233</xdr:row>
      <xdr:rowOff>38735</xdr:rowOff>
    </xdr:to>
    <xdr:graphicFrame macro="">
      <xdr:nvGraphicFramePr>
        <xdr:cNvPr id="55" name="Graphique 54">
          <a:extLst>
            <a:ext uri="{FF2B5EF4-FFF2-40B4-BE49-F238E27FC236}">
              <a16:creationId xmlns:a16="http://schemas.microsoft.com/office/drawing/2014/main" id="{00000000-0008-0000-0F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20</xdr:col>
      <xdr:colOff>47625</xdr:colOff>
      <xdr:row>36</xdr:row>
      <xdr:rowOff>47625</xdr:rowOff>
    </xdr:from>
    <xdr:to>
      <xdr:col>30</xdr:col>
      <xdr:colOff>523875</xdr:colOff>
      <xdr:row>59</xdr:row>
      <xdr:rowOff>141583</xdr:rowOff>
    </xdr:to>
    <xdr:graphicFrame macro="">
      <xdr:nvGraphicFramePr>
        <xdr:cNvPr id="50" name="Graphique 49">
          <a:extLst>
            <a:ext uri="{FF2B5EF4-FFF2-40B4-BE49-F238E27FC236}">
              <a16:creationId xmlns:a16="http://schemas.microsoft.com/office/drawing/2014/main" id="{00000000-0008-0000-0F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49</xdr:col>
      <xdr:colOff>0</xdr:colOff>
      <xdr:row>16</xdr:row>
      <xdr:rowOff>73025</xdr:rowOff>
    </xdr:from>
    <xdr:to>
      <xdr:col>55</xdr:col>
      <xdr:colOff>0</xdr:colOff>
      <xdr:row>33</xdr:row>
      <xdr:rowOff>117475</xdr:rowOff>
    </xdr:to>
    <xdr:graphicFrame macro="">
      <xdr:nvGraphicFramePr>
        <xdr:cNvPr id="48" name="Graphique 47">
          <a:extLst>
            <a:ext uri="{FF2B5EF4-FFF2-40B4-BE49-F238E27FC236}">
              <a16:creationId xmlns:a16="http://schemas.microsoft.com/office/drawing/2014/main" id="{00000000-0008-0000-0F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20</xdr:col>
      <xdr:colOff>761999</xdr:colOff>
      <xdr:row>53</xdr:row>
      <xdr:rowOff>79375</xdr:rowOff>
    </xdr:from>
    <xdr:to>
      <xdr:col>33</xdr:col>
      <xdr:colOff>127000</xdr:colOff>
      <xdr:row>84</xdr:row>
      <xdr:rowOff>44450</xdr:rowOff>
    </xdr:to>
    <xdr:graphicFrame macro="">
      <xdr:nvGraphicFramePr>
        <xdr:cNvPr id="51" name="Graphique 50">
          <a:extLst>
            <a:ext uri="{FF2B5EF4-FFF2-40B4-BE49-F238E27FC236}">
              <a16:creationId xmlns:a16="http://schemas.microsoft.com/office/drawing/2014/main" id="{00000000-0008-0000-0F00-00003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0.75354</cdr:x>
      <cdr:y>0</cdr:y>
    </cdr:from>
    <cdr:to>
      <cdr:x>1</cdr:x>
      <cdr:y>0.18414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572000" y="0"/>
          <a:ext cx="1291148" cy="5291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N=11818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0.75354</cdr:x>
      <cdr:y>0</cdr:y>
    </cdr:from>
    <cdr:to>
      <cdr:x>1</cdr:x>
      <cdr:y>0.18414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572000" y="0"/>
          <a:ext cx="1291148" cy="5291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N=10660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0.75354</cdr:x>
      <cdr:y>0</cdr:y>
    </cdr:from>
    <cdr:to>
      <cdr:x>1</cdr:x>
      <cdr:y>0.18414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572000" y="0"/>
          <a:ext cx="1291148" cy="5291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N=10993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0.75354</cdr:x>
      <cdr:y>0</cdr:y>
    </cdr:from>
    <cdr:to>
      <cdr:x>1</cdr:x>
      <cdr:y>0.18414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572000" y="0"/>
          <a:ext cx="1291148" cy="5291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N=7406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0.75354</cdr:x>
      <cdr:y>0</cdr:y>
    </cdr:from>
    <cdr:to>
      <cdr:x>1</cdr:x>
      <cdr:y>0.18414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572000" y="0"/>
          <a:ext cx="1291148" cy="5291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N=4309</a:t>
          </a: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0.74752</cdr:x>
      <cdr:y>0.04745</cdr:y>
    </cdr:from>
    <cdr:to>
      <cdr:x>0.95088</cdr:x>
      <cdr:y>0.20268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238040" y="135179"/>
          <a:ext cx="1152938" cy="442229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N=7679</a:t>
          </a:r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0.75354</cdr:x>
      <cdr:y>0</cdr:y>
    </cdr:from>
    <cdr:to>
      <cdr:x>1</cdr:x>
      <cdr:y>0.18414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572000" y="0"/>
          <a:ext cx="1291148" cy="5291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N=11818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0.75354</cdr:x>
      <cdr:y>0</cdr:y>
    </cdr:from>
    <cdr:to>
      <cdr:x>1</cdr:x>
      <cdr:y>0.18414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572000" y="0"/>
          <a:ext cx="1291148" cy="5291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N=10660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0.75354</cdr:x>
      <cdr:y>0</cdr:y>
    </cdr:from>
    <cdr:to>
      <cdr:x>1</cdr:x>
      <cdr:y>0.18414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572000" y="0"/>
          <a:ext cx="1291148" cy="5291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N=10993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0.75354</cdr:x>
      <cdr:y>0</cdr:y>
    </cdr:from>
    <cdr:to>
      <cdr:x>1</cdr:x>
      <cdr:y>0.18414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572000" y="0"/>
          <a:ext cx="1291148" cy="5291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N=7406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0.75354</cdr:x>
      <cdr:y>0</cdr:y>
    </cdr:from>
    <cdr:to>
      <cdr:x>1</cdr:x>
      <cdr:y>0.18414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572000" y="0"/>
          <a:ext cx="1291148" cy="5291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N=4309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0.74752</cdr:x>
      <cdr:y>0.04745</cdr:y>
    </cdr:from>
    <cdr:to>
      <cdr:x>0.95088</cdr:x>
      <cdr:y>0.20268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238040" y="135179"/>
          <a:ext cx="1152938" cy="442229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N=7679</a:t>
          </a:r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0.75354</cdr:x>
      <cdr:y>0</cdr:y>
    </cdr:from>
    <cdr:to>
      <cdr:x>1</cdr:x>
      <cdr:y>0.18414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572000" y="0"/>
          <a:ext cx="1291148" cy="5291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N=11818</a:t>
          </a:r>
        </a:p>
      </cdr:txBody>
    </cdr: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0.75354</cdr:x>
      <cdr:y>0</cdr:y>
    </cdr:from>
    <cdr:to>
      <cdr:x>1</cdr:x>
      <cdr:y>0.18414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572000" y="0"/>
          <a:ext cx="1291148" cy="5291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N=10660</a:t>
          </a:r>
        </a:p>
      </cdr:txBody>
    </cdr:sp>
  </cdr:relSizeAnchor>
</c:userShapes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0.75354</cdr:x>
      <cdr:y>0</cdr:y>
    </cdr:from>
    <cdr:to>
      <cdr:x>1</cdr:x>
      <cdr:y>0.18414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572000" y="0"/>
          <a:ext cx="1291148" cy="5291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N=10993</a:t>
          </a:r>
        </a:p>
        <a:p xmlns:a="http://schemas.openxmlformats.org/drawingml/2006/main">
          <a:r>
            <a:rPr lang="es-ES" sz="1100">
              <a:solidFill>
                <a:srgbClr val="FF0000"/>
              </a:solidFill>
              <a:latin typeface="Times New Roman" pitchFamily="18" charset="0"/>
              <a:cs typeface="Times New Roman" pitchFamily="18" charset="0"/>
            </a:rPr>
            <a:t>RIM+PNDB!</a:t>
          </a:r>
        </a:p>
      </cdr:txBody>
    </cdr:sp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0.75354</cdr:x>
      <cdr:y>0</cdr:y>
    </cdr:from>
    <cdr:to>
      <cdr:x>1</cdr:x>
      <cdr:y>0.18414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572000" y="0"/>
          <a:ext cx="1291148" cy="5291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N=2294</a:t>
          </a:r>
        </a:p>
      </cdr:txBody>
    </cdr:sp>
  </cdr:relSizeAnchor>
</c:userShapes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0.75354</cdr:x>
      <cdr:y>0</cdr:y>
    </cdr:from>
    <cdr:to>
      <cdr:x>1</cdr:x>
      <cdr:y>0.18414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572000" y="0"/>
          <a:ext cx="1291148" cy="5291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N=7406</a:t>
          </a:r>
        </a:p>
        <a:p xmlns:a="http://schemas.openxmlformats.org/drawingml/2006/main">
          <a:r>
            <a:rPr lang="es-ES" sz="1100">
              <a:solidFill>
                <a:srgbClr val="FF0000"/>
              </a:solidFill>
              <a:latin typeface="Times New Roman" pitchFamily="18" charset="0"/>
              <a:cs typeface="Times New Roman" pitchFamily="18" charset="0"/>
            </a:rPr>
            <a:t>RIM+PNDB!</a:t>
          </a:r>
        </a:p>
      </cdr:txBody>
    </cdr:sp>
  </cdr:relSizeAnchor>
</c:userShapes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0.75354</cdr:x>
      <cdr:y>0</cdr:y>
    </cdr:from>
    <cdr:to>
      <cdr:x>1</cdr:x>
      <cdr:y>0.18414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572000" y="0"/>
          <a:ext cx="1291148" cy="5291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N=4309</a:t>
          </a:r>
        </a:p>
        <a:p xmlns:a="http://schemas.openxmlformats.org/drawingml/2006/main">
          <a:r>
            <a:rPr lang="es-ES" sz="1100">
              <a:solidFill>
                <a:srgbClr val="FF0000"/>
              </a:solidFill>
              <a:latin typeface="Times New Roman" pitchFamily="18" charset="0"/>
              <a:cs typeface="Times New Roman" pitchFamily="18" charset="0"/>
            </a:rPr>
            <a:t>RIM+Embarques</a:t>
          </a:r>
        </a:p>
      </cdr:txBody>
    </cdr:sp>
  </cdr:relSizeAnchor>
</c:userShapes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0.75354</cdr:x>
      <cdr:y>0</cdr:y>
    </cdr:from>
    <cdr:to>
      <cdr:x>1</cdr:x>
      <cdr:y>0.18414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572000" y="0"/>
          <a:ext cx="1291148" cy="5291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N=7679</a:t>
          </a:r>
        </a:p>
        <a:p xmlns:a="http://schemas.openxmlformats.org/drawingml/2006/main">
          <a:r>
            <a:rPr lang="es-ES" sz="1100">
              <a:solidFill>
                <a:srgbClr val="FF0000"/>
              </a:solidFill>
              <a:latin typeface="Times New Roman" pitchFamily="18" charset="0"/>
              <a:cs typeface="Times New Roman" pitchFamily="18" charset="0"/>
            </a:rPr>
            <a:t>RIM+Embarques+PNDB</a:t>
          </a:r>
        </a:p>
      </cdr:txBody>
    </cdr:sp>
  </cdr:relSizeAnchor>
</c:userShapes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0.75354</cdr:x>
      <cdr:y>0</cdr:y>
    </cdr:from>
    <cdr:to>
      <cdr:x>1</cdr:x>
      <cdr:y>0.18414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572000" y="0"/>
          <a:ext cx="1291148" cy="5291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N=12076</a:t>
          </a:r>
        </a:p>
        <a:p xmlns:a="http://schemas.openxmlformats.org/drawingml/2006/main">
          <a:r>
            <a:rPr lang="es-ES" sz="1100">
              <a:solidFill>
                <a:srgbClr val="FF0000"/>
              </a:solidFill>
              <a:latin typeface="Times New Roman" pitchFamily="18" charset="0"/>
              <a:cs typeface="Times New Roman" pitchFamily="18" charset="0"/>
            </a:rPr>
            <a:t>RIM+Embarques+PNDB</a:t>
          </a:r>
        </a:p>
      </cdr:txBody>
    </cdr:sp>
  </cdr:relSizeAnchor>
</c:userShapes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0.75354</cdr:x>
      <cdr:y>0</cdr:y>
    </cdr:from>
    <cdr:to>
      <cdr:x>1</cdr:x>
      <cdr:y>0.18414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572000" y="0"/>
          <a:ext cx="1291148" cy="5291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N=11818</a:t>
          </a:r>
        </a:p>
      </cdr:txBody>
    </cdr:sp>
  </cdr:relSizeAnchor>
</c:userShapes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0.75354</cdr:x>
      <cdr:y>0</cdr:y>
    </cdr:from>
    <cdr:to>
      <cdr:x>1</cdr:x>
      <cdr:y>0.18414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572000" y="0"/>
          <a:ext cx="1291148" cy="5291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N=10660</a:t>
          </a:r>
        </a:p>
      </cdr:txBody>
    </cdr:sp>
  </cdr:relSizeAnchor>
</c:userShapes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0.75354</cdr:x>
      <cdr:y>0</cdr:y>
    </cdr:from>
    <cdr:to>
      <cdr:x>1</cdr:x>
      <cdr:y>0.18414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572000" y="0"/>
          <a:ext cx="1291148" cy="5291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N=10993</a:t>
          </a:r>
        </a:p>
      </cdr:txBody>
    </cdr:sp>
  </cdr:relSizeAnchor>
</c:userShapes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0.75354</cdr:x>
      <cdr:y>0</cdr:y>
    </cdr:from>
    <cdr:to>
      <cdr:x>1</cdr:x>
      <cdr:y>0.18414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572000" y="0"/>
          <a:ext cx="1291148" cy="5291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N=2294</a:t>
          </a:r>
        </a:p>
      </cdr:txBody>
    </cdr:sp>
  </cdr:relSizeAnchor>
</c:userShapes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0.75354</cdr:x>
      <cdr:y>0</cdr:y>
    </cdr:from>
    <cdr:to>
      <cdr:x>1</cdr:x>
      <cdr:y>0.18414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572000" y="0"/>
          <a:ext cx="1291148" cy="5291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N=7406</a:t>
          </a:r>
        </a:p>
      </cdr:txBody>
    </cdr:sp>
  </cdr:relSizeAnchor>
</c:userShapes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0.75354</cdr:x>
      <cdr:y>0</cdr:y>
    </cdr:from>
    <cdr:to>
      <cdr:x>1</cdr:x>
      <cdr:y>0.18414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572000" y="0"/>
          <a:ext cx="1291148" cy="5291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N=4309</a:t>
          </a:r>
        </a:p>
      </cdr:txBody>
    </cdr:sp>
  </cdr:relSizeAnchor>
</c:userShapes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0.75354</cdr:x>
      <cdr:y>0</cdr:y>
    </cdr:from>
    <cdr:to>
      <cdr:x>1</cdr:x>
      <cdr:y>0.18414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572000" y="0"/>
          <a:ext cx="1291148" cy="5291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N=7679</a:t>
          </a:r>
        </a:p>
      </cdr:txBody>
    </cdr:sp>
  </cdr:relSizeAnchor>
</c:userShapes>
</file>

<file path=xl/drawings/drawing39.xml><?xml version="1.0" encoding="utf-8"?>
<c:userShapes xmlns:c="http://schemas.openxmlformats.org/drawingml/2006/chart">
  <cdr:relSizeAnchor xmlns:cdr="http://schemas.openxmlformats.org/drawingml/2006/chartDrawing">
    <cdr:from>
      <cdr:x>0.75354</cdr:x>
      <cdr:y>0</cdr:y>
    </cdr:from>
    <cdr:to>
      <cdr:x>1</cdr:x>
      <cdr:y>0.18414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572000" y="0"/>
          <a:ext cx="1291148" cy="5291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N=12076</a:t>
          </a:r>
        </a:p>
      </cdr:txBody>
    </cdr:sp>
  </cdr:relSizeAnchor>
</c:userShapes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0.75354</cdr:x>
      <cdr:y>0</cdr:y>
    </cdr:from>
    <cdr:to>
      <cdr:x>1</cdr:x>
      <cdr:y>0.18414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572000" y="0"/>
          <a:ext cx="1291148" cy="5291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s-ES" sz="1100">
              <a:latin typeface="Times New Roman" pitchFamily="18" charset="0"/>
              <a:cs typeface="Times New Roman" pitchFamily="18" charset="0"/>
            </a:rPr>
            <a:t>N=2185</a:t>
          </a:r>
        </a:p>
      </cdr:txBody>
    </cdr:sp>
  </cdr:relSizeAnchor>
</c:userShapes>
</file>

<file path=xl/drawings/drawing41.xml><?xml version="1.0" encoding="utf-8"?>
<c:userShapes xmlns:c="http://schemas.openxmlformats.org/drawingml/2006/chart">
  <cdr:relSizeAnchor xmlns:cdr="http://schemas.openxmlformats.org/drawingml/2006/chartDrawing">
    <cdr:from>
      <cdr:x>0.75354</cdr:x>
      <cdr:y>0</cdr:y>
    </cdr:from>
    <cdr:to>
      <cdr:x>1</cdr:x>
      <cdr:y>0.18414</cdr:y>
    </cdr:to>
    <cdr:sp macro="" textlink="">
      <cdr:nvSpPr>
        <cdr:cNvPr id="2" name="10 CuadroTexto"/>
        <cdr:cNvSpPr txBox="1"/>
      </cdr:nvSpPr>
      <cdr:spPr>
        <a:xfrm xmlns:a="http://schemas.openxmlformats.org/drawingml/2006/main">
          <a:off x="4572000" y="0"/>
          <a:ext cx="1291148" cy="52916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endParaRPr lang="es-ES" sz="1100"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4</xdr:row>
      <xdr:rowOff>85725</xdr:rowOff>
    </xdr:from>
    <xdr:to>
      <xdr:col>25</xdr:col>
      <xdr:colOff>723900</xdr:colOff>
      <xdr:row>18</xdr:row>
      <xdr:rowOff>0</xdr:rowOff>
    </xdr:to>
    <xdr:graphicFrame macro="">
      <xdr:nvGraphicFramePr>
        <xdr:cNvPr id="527367" name="Graphique 10">
          <a:extLst>
            <a:ext uri="{FF2B5EF4-FFF2-40B4-BE49-F238E27FC236}">
              <a16:creationId xmlns:a16="http://schemas.microsoft.com/office/drawing/2014/main" id="{00000000-0008-0000-1100-0000070C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123825</xdr:colOff>
      <xdr:row>2</xdr:row>
      <xdr:rowOff>47625</xdr:rowOff>
    </xdr:from>
    <xdr:to>
      <xdr:col>16</xdr:col>
      <xdr:colOff>123825</xdr:colOff>
      <xdr:row>12</xdr:row>
      <xdr:rowOff>85725</xdr:rowOff>
    </xdr:to>
    <xdr:graphicFrame macro="">
      <xdr:nvGraphicFramePr>
        <xdr:cNvPr id="527368" name="Graphique 8">
          <a:extLst>
            <a:ext uri="{FF2B5EF4-FFF2-40B4-BE49-F238E27FC236}">
              <a16:creationId xmlns:a16="http://schemas.microsoft.com/office/drawing/2014/main" id="{00000000-0008-0000-1100-0000080C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114300</xdr:colOff>
      <xdr:row>13</xdr:row>
      <xdr:rowOff>133350</xdr:rowOff>
    </xdr:from>
    <xdr:to>
      <xdr:col>16</xdr:col>
      <xdr:colOff>114300</xdr:colOff>
      <xdr:row>24</xdr:row>
      <xdr:rowOff>180975</xdr:rowOff>
    </xdr:to>
    <xdr:graphicFrame macro="">
      <xdr:nvGraphicFramePr>
        <xdr:cNvPr id="527369" name="Graphique 8">
          <a:extLst>
            <a:ext uri="{FF2B5EF4-FFF2-40B4-BE49-F238E27FC236}">
              <a16:creationId xmlns:a16="http://schemas.microsoft.com/office/drawing/2014/main" id="{00000000-0008-0000-1100-0000090C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95250</xdr:colOff>
      <xdr:row>25</xdr:row>
      <xdr:rowOff>38100</xdr:rowOff>
    </xdr:from>
    <xdr:to>
      <xdr:col>16</xdr:col>
      <xdr:colOff>95250</xdr:colOff>
      <xdr:row>36</xdr:row>
      <xdr:rowOff>152400</xdr:rowOff>
    </xdr:to>
    <xdr:graphicFrame macro="">
      <xdr:nvGraphicFramePr>
        <xdr:cNvPr id="527370" name="Graphique 8">
          <a:extLst>
            <a:ext uri="{FF2B5EF4-FFF2-40B4-BE49-F238E27FC236}">
              <a16:creationId xmlns:a16="http://schemas.microsoft.com/office/drawing/2014/main" id="{00000000-0008-0000-1100-00000A0C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133350</xdr:colOff>
      <xdr:row>44</xdr:row>
      <xdr:rowOff>66675</xdr:rowOff>
    </xdr:from>
    <xdr:to>
      <xdr:col>16</xdr:col>
      <xdr:colOff>76200</xdr:colOff>
      <xdr:row>58</xdr:row>
      <xdr:rowOff>123825</xdr:rowOff>
    </xdr:to>
    <xdr:graphicFrame macro="">
      <xdr:nvGraphicFramePr>
        <xdr:cNvPr id="527371" name="Graphique 17">
          <a:extLst>
            <a:ext uri="{FF2B5EF4-FFF2-40B4-BE49-F238E27FC236}">
              <a16:creationId xmlns:a16="http://schemas.microsoft.com/office/drawing/2014/main" id="{00000000-0008-0000-1100-00000B0C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76200</xdr:colOff>
      <xdr:row>61</xdr:row>
      <xdr:rowOff>180975</xdr:rowOff>
    </xdr:from>
    <xdr:to>
      <xdr:col>16</xdr:col>
      <xdr:colOff>19050</xdr:colOff>
      <xdr:row>76</xdr:row>
      <xdr:rowOff>57150</xdr:rowOff>
    </xdr:to>
    <xdr:graphicFrame macro="">
      <xdr:nvGraphicFramePr>
        <xdr:cNvPr id="527372" name="Graphique 18">
          <a:extLst>
            <a:ext uri="{FF2B5EF4-FFF2-40B4-BE49-F238E27FC236}">
              <a16:creationId xmlns:a16="http://schemas.microsoft.com/office/drawing/2014/main" id="{00000000-0008-0000-1100-00000C0C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95250</xdr:colOff>
      <xdr:row>0</xdr:row>
      <xdr:rowOff>142875</xdr:rowOff>
    </xdr:from>
    <xdr:to>
      <xdr:col>27</xdr:col>
      <xdr:colOff>228600</xdr:colOff>
      <xdr:row>16</xdr:row>
      <xdr:rowOff>66675</xdr:rowOff>
    </xdr:to>
    <xdr:graphicFrame macro="">
      <xdr:nvGraphicFramePr>
        <xdr:cNvPr id="534531" name="Chart 6">
          <a:extLst>
            <a:ext uri="{FF2B5EF4-FFF2-40B4-BE49-F238E27FC236}">
              <a16:creationId xmlns:a16="http://schemas.microsoft.com/office/drawing/2014/main" id="{00000000-0008-0000-1300-00000328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123825</xdr:colOff>
      <xdr:row>17</xdr:row>
      <xdr:rowOff>28575</xdr:rowOff>
    </xdr:from>
    <xdr:to>
      <xdr:col>27</xdr:col>
      <xdr:colOff>257175</xdr:colOff>
      <xdr:row>33</xdr:row>
      <xdr:rowOff>9525</xdr:rowOff>
    </xdr:to>
    <xdr:graphicFrame macro="">
      <xdr:nvGraphicFramePr>
        <xdr:cNvPr id="534532" name="Chart 6">
          <a:extLst>
            <a:ext uri="{FF2B5EF4-FFF2-40B4-BE49-F238E27FC236}">
              <a16:creationId xmlns:a16="http://schemas.microsoft.com/office/drawing/2014/main" id="{00000000-0008-0000-1300-00000428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276225</xdr:colOff>
      <xdr:row>49</xdr:row>
      <xdr:rowOff>123825</xdr:rowOff>
    </xdr:from>
    <xdr:to>
      <xdr:col>39</xdr:col>
      <xdr:colOff>581025</xdr:colOff>
      <xdr:row>66</xdr:row>
      <xdr:rowOff>28575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342900</xdr:colOff>
      <xdr:row>67</xdr:row>
      <xdr:rowOff>19050</xdr:rowOff>
    </xdr:from>
    <xdr:to>
      <xdr:col>40</xdr:col>
      <xdr:colOff>38100</xdr:colOff>
      <xdr:row>81</xdr:row>
      <xdr:rowOff>95250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542925</xdr:colOff>
      <xdr:row>93</xdr:row>
      <xdr:rowOff>19050</xdr:rowOff>
    </xdr:from>
    <xdr:to>
      <xdr:col>41</xdr:col>
      <xdr:colOff>238125</xdr:colOff>
      <xdr:row>107</xdr:row>
      <xdr:rowOff>95250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523</xdr:colOff>
      <xdr:row>7</xdr:row>
      <xdr:rowOff>83048</xdr:rowOff>
    </xdr:from>
    <xdr:to>
      <xdr:col>38</xdr:col>
      <xdr:colOff>594726</xdr:colOff>
      <xdr:row>24</xdr:row>
      <xdr:rowOff>19440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61</xdr:col>
      <xdr:colOff>439192</xdr:colOff>
      <xdr:row>15</xdr:row>
      <xdr:rowOff>95250</xdr:rowOff>
    </xdr:from>
    <xdr:to>
      <xdr:col>74</xdr:col>
      <xdr:colOff>380999</xdr:colOff>
      <xdr:row>60</xdr:row>
      <xdr:rowOff>76200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4</xdr:row>
      <xdr:rowOff>57150</xdr:rowOff>
    </xdr:from>
    <xdr:to>
      <xdr:col>10</xdr:col>
      <xdr:colOff>514350</xdr:colOff>
      <xdr:row>21</xdr:row>
      <xdr:rowOff>47625</xdr:rowOff>
    </xdr:to>
    <xdr:graphicFrame macro="">
      <xdr:nvGraphicFramePr>
        <xdr:cNvPr id="537603" name="Graphique 1">
          <a:extLst>
            <a:ext uri="{FF2B5EF4-FFF2-40B4-BE49-F238E27FC236}">
              <a16:creationId xmlns:a16="http://schemas.microsoft.com/office/drawing/2014/main" id="{00000000-0008-0000-1500-00000334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228600</xdr:colOff>
      <xdr:row>22</xdr:row>
      <xdr:rowOff>133350</xdr:rowOff>
    </xdr:from>
    <xdr:to>
      <xdr:col>10</xdr:col>
      <xdr:colOff>590550</xdr:colOff>
      <xdr:row>39</xdr:row>
      <xdr:rowOff>123825</xdr:rowOff>
    </xdr:to>
    <xdr:graphicFrame macro="">
      <xdr:nvGraphicFramePr>
        <xdr:cNvPr id="537604" name="Graphique 2">
          <a:extLst>
            <a:ext uri="{FF2B5EF4-FFF2-40B4-BE49-F238E27FC236}">
              <a16:creationId xmlns:a16="http://schemas.microsoft.com/office/drawing/2014/main" id="{00000000-0008-0000-1500-00000434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400050</xdr:colOff>
      <xdr:row>33</xdr:row>
      <xdr:rowOff>133350</xdr:rowOff>
    </xdr:from>
    <xdr:to>
      <xdr:col>43</xdr:col>
      <xdr:colOff>361950</xdr:colOff>
      <xdr:row>52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307768</xdr:colOff>
      <xdr:row>15</xdr:row>
      <xdr:rowOff>80404</xdr:rowOff>
    </xdr:from>
    <xdr:to>
      <xdr:col>43</xdr:col>
      <xdr:colOff>307768</xdr:colOff>
      <xdr:row>32</xdr:row>
      <xdr:rowOff>47747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3</xdr:row>
      <xdr:rowOff>47625</xdr:rowOff>
    </xdr:from>
    <xdr:to>
      <xdr:col>17</xdr:col>
      <xdr:colOff>209550</xdr:colOff>
      <xdr:row>21</xdr:row>
      <xdr:rowOff>142875</xdr:rowOff>
    </xdr:to>
    <xdr:graphicFrame macro="">
      <xdr:nvGraphicFramePr>
        <xdr:cNvPr id="540674" name="Chart 9">
          <a:extLst>
            <a:ext uri="{FF2B5EF4-FFF2-40B4-BE49-F238E27FC236}">
              <a16:creationId xmlns:a16="http://schemas.microsoft.com/office/drawing/2014/main" id="{00000000-0008-0000-1F00-00000240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22</xdr:row>
      <xdr:rowOff>9525</xdr:rowOff>
    </xdr:from>
    <xdr:to>
      <xdr:col>4</xdr:col>
      <xdr:colOff>342900</xdr:colOff>
      <xdr:row>35</xdr:row>
      <xdr:rowOff>9525</xdr:rowOff>
    </xdr:to>
    <xdr:graphicFrame macro="">
      <xdr:nvGraphicFramePr>
        <xdr:cNvPr id="542735" name="Chart 8">
          <a:extLst>
            <a:ext uri="{FF2B5EF4-FFF2-40B4-BE49-F238E27FC236}">
              <a16:creationId xmlns:a16="http://schemas.microsoft.com/office/drawing/2014/main" id="{00000000-0008-0000-2200-00000F48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</xdr:colOff>
      <xdr:row>22</xdr:row>
      <xdr:rowOff>57150</xdr:rowOff>
    </xdr:from>
    <xdr:to>
      <xdr:col>10</xdr:col>
      <xdr:colOff>95250</xdr:colOff>
      <xdr:row>35</xdr:row>
      <xdr:rowOff>57150</xdr:rowOff>
    </xdr:to>
    <xdr:graphicFrame macro="">
      <xdr:nvGraphicFramePr>
        <xdr:cNvPr id="542743" name="Chart 8">
          <a:extLst>
            <a:ext uri="{FF2B5EF4-FFF2-40B4-BE49-F238E27FC236}">
              <a16:creationId xmlns:a16="http://schemas.microsoft.com/office/drawing/2014/main" id="{00000000-0008-0000-2200-00001748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66675</xdr:colOff>
      <xdr:row>36</xdr:row>
      <xdr:rowOff>47625</xdr:rowOff>
    </xdr:from>
    <xdr:to>
      <xdr:col>4</xdr:col>
      <xdr:colOff>361950</xdr:colOff>
      <xdr:row>49</xdr:row>
      <xdr:rowOff>47625</xdr:rowOff>
    </xdr:to>
    <xdr:graphicFrame macro="">
      <xdr:nvGraphicFramePr>
        <xdr:cNvPr id="542744" name="Chart 8">
          <a:extLst>
            <a:ext uri="{FF2B5EF4-FFF2-40B4-BE49-F238E27FC236}">
              <a16:creationId xmlns:a16="http://schemas.microsoft.com/office/drawing/2014/main" id="{00000000-0008-0000-2200-00001848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200025</xdr:colOff>
      <xdr:row>36</xdr:row>
      <xdr:rowOff>47625</xdr:rowOff>
    </xdr:from>
    <xdr:to>
      <xdr:col>10</xdr:col>
      <xdr:colOff>285750</xdr:colOff>
      <xdr:row>49</xdr:row>
      <xdr:rowOff>47625</xdr:rowOff>
    </xdr:to>
    <xdr:graphicFrame macro="">
      <xdr:nvGraphicFramePr>
        <xdr:cNvPr id="542745" name="Chart 8">
          <a:extLst>
            <a:ext uri="{FF2B5EF4-FFF2-40B4-BE49-F238E27FC236}">
              <a16:creationId xmlns:a16="http://schemas.microsoft.com/office/drawing/2014/main" id="{00000000-0008-0000-2200-00001948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295275</xdr:colOff>
      <xdr:row>63</xdr:row>
      <xdr:rowOff>0</xdr:rowOff>
    </xdr:to>
    <xdr:graphicFrame macro="">
      <xdr:nvGraphicFramePr>
        <xdr:cNvPr id="542746" name="Chart 8">
          <a:extLst>
            <a:ext uri="{FF2B5EF4-FFF2-40B4-BE49-F238E27FC236}">
              <a16:creationId xmlns:a16="http://schemas.microsoft.com/office/drawing/2014/main" id="{00000000-0008-0000-2200-00001A48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50</xdr:row>
      <xdr:rowOff>0</xdr:rowOff>
    </xdr:from>
    <xdr:to>
      <xdr:col>10</xdr:col>
      <xdr:colOff>85725</xdr:colOff>
      <xdr:row>63</xdr:row>
      <xdr:rowOff>0</xdr:rowOff>
    </xdr:to>
    <xdr:graphicFrame macro="">
      <xdr:nvGraphicFramePr>
        <xdr:cNvPr id="542747" name="Chart 8">
          <a:extLst>
            <a:ext uri="{FF2B5EF4-FFF2-40B4-BE49-F238E27FC236}">
              <a16:creationId xmlns:a16="http://schemas.microsoft.com/office/drawing/2014/main" id="{00000000-0008-0000-2200-00001B48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50573</xdr:colOff>
      <xdr:row>60</xdr:row>
      <xdr:rowOff>104549</xdr:rowOff>
    </xdr:from>
    <xdr:to>
      <xdr:col>16</xdr:col>
      <xdr:colOff>79148</xdr:colOff>
      <xdr:row>73</xdr:row>
      <xdr:rowOff>104550</xdr:rowOff>
    </xdr:to>
    <xdr:graphicFrame macro="">
      <xdr:nvGraphicFramePr>
        <xdr:cNvPr id="542748" name="Chart 8">
          <a:extLst>
            <a:ext uri="{FF2B5EF4-FFF2-40B4-BE49-F238E27FC236}">
              <a16:creationId xmlns:a16="http://schemas.microsoft.com/office/drawing/2014/main" id="{00000000-0008-0000-2200-00001C48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289604</xdr:colOff>
      <xdr:row>23</xdr:row>
      <xdr:rowOff>17462</xdr:rowOff>
    </xdr:from>
    <xdr:to>
      <xdr:col>35</xdr:col>
      <xdr:colOff>587828</xdr:colOff>
      <xdr:row>40</xdr:row>
      <xdr:rowOff>16328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19050</xdr:rowOff>
    </xdr:from>
    <xdr:to>
      <xdr:col>6</xdr:col>
      <xdr:colOff>371475</xdr:colOff>
      <xdr:row>27</xdr:row>
      <xdr:rowOff>123825</xdr:rowOff>
    </xdr:to>
    <xdr:graphicFrame macro="">
      <xdr:nvGraphicFramePr>
        <xdr:cNvPr id="558088" name="Graphique 1">
          <a:extLst>
            <a:ext uri="{FF2B5EF4-FFF2-40B4-BE49-F238E27FC236}">
              <a16:creationId xmlns:a16="http://schemas.microsoft.com/office/drawing/2014/main" id="{00000000-0008-0000-2800-00000884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371475</xdr:colOff>
      <xdr:row>19</xdr:row>
      <xdr:rowOff>9525</xdr:rowOff>
    </xdr:from>
    <xdr:to>
      <xdr:col>12</xdr:col>
      <xdr:colOff>95250</xdr:colOff>
      <xdr:row>27</xdr:row>
      <xdr:rowOff>114300</xdr:rowOff>
    </xdr:to>
    <xdr:graphicFrame macro="">
      <xdr:nvGraphicFramePr>
        <xdr:cNvPr id="558089" name="Graphique 2">
          <a:extLst>
            <a:ext uri="{FF2B5EF4-FFF2-40B4-BE49-F238E27FC236}">
              <a16:creationId xmlns:a16="http://schemas.microsoft.com/office/drawing/2014/main" id="{00000000-0008-0000-2800-00000984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27</xdr:row>
      <xdr:rowOff>133350</xdr:rowOff>
    </xdr:from>
    <xdr:to>
      <xdr:col>7</xdr:col>
      <xdr:colOff>0</xdr:colOff>
      <xdr:row>36</xdr:row>
      <xdr:rowOff>142875</xdr:rowOff>
    </xdr:to>
    <xdr:graphicFrame macro="">
      <xdr:nvGraphicFramePr>
        <xdr:cNvPr id="558090" name="Graphique 3">
          <a:extLst>
            <a:ext uri="{FF2B5EF4-FFF2-40B4-BE49-F238E27FC236}">
              <a16:creationId xmlns:a16="http://schemas.microsoft.com/office/drawing/2014/main" id="{00000000-0008-0000-2800-00000A84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371475</xdr:colOff>
      <xdr:row>27</xdr:row>
      <xdr:rowOff>133350</xdr:rowOff>
    </xdr:from>
    <xdr:to>
      <xdr:col>12</xdr:col>
      <xdr:colOff>95250</xdr:colOff>
      <xdr:row>36</xdr:row>
      <xdr:rowOff>142875</xdr:rowOff>
    </xdr:to>
    <xdr:graphicFrame macro="">
      <xdr:nvGraphicFramePr>
        <xdr:cNvPr id="558091" name="Graphique 4">
          <a:extLst>
            <a:ext uri="{FF2B5EF4-FFF2-40B4-BE49-F238E27FC236}">
              <a16:creationId xmlns:a16="http://schemas.microsoft.com/office/drawing/2014/main" id="{00000000-0008-0000-2800-00000B84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</xdr:colOff>
      <xdr:row>36</xdr:row>
      <xdr:rowOff>152400</xdr:rowOff>
    </xdr:from>
    <xdr:to>
      <xdr:col>7</xdr:col>
      <xdr:colOff>0</xdr:colOff>
      <xdr:row>46</xdr:row>
      <xdr:rowOff>95250</xdr:rowOff>
    </xdr:to>
    <xdr:graphicFrame macro="">
      <xdr:nvGraphicFramePr>
        <xdr:cNvPr id="558092" name="Graphique 5">
          <a:extLst>
            <a:ext uri="{FF2B5EF4-FFF2-40B4-BE49-F238E27FC236}">
              <a16:creationId xmlns:a16="http://schemas.microsoft.com/office/drawing/2014/main" id="{00000000-0008-0000-2800-00000C84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9525</xdr:colOff>
      <xdr:row>36</xdr:row>
      <xdr:rowOff>142875</xdr:rowOff>
    </xdr:from>
    <xdr:to>
      <xdr:col>12</xdr:col>
      <xdr:colOff>123825</xdr:colOff>
      <xdr:row>46</xdr:row>
      <xdr:rowOff>85725</xdr:rowOff>
    </xdr:to>
    <xdr:graphicFrame macro="">
      <xdr:nvGraphicFramePr>
        <xdr:cNvPr id="558093" name="Graphique 6">
          <a:extLst>
            <a:ext uri="{FF2B5EF4-FFF2-40B4-BE49-F238E27FC236}">
              <a16:creationId xmlns:a16="http://schemas.microsoft.com/office/drawing/2014/main" id="{00000000-0008-0000-2800-00000D84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19050</xdr:colOff>
      <xdr:row>46</xdr:row>
      <xdr:rowOff>104775</xdr:rowOff>
    </xdr:from>
    <xdr:to>
      <xdr:col>12</xdr:col>
      <xdr:colOff>133350</xdr:colOff>
      <xdr:row>56</xdr:row>
      <xdr:rowOff>104775</xdr:rowOff>
    </xdr:to>
    <xdr:graphicFrame macro="">
      <xdr:nvGraphicFramePr>
        <xdr:cNvPr id="558094" name="Graphique 8">
          <a:extLst>
            <a:ext uri="{FF2B5EF4-FFF2-40B4-BE49-F238E27FC236}">
              <a16:creationId xmlns:a16="http://schemas.microsoft.com/office/drawing/2014/main" id="{00000000-0008-0000-2800-00000E84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614796</xdr:colOff>
      <xdr:row>21</xdr:row>
      <xdr:rowOff>69272</xdr:rowOff>
    </xdr:from>
    <xdr:to>
      <xdr:col>44</xdr:col>
      <xdr:colOff>0</xdr:colOff>
      <xdr:row>44</xdr:row>
      <xdr:rowOff>114299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44</xdr:col>
      <xdr:colOff>494221</xdr:colOff>
      <xdr:row>0</xdr:row>
      <xdr:rowOff>80873</xdr:rowOff>
    </xdr:from>
    <xdr:to>
      <xdr:col>47</xdr:col>
      <xdr:colOff>605645</xdr:colOff>
      <xdr:row>15</xdr:row>
      <xdr:rowOff>134788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53975</xdr:colOff>
      <xdr:row>0</xdr:row>
      <xdr:rowOff>0</xdr:rowOff>
    </xdr:from>
    <xdr:to>
      <xdr:col>24</xdr:col>
      <xdr:colOff>269875</xdr:colOff>
      <xdr:row>17</xdr:row>
      <xdr:rowOff>44450</xdr:rowOff>
    </xdr:to>
    <xdr:graphicFrame macro="">
      <xdr:nvGraphicFramePr>
        <xdr:cNvPr id="566276" name="Chart 1">
          <a:extLst>
            <a:ext uri="{FF2B5EF4-FFF2-40B4-BE49-F238E27FC236}">
              <a16:creationId xmlns:a16="http://schemas.microsoft.com/office/drawing/2014/main" id="{00000000-0008-0000-2600-000004A4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723900</xdr:colOff>
      <xdr:row>18</xdr:row>
      <xdr:rowOff>85725</xdr:rowOff>
    </xdr:from>
    <xdr:to>
      <xdr:col>18</xdr:col>
      <xdr:colOff>600075</xdr:colOff>
      <xdr:row>32</xdr:row>
      <xdr:rowOff>47625</xdr:rowOff>
    </xdr:to>
    <xdr:graphicFrame macro="">
      <xdr:nvGraphicFramePr>
        <xdr:cNvPr id="566277" name="Chart 2">
          <a:extLst>
            <a:ext uri="{FF2B5EF4-FFF2-40B4-BE49-F238E27FC236}">
              <a16:creationId xmlns:a16="http://schemas.microsoft.com/office/drawing/2014/main" id="{00000000-0008-0000-2600-000005A4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638175</xdr:colOff>
      <xdr:row>33</xdr:row>
      <xdr:rowOff>85725</xdr:rowOff>
    </xdr:from>
    <xdr:to>
      <xdr:col>18</xdr:col>
      <xdr:colOff>447675</xdr:colOff>
      <xdr:row>47</xdr:row>
      <xdr:rowOff>76200</xdr:rowOff>
    </xdr:to>
    <xdr:graphicFrame macro="">
      <xdr:nvGraphicFramePr>
        <xdr:cNvPr id="566278" name="Chart 6">
          <a:extLst>
            <a:ext uri="{FF2B5EF4-FFF2-40B4-BE49-F238E27FC236}">
              <a16:creationId xmlns:a16="http://schemas.microsoft.com/office/drawing/2014/main" id="{00000000-0008-0000-2600-000006A4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6</xdr:row>
      <xdr:rowOff>28575</xdr:rowOff>
    </xdr:from>
    <xdr:to>
      <xdr:col>19</xdr:col>
      <xdr:colOff>342900</xdr:colOff>
      <xdr:row>26</xdr:row>
      <xdr:rowOff>76200</xdr:rowOff>
    </xdr:to>
    <xdr:graphicFrame macro="">
      <xdr:nvGraphicFramePr>
        <xdr:cNvPr id="570371" name="Chart 1">
          <a:extLst>
            <a:ext uri="{FF2B5EF4-FFF2-40B4-BE49-F238E27FC236}">
              <a16:creationId xmlns:a16="http://schemas.microsoft.com/office/drawing/2014/main" id="{00000000-0008-0000-2A00-000003B4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27</xdr:row>
      <xdr:rowOff>114300</xdr:rowOff>
    </xdr:from>
    <xdr:to>
      <xdr:col>19</xdr:col>
      <xdr:colOff>142875</xdr:colOff>
      <xdr:row>43</xdr:row>
      <xdr:rowOff>38100</xdr:rowOff>
    </xdr:to>
    <xdr:graphicFrame macro="">
      <xdr:nvGraphicFramePr>
        <xdr:cNvPr id="570372" name="Chart 2">
          <a:extLst>
            <a:ext uri="{FF2B5EF4-FFF2-40B4-BE49-F238E27FC236}">
              <a16:creationId xmlns:a16="http://schemas.microsoft.com/office/drawing/2014/main" id="{00000000-0008-0000-2A00-000004B4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45</xdr:row>
      <xdr:rowOff>38100</xdr:rowOff>
    </xdr:from>
    <xdr:to>
      <xdr:col>18</xdr:col>
      <xdr:colOff>504824</xdr:colOff>
      <xdr:row>61</xdr:row>
      <xdr:rowOff>9525</xdr:rowOff>
    </xdr:to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533400</xdr:colOff>
      <xdr:row>1</xdr:row>
      <xdr:rowOff>0</xdr:rowOff>
    </xdr:from>
    <xdr:to>
      <xdr:col>7</xdr:col>
      <xdr:colOff>609600</xdr:colOff>
      <xdr:row>2</xdr:row>
      <xdr:rowOff>28575</xdr:rowOff>
    </xdr:to>
    <xdr:sp macro="" textlink="">
      <xdr:nvSpPr>
        <xdr:cNvPr id="573445" name="Text Box 3">
          <a:extLst>
            <a:ext uri="{FF2B5EF4-FFF2-40B4-BE49-F238E27FC236}">
              <a16:creationId xmlns:a16="http://schemas.microsoft.com/office/drawing/2014/main" id="{00000000-0008-0000-2C00-000005C00800}"/>
            </a:ext>
          </a:extLst>
        </xdr:cNvPr>
        <xdr:cNvSpPr txBox="1">
          <a:spLocks noChangeArrowheads="1"/>
        </xdr:cNvSpPr>
      </xdr:nvSpPr>
      <xdr:spPr bwMode="auto">
        <a:xfrm>
          <a:off x="5467350" y="2000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533400</xdr:colOff>
      <xdr:row>7</xdr:row>
      <xdr:rowOff>28575</xdr:rowOff>
    </xdr:from>
    <xdr:to>
      <xdr:col>7</xdr:col>
      <xdr:colOff>609600</xdr:colOff>
      <xdr:row>8</xdr:row>
      <xdr:rowOff>66675</xdr:rowOff>
    </xdr:to>
    <xdr:sp macro="" textlink="">
      <xdr:nvSpPr>
        <xdr:cNvPr id="573446" name="Text Box 3">
          <a:extLst>
            <a:ext uri="{FF2B5EF4-FFF2-40B4-BE49-F238E27FC236}">
              <a16:creationId xmlns:a16="http://schemas.microsoft.com/office/drawing/2014/main" id="{00000000-0008-0000-2C00-000006C00800}"/>
            </a:ext>
          </a:extLst>
        </xdr:cNvPr>
        <xdr:cNvSpPr txBox="1">
          <a:spLocks noChangeArrowheads="1"/>
        </xdr:cNvSpPr>
      </xdr:nvSpPr>
      <xdr:spPr bwMode="auto">
        <a:xfrm>
          <a:off x="5467350" y="12096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absolute">
    <xdr:from>
      <xdr:col>5</xdr:col>
      <xdr:colOff>80433</xdr:colOff>
      <xdr:row>1</xdr:row>
      <xdr:rowOff>152400</xdr:rowOff>
    </xdr:from>
    <xdr:to>
      <xdr:col>15</xdr:col>
      <xdr:colOff>95250</xdr:colOff>
      <xdr:row>20</xdr:row>
      <xdr:rowOff>132292</xdr:rowOff>
    </xdr:to>
    <xdr:graphicFrame macro="">
      <xdr:nvGraphicFramePr>
        <xdr:cNvPr id="573448" name="Graphique 5">
          <a:extLst>
            <a:ext uri="{FF2B5EF4-FFF2-40B4-BE49-F238E27FC236}">
              <a16:creationId xmlns:a16="http://schemas.microsoft.com/office/drawing/2014/main" id="{00000000-0008-0000-2C00-000008C008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absoluteAnchor>
    <xdr:pos x="3497580" y="5989321"/>
    <xdr:ext cx="7392670" cy="3497579"/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2C00-000008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533400</xdr:colOff>
      <xdr:row>0</xdr:row>
      <xdr:rowOff>0</xdr:rowOff>
    </xdr:from>
    <xdr:to>
      <xdr:col>6</xdr:col>
      <xdr:colOff>609600</xdr:colOff>
      <xdr:row>2</xdr:row>
      <xdr:rowOff>95250</xdr:rowOff>
    </xdr:to>
    <xdr:sp macro="" textlink="">
      <xdr:nvSpPr>
        <xdr:cNvPr id="576517" name="Text Box 3">
          <a:extLst>
            <a:ext uri="{FF2B5EF4-FFF2-40B4-BE49-F238E27FC236}">
              <a16:creationId xmlns:a16="http://schemas.microsoft.com/office/drawing/2014/main" id="{00000000-0008-0000-2E00-000005CC0800}"/>
            </a:ext>
          </a:extLst>
        </xdr:cNvPr>
        <xdr:cNvSpPr txBox="1">
          <a:spLocks noChangeArrowheads="1"/>
        </xdr:cNvSpPr>
      </xdr:nvSpPr>
      <xdr:spPr bwMode="auto">
        <a:xfrm>
          <a:off x="5191125" y="0"/>
          <a:ext cx="76200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533400</xdr:colOff>
      <xdr:row>2</xdr:row>
      <xdr:rowOff>28575</xdr:rowOff>
    </xdr:from>
    <xdr:to>
      <xdr:col>6</xdr:col>
      <xdr:colOff>609600</xdr:colOff>
      <xdr:row>3</xdr:row>
      <xdr:rowOff>28575</xdr:rowOff>
    </xdr:to>
    <xdr:sp macro="" textlink="">
      <xdr:nvSpPr>
        <xdr:cNvPr id="576518" name="Text Box 3">
          <a:extLst>
            <a:ext uri="{FF2B5EF4-FFF2-40B4-BE49-F238E27FC236}">
              <a16:creationId xmlns:a16="http://schemas.microsoft.com/office/drawing/2014/main" id="{00000000-0008-0000-2E00-000006CC0800}"/>
            </a:ext>
          </a:extLst>
        </xdr:cNvPr>
        <xdr:cNvSpPr txBox="1">
          <a:spLocks noChangeArrowheads="1"/>
        </xdr:cNvSpPr>
      </xdr:nvSpPr>
      <xdr:spPr bwMode="auto">
        <a:xfrm>
          <a:off x="5191125" y="4286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absolute">
    <xdr:from>
      <xdr:col>7</xdr:col>
      <xdr:colOff>352425</xdr:colOff>
      <xdr:row>1</xdr:row>
      <xdr:rowOff>47625</xdr:rowOff>
    </xdr:from>
    <xdr:to>
      <xdr:col>15</xdr:col>
      <xdr:colOff>304800</xdr:colOff>
      <xdr:row>16</xdr:row>
      <xdr:rowOff>5715</xdr:rowOff>
    </xdr:to>
    <xdr:graphicFrame macro="">
      <xdr:nvGraphicFramePr>
        <xdr:cNvPr id="576519" name="Graphique 6">
          <a:extLst>
            <a:ext uri="{FF2B5EF4-FFF2-40B4-BE49-F238E27FC236}">
              <a16:creationId xmlns:a16="http://schemas.microsoft.com/office/drawing/2014/main" id="{00000000-0008-0000-2E00-000007CC08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457200</xdr:colOff>
      <xdr:row>1</xdr:row>
      <xdr:rowOff>146685</xdr:rowOff>
    </xdr:from>
    <xdr:to>
      <xdr:col>6</xdr:col>
      <xdr:colOff>590550</xdr:colOff>
      <xdr:row>14</xdr:row>
      <xdr:rowOff>165735</xdr:rowOff>
    </xdr:to>
    <xdr:graphicFrame macro="">
      <xdr:nvGraphicFramePr>
        <xdr:cNvPr id="576520" name="Graphique 5">
          <a:extLst>
            <a:ext uri="{FF2B5EF4-FFF2-40B4-BE49-F238E27FC236}">
              <a16:creationId xmlns:a16="http://schemas.microsoft.com/office/drawing/2014/main" id="{00000000-0008-0000-2E00-000008CC08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0.19957</cdr:x>
      <cdr:y>0.31581</cdr:y>
    </cdr:from>
    <cdr:to>
      <cdr:x>0.2681</cdr:x>
      <cdr:y>0.39096</cdr:y>
    </cdr:to>
    <cdr:sp macro="" textlink="">
      <cdr:nvSpPr>
        <cdr:cNvPr id="8284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93305" y="889572"/>
          <a:ext cx="301358" cy="1930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PT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U</a:t>
          </a:r>
          <a:r>
            <a:rPr lang="pt-PT" sz="1000" b="0" i="0" u="none" strike="noStrike" baseline="-25000">
              <a:solidFill>
                <a:srgbClr val="000000"/>
              </a:solidFill>
              <a:latin typeface="Times New Roman"/>
              <a:cs typeface="Times New Roman"/>
            </a:rPr>
            <a:t>0.1</a:t>
          </a:r>
        </a:p>
      </cdr:txBody>
    </cdr:sp>
  </cdr:relSizeAnchor>
  <cdr:relSizeAnchor xmlns:cdr="http://schemas.openxmlformats.org/drawingml/2006/chartDrawing">
    <cdr:from>
      <cdr:x>0.19957</cdr:x>
      <cdr:y>0.17029</cdr:y>
    </cdr:from>
    <cdr:to>
      <cdr:x>0.2942</cdr:x>
      <cdr:y>0.24545</cdr:y>
    </cdr:to>
    <cdr:sp macro="" textlink="">
      <cdr:nvSpPr>
        <cdr:cNvPr id="8284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93305" y="515201"/>
          <a:ext cx="414772" cy="19366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PT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U</a:t>
          </a:r>
          <a:r>
            <a:rPr lang="pt-PT" sz="1000" b="0" i="0" u="none" strike="noStrike" baseline="-25000">
              <a:solidFill>
                <a:srgbClr val="000000"/>
              </a:solidFill>
              <a:latin typeface="Times New Roman"/>
              <a:cs typeface="Times New Roman"/>
            </a:rPr>
            <a:t>MSY</a:t>
          </a:r>
        </a:p>
      </cdr:txBody>
    </cdr:sp>
  </cdr:relSizeAnchor>
  <cdr:relSizeAnchor xmlns:cdr="http://schemas.openxmlformats.org/drawingml/2006/chartDrawing">
    <cdr:from>
      <cdr:x>0.19957</cdr:x>
      <cdr:y>0.31581</cdr:y>
    </cdr:from>
    <cdr:to>
      <cdr:x>0.2681</cdr:x>
      <cdr:y>0.39096</cdr:y>
    </cdr:to>
    <cdr:sp macro="" textlink="">
      <cdr:nvSpPr>
        <cdr:cNvPr id="2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93305" y="889572"/>
          <a:ext cx="301358" cy="1930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PT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U</a:t>
          </a:r>
          <a:r>
            <a:rPr lang="pt-PT" sz="1000" b="0" i="0" u="none" strike="noStrike" baseline="-25000">
              <a:solidFill>
                <a:srgbClr val="000000"/>
              </a:solidFill>
              <a:latin typeface="Times New Roman"/>
              <a:cs typeface="Times New Roman"/>
            </a:rPr>
            <a:t>0.1</a:t>
          </a:r>
        </a:p>
      </cdr:txBody>
    </cdr:sp>
  </cdr:relSizeAnchor>
  <cdr:relSizeAnchor xmlns:cdr="http://schemas.openxmlformats.org/drawingml/2006/chartDrawing">
    <cdr:from>
      <cdr:x>0.19957</cdr:x>
      <cdr:y>0.17029</cdr:y>
    </cdr:from>
    <cdr:to>
      <cdr:x>0.2942</cdr:x>
      <cdr:y>0.24545</cdr:y>
    </cdr:to>
    <cdr:sp macro="" textlink="">
      <cdr:nvSpPr>
        <cdr:cNvPr id="3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93305" y="515201"/>
          <a:ext cx="414772" cy="19366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PT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U</a:t>
          </a:r>
          <a:r>
            <a:rPr lang="pt-PT" sz="1000" b="0" i="0" u="none" strike="noStrike" baseline="-25000">
              <a:solidFill>
                <a:srgbClr val="000000"/>
              </a:solidFill>
              <a:latin typeface="Times New Roman"/>
              <a:cs typeface="Times New Roman"/>
            </a:rPr>
            <a:t>MSY</a:t>
          </a:r>
        </a:p>
      </cdr:txBody>
    </cdr:sp>
  </cdr:relSizeAnchor>
</c:userShapes>
</file>

<file path=xl/drawings/drawing53.xml><?xml version="1.0" encoding="utf-8"?>
<c:userShapes xmlns:c="http://schemas.openxmlformats.org/drawingml/2006/chart">
  <cdr:relSizeAnchor xmlns:cdr="http://schemas.openxmlformats.org/drawingml/2006/chartDrawing">
    <cdr:from>
      <cdr:x>0.13686</cdr:x>
      <cdr:y>0.2775</cdr:y>
    </cdr:from>
    <cdr:to>
      <cdr:x>0.21839</cdr:x>
      <cdr:y>0.35406</cdr:y>
    </cdr:to>
    <cdr:sp macro="" textlink="">
      <cdr:nvSpPr>
        <cdr:cNvPr id="82944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581" y="769610"/>
          <a:ext cx="322773" cy="1952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PT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MSY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Copace-Agadir/cecaf/2026-TT-Prod-accept&#233;v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Output"/>
      <sheetName val="Aux"/>
      <sheetName val="Graph1"/>
      <sheetName val="Graph2"/>
      <sheetName val="ModelSheet"/>
      <sheetName val="InitialValues"/>
      <sheetName val="CalculationsForPlotSituation"/>
      <sheetName val="Explanations"/>
    </sheetNames>
    <definedNames>
      <definedName name="B_B0.1" refersTo="='ModelSheet'!$I$16" sheetId="4"/>
      <definedName name="B_BMSY" refersTo="='ModelSheet'!$I$15" sheetId="4"/>
      <definedName name="B0.1" refersTo="='ModelSheet'!$I$13" sheetId="4"/>
      <definedName name="BMSY" refersTo="='ModelSheet'!$I$12" sheetId="4"/>
      <definedName name="Cur_Stock" refersTo="='ModelSheet'!$I$14" sheetId="4"/>
      <definedName name="Current_SustProd" refersTo="='ModelSheet'!$I$17" sheetId="4"/>
      <definedName name="CurrentPercProd" refersTo="='ModelSheet'!$I$18" sheetId="4"/>
      <definedName name="CurY" refersTo="='ModelSheet'!$I$19" sheetId="4"/>
      <definedName name="CurY_MSY" refersTo="='ModelSheet'!$I$29" sheetId="4"/>
      <definedName name="DBCur" refersTo="='ModelSheet'!$I$27" sheetId="4"/>
      <definedName name="DBCUr_Bcur" refersTo="='ModelSheet'!$I$28" sheetId="4"/>
      <definedName name="F0.1" refersTo="='ModelSheet'!$I$21" sheetId="4"/>
      <definedName name="FCur" refersTo="='ModelSheet'!$I$22" sheetId="4"/>
      <definedName name="FCur_F0.1" refersTo="='ModelSheet'!$I$24" sheetId="4"/>
      <definedName name="FCur_FMSY" refersTo="='ModelSheet'!$I$23" sheetId="4"/>
      <definedName name="Fcur_FSYCurB" refersTo="='ModelSheet'!$I$26" sheetId="4"/>
      <definedName name="FMSY" refersTo="='ModelSheet'!$I$20" sheetId="4"/>
      <definedName name="FSYCurB" refersTo="='ModelSheet'!$I$25" sheetId="4"/>
      <definedName name="MSY" refersTo="='ModelSheet'!$I$11" sheetId="4"/>
    </definedNames>
    <sheetDataSet>
      <sheetData sheetId="0" refreshError="1"/>
      <sheetData sheetId="1" refreshError="1"/>
      <sheetData sheetId="2" refreshError="1"/>
      <sheetData sheetId="3" refreshError="1"/>
      <sheetData sheetId="4">
        <row r="11">
          <cell r="I11">
            <v>102784.60699682326</v>
          </cell>
        </row>
        <row r="12">
          <cell r="I12">
            <v>275324.49825751944</v>
          </cell>
        </row>
        <row r="13">
          <cell r="I13">
            <v>302856.94808327139</v>
          </cell>
        </row>
        <row r="14">
          <cell r="I14">
            <v>375609.026105867</v>
          </cell>
        </row>
        <row r="15">
          <cell r="I15">
            <v>1.3642412080400792</v>
          </cell>
        </row>
        <row r="16">
          <cell r="I16">
            <v>1.2402192800364356</v>
          </cell>
        </row>
        <row r="17">
          <cell r="I17">
            <v>89148.002807244484</v>
          </cell>
        </row>
        <row r="18">
          <cell r="I18">
            <v>0.86732834236550382</v>
          </cell>
        </row>
        <row r="19">
          <cell r="I19">
            <v>117632.87926311046</v>
          </cell>
        </row>
        <row r="20">
          <cell r="I20">
            <v>0.37332169003241283</v>
          </cell>
        </row>
        <row r="21">
          <cell r="I21">
            <v>0.33598952102917157</v>
          </cell>
        </row>
        <row r="22">
          <cell r="I22">
            <v>0.31317905344999653</v>
          </cell>
        </row>
        <row r="23">
          <cell r="I23">
            <v>0.83889862767632239</v>
          </cell>
        </row>
        <row r="24">
          <cell r="I24">
            <v>0.93210958630702478</v>
          </cell>
        </row>
        <row r="25">
          <cell r="I25">
            <v>0.23734254666744281</v>
          </cell>
        </row>
        <row r="26">
          <cell r="I26">
            <v>1.3195234392121591</v>
          </cell>
        </row>
        <row r="27">
          <cell r="I27">
            <v>-28484.876455865975</v>
          </cell>
        </row>
        <row r="28">
          <cell r="I28">
            <v>-7.58365067825537E-2</v>
          </cell>
        </row>
        <row r="29">
          <cell r="I29">
            <v>1.1444600772443105</v>
          </cell>
        </row>
      </sheetData>
      <sheetData sheetId="5" refreshError="1"/>
      <sheetData sheetId="6" refreshError="1"/>
      <sheetData sheetId="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loor@q-consult.fr" id="{15ECB911-69F2-4D63-BD59-29A5C4F8CC1C}" userId="S::urn:spo:guest#floor@q-consult.fr::" providerId="AD"/>
</personList>
</file>

<file path=xl/theme/theme1.xml><?xml version="1.0" encoding="utf-8"?>
<a:theme xmlns:a="http://schemas.openxmlformats.org/drawingml/2006/main" name="Thème Office">
  <a:themeElements>
    <a:clrScheme name="Orange rouge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5-07-03T05:46:10.20" personId="{15ECB911-69F2-4D63-BD59-29A5C4F8CC1C}" id="{AAB495EE-9E55-419E-B53F-5D899F53A8E4}">
    <text>Catch trecae as reported in Table 4.2.1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8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9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7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20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2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13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2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M221"/>
  <sheetViews>
    <sheetView showWhiteSpace="0" zoomScale="120" zoomScaleNormal="120" workbookViewId="0">
      <pane xSplit="2" topLeftCell="AE1" activePane="topRight" state="frozen"/>
      <selection activeCell="A38" sqref="A38"/>
      <selection pane="topRight" activeCell="C3" sqref="C3:AL3"/>
    </sheetView>
  </sheetViews>
  <sheetFormatPr defaultColWidth="9.44140625" defaultRowHeight="13.2"/>
  <cols>
    <col min="1" max="1" width="22.44140625" style="2" customWidth="1"/>
    <col min="2" max="2" width="33.109375" style="2" customWidth="1"/>
    <col min="3" max="3" width="9.44140625" style="2" customWidth="1"/>
    <col min="4" max="9" width="7.109375" style="2" bestFit="1" customWidth="1"/>
    <col min="10" max="10" width="6.44140625" style="2" bestFit="1" customWidth="1"/>
    <col min="11" max="11" width="7.33203125" style="2" bestFit="1" customWidth="1"/>
    <col min="12" max="12" width="7" style="2" bestFit="1" customWidth="1"/>
    <col min="13" max="14" width="7.33203125" style="2" bestFit="1" customWidth="1"/>
    <col min="15" max="15" width="7" style="2" bestFit="1" customWidth="1"/>
    <col min="16" max="22" width="7.33203125" style="2" bestFit="1" customWidth="1"/>
    <col min="23" max="23" width="8.6640625" style="2" bestFit="1" customWidth="1"/>
    <col min="24" max="24" width="7.33203125" style="2" bestFit="1" customWidth="1"/>
    <col min="25" max="25" width="7.6640625" style="2" bestFit="1" customWidth="1"/>
    <col min="26" max="27" width="12.33203125" style="57" customWidth="1"/>
    <col min="28" max="29" width="12.33203125" style="575" customWidth="1"/>
    <col min="30" max="30" width="9.33203125" style="575" customWidth="1"/>
    <col min="31" max="31" width="11.109375" style="828" customWidth="1"/>
    <col min="32" max="32" width="12.109375" style="823" customWidth="1"/>
    <col min="33" max="33" width="12" style="593" customWidth="1"/>
    <col min="34" max="34" width="12.5546875" style="593" customWidth="1"/>
    <col min="35" max="35" width="12.33203125" style="593" customWidth="1"/>
    <col min="36" max="36" width="12.33203125" style="57" customWidth="1"/>
    <col min="37" max="39" width="12.33203125" style="593" customWidth="1"/>
    <col min="40" max="40" width="14.5546875" style="593" customWidth="1"/>
    <col min="41" max="41" width="13.44140625" style="2" customWidth="1"/>
    <col min="42" max="42" width="13.109375" style="2" customWidth="1"/>
    <col min="43" max="43" width="9.5546875" style="2" customWidth="1"/>
    <col min="44" max="44" width="10.88671875" style="2" customWidth="1"/>
    <col min="45" max="45" width="8.33203125" style="2" customWidth="1"/>
    <col min="46" max="46" width="11.44140625" style="2" customWidth="1"/>
    <col min="47" max="47" width="10.44140625" style="2" customWidth="1"/>
    <col min="48" max="48" width="13.44140625" style="2" customWidth="1"/>
    <col min="49" max="49" width="10.109375" style="2" customWidth="1"/>
    <col min="50" max="50" width="12.33203125" style="2" customWidth="1"/>
    <col min="51" max="51" width="15.6640625" style="2" customWidth="1"/>
    <col min="52" max="52" width="11.33203125" style="2" customWidth="1"/>
    <col min="53" max="53" width="11" style="2" customWidth="1"/>
    <col min="54" max="55" width="9.44140625" style="2"/>
    <col min="56" max="56" width="17.33203125" style="2" customWidth="1"/>
    <col min="57" max="57" width="17.88671875" style="2" customWidth="1"/>
    <col min="58" max="58" width="9.44140625" style="2"/>
    <col min="59" max="59" width="7.109375" style="2" customWidth="1"/>
    <col min="60" max="60" width="11" style="2" customWidth="1"/>
    <col min="61" max="61" width="10.109375" style="2" bestFit="1" customWidth="1"/>
    <col min="62" max="172" width="9.44140625" style="2"/>
    <col min="173" max="177" width="9.44140625" style="2" customWidth="1"/>
    <col min="178" max="16384" width="9.44140625" style="2"/>
  </cols>
  <sheetData>
    <row r="1" spans="1:169" s="13" customFormat="1" ht="18" customHeight="1">
      <c r="A1" s="4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2"/>
      <c r="X1" s="2"/>
      <c r="Y1" s="2"/>
      <c r="Z1" s="57"/>
      <c r="AA1" s="57"/>
      <c r="AB1" s="575"/>
      <c r="AC1" s="575"/>
      <c r="AD1" s="575"/>
      <c r="AE1" s="828"/>
      <c r="AF1" s="823"/>
      <c r="AG1" s="593"/>
      <c r="AH1" s="593"/>
      <c r="AI1" s="593"/>
      <c r="AJ1" s="57"/>
      <c r="AK1" s="593"/>
      <c r="AL1" s="593"/>
      <c r="AM1" s="593"/>
      <c r="AN1" s="593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</row>
    <row r="2" spans="1:169" ht="17.25" customHeight="1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Z2" s="57">
        <f>SUM(Z4:Z8)</f>
        <v>26248.529000000002</v>
      </c>
      <c r="AA2" s="57">
        <f>SUM(AA4:AA8)</f>
        <v>29506.39737999998</v>
      </c>
      <c r="AN2" s="1355" t="s">
        <v>1</v>
      </c>
      <c r="AO2" s="256" t="s">
        <v>2</v>
      </c>
      <c r="AP2" s="1891" t="s">
        <v>3</v>
      </c>
    </row>
    <row r="3" spans="1:169" s="150" customFormat="1" ht="20.399999999999999" customHeight="1" thickTop="1">
      <c r="A3" s="48" t="s">
        <v>4</v>
      </c>
      <c r="B3" s="48" t="s">
        <v>5</v>
      </c>
      <c r="C3" s="48">
        <v>1990</v>
      </c>
      <c r="D3" s="48">
        <v>1991</v>
      </c>
      <c r="E3" s="48">
        <v>1992</v>
      </c>
      <c r="F3" s="48">
        <v>1993</v>
      </c>
      <c r="G3" s="48">
        <v>1994</v>
      </c>
      <c r="H3" s="48">
        <v>1995</v>
      </c>
      <c r="I3" s="48">
        <v>1996</v>
      </c>
      <c r="J3" s="48">
        <v>1997</v>
      </c>
      <c r="K3" s="48">
        <v>1998</v>
      </c>
      <c r="L3" s="48">
        <v>1999</v>
      </c>
      <c r="M3" s="48">
        <v>2000</v>
      </c>
      <c r="N3" s="48">
        <v>2001</v>
      </c>
      <c r="O3" s="52">
        <v>2002</v>
      </c>
      <c r="P3" s="48">
        <v>2003</v>
      </c>
      <c r="Q3" s="52">
        <v>2004</v>
      </c>
      <c r="R3" s="52">
        <v>2005</v>
      </c>
      <c r="S3" s="52">
        <v>2006</v>
      </c>
      <c r="T3" s="52">
        <v>2007</v>
      </c>
      <c r="U3" s="52">
        <v>2008</v>
      </c>
      <c r="V3" s="52">
        <v>2009</v>
      </c>
      <c r="W3" s="52">
        <v>2010</v>
      </c>
      <c r="X3" s="52">
        <v>2011</v>
      </c>
      <c r="Y3" s="52">
        <v>2012</v>
      </c>
      <c r="Z3" s="381">
        <v>2013</v>
      </c>
      <c r="AA3" s="381">
        <v>2014</v>
      </c>
      <c r="AB3" s="583">
        <v>2015</v>
      </c>
      <c r="AC3" s="584">
        <v>2016</v>
      </c>
      <c r="AD3" s="584">
        <v>2017</v>
      </c>
      <c r="AE3" s="824">
        <v>2018</v>
      </c>
      <c r="AF3" s="1578">
        <v>2019</v>
      </c>
      <c r="AG3" s="1539">
        <v>2020</v>
      </c>
      <c r="AH3" s="1579">
        <v>2021</v>
      </c>
      <c r="AI3" s="1579">
        <v>2022</v>
      </c>
      <c r="AJ3" s="1559">
        <v>2023</v>
      </c>
      <c r="AK3" s="1559">
        <v>2024</v>
      </c>
      <c r="AL3" s="1560">
        <v>2025</v>
      </c>
      <c r="AM3" s="1580"/>
      <c r="AN3" s="674"/>
      <c r="AO3" s="674"/>
      <c r="AP3" s="674"/>
      <c r="AQ3" s="674"/>
      <c r="AR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</row>
    <row r="4" spans="1:169" ht="14.4">
      <c r="A4" s="1119" t="s">
        <v>6</v>
      </c>
      <c r="B4" s="1119" t="s">
        <v>7</v>
      </c>
      <c r="C4" s="1666">
        <v>7111</v>
      </c>
      <c r="D4" s="1666">
        <v>4851</v>
      </c>
      <c r="E4" s="1666">
        <v>7085</v>
      </c>
      <c r="F4" s="1666">
        <v>12380</v>
      </c>
      <c r="G4" s="1666">
        <v>9250</v>
      </c>
      <c r="H4" s="1666">
        <v>11291</v>
      </c>
      <c r="I4" s="1666">
        <v>2259</v>
      </c>
      <c r="J4" s="1666">
        <v>3873</v>
      </c>
      <c r="K4" s="1666">
        <v>3384</v>
      </c>
      <c r="L4" s="1666">
        <v>5824</v>
      </c>
      <c r="M4" s="1666">
        <v>7170</v>
      </c>
      <c r="N4" s="1666">
        <v>5167</v>
      </c>
      <c r="O4" s="1666">
        <v>6128</v>
      </c>
      <c r="P4" s="1119">
        <v>8731</v>
      </c>
      <c r="Q4" s="1145">
        <v>10430.587</v>
      </c>
      <c r="R4" s="1145">
        <v>7811</v>
      </c>
      <c r="S4" s="1145">
        <v>12217</v>
      </c>
      <c r="T4" s="1145">
        <v>9775.69</v>
      </c>
      <c r="U4" s="1145">
        <v>8299.4030000000002</v>
      </c>
      <c r="V4" s="1145">
        <v>6731.366</v>
      </c>
      <c r="W4" s="1145">
        <v>2703</v>
      </c>
      <c r="X4" s="1145">
        <v>4087.0799299999926</v>
      </c>
      <c r="Y4" s="1145">
        <v>7941.5393000000349</v>
      </c>
      <c r="Z4" s="1146">
        <v>6666.0636100000029</v>
      </c>
      <c r="AA4" s="1685">
        <v>6207.2786500000011</v>
      </c>
      <c r="AB4" s="1686">
        <v>6104</v>
      </c>
      <c r="AC4" s="898">
        <v>10731.174439999999</v>
      </c>
      <c r="AD4" s="1144">
        <v>9304</v>
      </c>
      <c r="AE4" s="1635">
        <v>5436.43</v>
      </c>
      <c r="AF4" s="1687">
        <v>6223.0754999999999</v>
      </c>
      <c r="AG4" s="1492">
        <v>7776.3375000000005</v>
      </c>
      <c r="AH4" s="1507">
        <v>5981.6875</v>
      </c>
      <c r="AI4" s="1508">
        <v>6147.0694999999996</v>
      </c>
      <c r="AJ4" s="1509">
        <v>5537.8906500000003</v>
      </c>
      <c r="AK4" s="1509">
        <v>4462</v>
      </c>
      <c r="AL4" s="1932">
        <v>3883.4259999999999</v>
      </c>
      <c r="AM4" s="1581"/>
      <c r="AN4" s="1515">
        <f>AVERAGE(AH4:AL4)</f>
        <v>5202.4147299999995</v>
      </c>
      <c r="AO4" s="1616">
        <f>(AL4-AK4)/AK4</f>
        <v>-0.12966696548632903</v>
      </c>
      <c r="AP4" s="1616">
        <f>AL4/AN4</f>
        <v>0.74646605500442298</v>
      </c>
      <c r="AQ4" s="1485"/>
      <c r="AR4" s="1914"/>
      <c r="AT4" s="2" t="s">
        <v>8</v>
      </c>
      <c r="AX4" s="57" t="s">
        <v>9</v>
      </c>
    </row>
    <row r="5" spans="1:169">
      <c r="A5" s="1145"/>
      <c r="B5" s="1119" t="s">
        <v>10</v>
      </c>
      <c r="C5" s="1666"/>
      <c r="D5" s="1666"/>
      <c r="E5" s="1666"/>
      <c r="F5" s="1666"/>
      <c r="G5" s="1666"/>
      <c r="H5" s="1666"/>
      <c r="I5" s="1666"/>
      <c r="J5" s="1666"/>
      <c r="K5" s="1666"/>
      <c r="L5" s="1666"/>
      <c r="M5" s="1666"/>
      <c r="N5" s="1666"/>
      <c r="O5" s="1666"/>
      <c r="P5" s="1119"/>
      <c r="Q5" s="1145"/>
      <c r="R5" s="1145"/>
      <c r="S5" s="1145"/>
      <c r="T5" s="1145"/>
      <c r="U5" s="1145"/>
      <c r="V5" s="1145"/>
      <c r="W5" s="1145"/>
      <c r="X5" s="1145"/>
      <c r="Y5" s="1145"/>
      <c r="Z5" s="1146"/>
      <c r="AA5" s="1685"/>
      <c r="AB5" s="1686">
        <v>2</v>
      </c>
      <c r="AC5" s="898"/>
      <c r="AD5" s="1144">
        <v>18</v>
      </c>
      <c r="AE5" s="1635"/>
      <c r="AF5" s="1687">
        <v>5.3320699999999999</v>
      </c>
      <c r="AG5" s="674"/>
      <c r="AH5" s="1510"/>
      <c r="AI5" s="1511"/>
      <c r="AJ5" s="1511"/>
      <c r="AK5" s="1511"/>
      <c r="AL5" s="1512" t="s">
        <v>11</v>
      </c>
      <c r="AM5" s="1583"/>
      <c r="AN5" s="1515"/>
      <c r="AO5" s="1616"/>
      <c r="AP5" s="1616"/>
      <c r="AQ5" s="1484"/>
      <c r="AR5" s="1915"/>
      <c r="AS5" s="57"/>
      <c r="AT5" s="355" t="s">
        <v>12</v>
      </c>
      <c r="AU5" s="355" t="s">
        <v>13</v>
      </c>
      <c r="AV5" s="355" t="s">
        <v>14</v>
      </c>
      <c r="AW5" s="57"/>
      <c r="AX5" s="355" t="s">
        <v>12</v>
      </c>
      <c r="AY5" s="112" t="s">
        <v>13</v>
      </c>
      <c r="AZ5" s="112" t="s">
        <v>14</v>
      </c>
    </row>
    <row r="6" spans="1:169" ht="13.8" thickBot="1">
      <c r="A6" s="1119" t="s">
        <v>15</v>
      </c>
      <c r="B6" s="1119" t="s">
        <v>7</v>
      </c>
      <c r="C6" s="1666">
        <v>4948</v>
      </c>
      <c r="D6" s="1666">
        <v>5231</v>
      </c>
      <c r="E6" s="1666">
        <v>9071</v>
      </c>
      <c r="F6" s="1666">
        <v>10255</v>
      </c>
      <c r="G6" s="1666">
        <v>12863</v>
      </c>
      <c r="H6" s="1666">
        <v>9773</v>
      </c>
      <c r="I6" s="1666">
        <v>6695</v>
      </c>
      <c r="J6" s="1666">
        <v>3149</v>
      </c>
      <c r="K6" s="1666">
        <v>1899</v>
      </c>
      <c r="L6" s="1666">
        <v>4389</v>
      </c>
      <c r="M6" s="1666">
        <v>4634</v>
      </c>
      <c r="N6" s="1666">
        <v>4482</v>
      </c>
      <c r="O6" s="1666">
        <v>2858</v>
      </c>
      <c r="P6" s="1119">
        <v>5192</v>
      </c>
      <c r="Q6" s="1145">
        <v>3367.7179999999998</v>
      </c>
      <c r="R6" s="1145">
        <v>3688</v>
      </c>
      <c r="S6" s="1145">
        <v>1330</v>
      </c>
      <c r="T6" s="1145">
        <v>2992.6610000000001</v>
      </c>
      <c r="U6" s="1145">
        <v>3703.875</v>
      </c>
      <c r="V6" s="1145">
        <v>4401.3150000000005</v>
      </c>
      <c r="W6" s="1145">
        <v>5228</v>
      </c>
      <c r="X6" s="1145">
        <v>3365.8776999999818</v>
      </c>
      <c r="Y6" s="1145">
        <v>5927.096599999978</v>
      </c>
      <c r="Z6" s="1146">
        <v>5042.3524999999981</v>
      </c>
      <c r="AA6" s="1685">
        <v>4927.8059399999875</v>
      </c>
      <c r="AB6" s="1686">
        <v>5401</v>
      </c>
      <c r="AC6" s="898">
        <v>7358.21306</v>
      </c>
      <c r="AD6" s="1144">
        <v>8257</v>
      </c>
      <c r="AE6" s="1635">
        <v>2976.0625</v>
      </c>
      <c r="AF6" s="1688">
        <v>4397.3247800000008</v>
      </c>
      <c r="AG6" s="1489">
        <v>6736.0202499999996</v>
      </c>
      <c r="AH6" s="1513">
        <v>4212.65067</v>
      </c>
      <c r="AI6" s="1511">
        <v>5173.8359499999997</v>
      </c>
      <c r="AJ6" s="1514">
        <v>7089.5963699999993</v>
      </c>
      <c r="AK6" s="1514">
        <v>6524</v>
      </c>
      <c r="AL6" s="1199">
        <v>5408.5659999999998</v>
      </c>
      <c r="AM6" s="1584"/>
      <c r="AN6" s="1515">
        <f t="shared" ref="AN6:AN18" si="0">AVERAGE(AH6:AL6)</f>
        <v>5681.7297979999994</v>
      </c>
      <c r="AO6" s="1616">
        <f t="shared" ref="AO6:AO18" si="1">(AL6-AK6)/AK6</f>
        <v>-0.17097394236664626</v>
      </c>
      <c r="AP6" s="1616">
        <f t="shared" ref="AP6:AP18" si="2">AL6/AN6</f>
        <v>0.95192242367876156</v>
      </c>
      <c r="AQ6" s="1484"/>
      <c r="AR6" s="1915"/>
      <c r="AS6" s="57"/>
      <c r="AT6" s="57"/>
      <c r="AU6" s="57"/>
      <c r="AV6" s="57"/>
      <c r="AX6" s="1916">
        <v>1754</v>
      </c>
      <c r="AY6" s="1935">
        <v>10914</v>
      </c>
      <c r="AZ6" s="57">
        <f>SUM(AX6:AY6)</f>
        <v>12668</v>
      </c>
    </row>
    <row r="7" spans="1:169" s="151" customFormat="1" ht="14.4" thickBot="1">
      <c r="A7" s="1119" t="s">
        <v>16</v>
      </c>
      <c r="B7" s="1119" t="s">
        <v>7</v>
      </c>
      <c r="C7" s="1666">
        <v>10</v>
      </c>
      <c r="D7" s="1666">
        <v>10</v>
      </c>
      <c r="E7" s="1666">
        <v>29</v>
      </c>
      <c r="F7" s="1666">
        <v>12</v>
      </c>
      <c r="G7" s="1666">
        <v>110</v>
      </c>
      <c r="H7" s="1666">
        <v>111</v>
      </c>
      <c r="I7" s="1666">
        <v>90</v>
      </c>
      <c r="J7" s="1666">
        <v>533</v>
      </c>
      <c r="K7" s="1666">
        <v>1346</v>
      </c>
      <c r="L7" s="1666">
        <v>688</v>
      </c>
      <c r="M7" s="1666">
        <v>1062</v>
      </c>
      <c r="N7" s="1666">
        <v>281</v>
      </c>
      <c r="O7" s="1666">
        <v>165</v>
      </c>
      <c r="P7" s="1119">
        <v>459</v>
      </c>
      <c r="Q7" s="1145">
        <v>423.68599999999998</v>
      </c>
      <c r="R7" s="1145">
        <v>256</v>
      </c>
      <c r="S7" s="1145">
        <v>3430</v>
      </c>
      <c r="T7" s="1145">
        <v>373.57900000000001</v>
      </c>
      <c r="U7" s="1145">
        <v>533.25900000000001</v>
      </c>
      <c r="V7" s="1145">
        <v>1704.0140000000001</v>
      </c>
      <c r="W7" s="1145">
        <v>922</v>
      </c>
      <c r="X7" s="1145">
        <v>4220</v>
      </c>
      <c r="Y7" s="1145">
        <v>5507.5290000000232</v>
      </c>
      <c r="Z7" s="1146">
        <v>5323.1128900000003</v>
      </c>
      <c r="AA7" s="1685">
        <v>4508.1182899999958</v>
      </c>
      <c r="AB7" s="1686">
        <v>5600</v>
      </c>
      <c r="AC7" s="898">
        <v>9101.3409999999949</v>
      </c>
      <c r="AD7" s="1144">
        <v>10476.725700000003</v>
      </c>
      <c r="AE7" s="1635">
        <v>4492.5560000000005</v>
      </c>
      <c r="AF7" s="1688">
        <v>5303.9020000000037</v>
      </c>
      <c r="AG7" s="1489">
        <v>5380.2164999999995</v>
      </c>
      <c r="AH7" s="1513">
        <v>5878.1560999999992</v>
      </c>
      <c r="AI7" s="1511">
        <v>10013.7508</v>
      </c>
      <c r="AJ7" s="1514">
        <v>7092.8032999999996</v>
      </c>
      <c r="AK7" s="1514">
        <v>6374</v>
      </c>
      <c r="AL7" s="1199">
        <v>4763.058</v>
      </c>
      <c r="AM7" s="1584"/>
      <c r="AN7" s="1515">
        <f t="shared" si="0"/>
        <v>6824.3536399999994</v>
      </c>
      <c r="AO7" s="1616">
        <f t="shared" si="1"/>
        <v>-0.25273642924380296</v>
      </c>
      <c r="AP7" s="1616">
        <f t="shared" si="2"/>
        <v>0.69795005523775877</v>
      </c>
      <c r="AQ7" s="1484"/>
      <c r="AR7" s="1915"/>
      <c r="AS7" s="112" t="s">
        <v>17</v>
      </c>
      <c r="AT7" s="1917" t="s">
        <v>18</v>
      </c>
      <c r="AU7" s="1917" t="s">
        <v>18</v>
      </c>
      <c r="AV7" s="1918">
        <f>SUM(AT7:AU7)</f>
        <v>0</v>
      </c>
      <c r="AW7" s="355" t="s">
        <v>19</v>
      </c>
      <c r="AX7" s="1919">
        <f>(AX6/$AZ$6)*100</f>
        <v>13.845910956741395</v>
      </c>
      <c r="AY7" s="1919">
        <f>(AY6/$AZ$6)*100</f>
        <v>86.154089043258608</v>
      </c>
      <c r="AZ7" s="57">
        <f>SUM(AX7:AY7)</f>
        <v>100</v>
      </c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</row>
    <row r="8" spans="1:169" ht="13.8" thickBot="1">
      <c r="A8" s="1119" t="s">
        <v>20</v>
      </c>
      <c r="B8" s="1689" t="s">
        <v>21</v>
      </c>
      <c r="C8" s="1297"/>
      <c r="D8" s="1297"/>
      <c r="E8" s="1666"/>
      <c r="F8" s="1666"/>
      <c r="G8" s="1666"/>
      <c r="H8" s="1666"/>
      <c r="I8" s="1666"/>
      <c r="J8" s="1666"/>
      <c r="K8" s="1666">
        <v>3</v>
      </c>
      <c r="L8" s="1666">
        <v>3</v>
      </c>
      <c r="M8" s="1666">
        <v>7</v>
      </c>
      <c r="N8" s="1666">
        <v>1</v>
      </c>
      <c r="O8" s="1666">
        <v>0</v>
      </c>
      <c r="P8" s="1119"/>
      <c r="Q8" s="1145">
        <v>10.648</v>
      </c>
      <c r="R8" s="1145">
        <v>4953</v>
      </c>
      <c r="S8" s="1145">
        <v>1586.184337454421</v>
      </c>
      <c r="T8" s="1145">
        <v>2255.0010000000002</v>
      </c>
      <c r="U8" s="1145">
        <v>1026</v>
      </c>
      <c r="V8" s="1145">
        <v>2798</v>
      </c>
      <c r="W8" s="1145"/>
      <c r="X8" s="1145">
        <v>5724</v>
      </c>
      <c r="Y8" s="1145">
        <v>9760</v>
      </c>
      <c r="Z8" s="1146">
        <v>9217</v>
      </c>
      <c r="AA8" s="1685">
        <v>13863.1945</v>
      </c>
      <c r="AB8" s="1686">
        <v>14575</v>
      </c>
      <c r="AC8" s="898">
        <v>23926.161499999998</v>
      </c>
      <c r="AD8" s="1144">
        <v>6149.36</v>
      </c>
      <c r="AE8" s="1635">
        <v>9472.0648799999999</v>
      </c>
      <c r="AF8" s="1687">
        <v>9725</v>
      </c>
      <c r="AG8" s="1489">
        <v>9722.3794999999991</v>
      </c>
      <c r="AH8" s="1514">
        <v>4276.7651094232506</v>
      </c>
      <c r="AI8" s="1511">
        <v>4826.4150059999993</v>
      </c>
      <c r="AJ8" s="1511">
        <v>28996.223480586512</v>
      </c>
      <c r="AK8" s="1511">
        <v>35274.317084686569</v>
      </c>
      <c r="AL8" s="1512">
        <v>13365.140221345122</v>
      </c>
      <c r="AM8" s="1583"/>
      <c r="AN8" s="1515">
        <f t="shared" si="0"/>
        <v>17347.77218040829</v>
      </c>
      <c r="AO8" s="1616">
        <f t="shared" si="1"/>
        <v>-0.62110846287234711</v>
      </c>
      <c r="AP8" s="1616">
        <f t="shared" si="2"/>
        <v>0.77042401078099498</v>
      </c>
      <c r="AQ8" s="674"/>
      <c r="AS8"/>
      <c r="AV8" s="57"/>
    </row>
    <row r="9" spans="1:169" ht="14.4">
      <c r="A9" s="1119"/>
      <c r="B9" s="1119" t="s">
        <v>22</v>
      </c>
      <c r="C9" s="1119"/>
      <c r="D9" s="1119"/>
      <c r="E9" s="1119"/>
      <c r="F9" s="1119">
        <v>2020</v>
      </c>
      <c r="G9" s="1119">
        <v>2523</v>
      </c>
      <c r="H9" s="1119">
        <v>6897</v>
      </c>
      <c r="I9" s="1119">
        <v>4024</v>
      </c>
      <c r="J9" s="1119">
        <v>4736</v>
      </c>
      <c r="K9" s="1119">
        <v>10147</v>
      </c>
      <c r="L9" s="1119">
        <v>13418</v>
      </c>
      <c r="M9" s="1119">
        <v>0</v>
      </c>
      <c r="N9" s="1119">
        <v>0</v>
      </c>
      <c r="O9" s="1119">
        <v>0</v>
      </c>
      <c r="P9" s="1119"/>
      <c r="Q9" s="1119">
        <v>51223</v>
      </c>
      <c r="R9" s="1119">
        <v>32316</v>
      </c>
      <c r="S9" s="1145">
        <v>27754.787819419347</v>
      </c>
      <c r="T9" s="1145">
        <v>3688.96</v>
      </c>
      <c r="U9" s="1145">
        <v>10084</v>
      </c>
      <c r="V9" s="1145">
        <v>7343</v>
      </c>
      <c r="W9" s="1145">
        <v>8651</v>
      </c>
      <c r="X9" s="1145">
        <v>7707</v>
      </c>
      <c r="Y9" s="1145">
        <v>3598</v>
      </c>
      <c r="Z9" s="1146">
        <v>27027</v>
      </c>
      <c r="AA9" s="1685">
        <v>4795.2039336001208</v>
      </c>
      <c r="AB9" s="1686">
        <v>24564.28163649594</v>
      </c>
      <c r="AC9" s="898">
        <v>24245</v>
      </c>
      <c r="AD9" s="1144">
        <v>9008.2773200000011</v>
      </c>
      <c r="AE9" s="1635">
        <v>10674.368</v>
      </c>
      <c r="AF9" s="1687">
        <v>13783</v>
      </c>
      <c r="AG9" s="1489">
        <v>3498.5769999999998</v>
      </c>
      <c r="AH9" s="1514">
        <v>5723.5977280014995</v>
      </c>
      <c r="AI9" s="1511">
        <v>3840.9123329999989</v>
      </c>
      <c r="AJ9" s="1511">
        <v>14597.741499186344</v>
      </c>
      <c r="AK9" s="1511">
        <v>12475.07048</v>
      </c>
      <c r="AL9" s="1512">
        <v>1766.2130626776127</v>
      </c>
      <c r="AM9" s="1583"/>
      <c r="AN9" s="1515">
        <f t="shared" si="0"/>
        <v>7680.7070205730906</v>
      </c>
      <c r="AO9" s="1616">
        <f t="shared" si="1"/>
        <v>-0.85842059445602326</v>
      </c>
      <c r="AP9" s="1616">
        <f t="shared" si="2"/>
        <v>0.22995448959929576</v>
      </c>
      <c r="AQ9" s="674"/>
      <c r="AS9" s="1920" t="s">
        <v>23</v>
      </c>
      <c r="AT9" s="1921" t="s">
        <v>18</v>
      </c>
      <c r="AU9" s="1922" t="s">
        <v>18</v>
      </c>
      <c r="AV9" s="1932">
        <v>96527.706000000006</v>
      </c>
      <c r="AX9" s="1923">
        <f>AV9*$AX$7/100</f>
        <v>13365.140221345122</v>
      </c>
      <c r="AY9" s="1924">
        <f>AV9*$AY$7/100</f>
        <v>83162.565778654884</v>
      </c>
      <c r="AZ9" s="211">
        <f>SUM(AX9:AY9)</f>
        <v>96527.706000000006</v>
      </c>
    </row>
    <row r="10" spans="1:169" ht="14.4">
      <c r="A10" s="1119"/>
      <c r="B10" s="1119" t="s">
        <v>24</v>
      </c>
      <c r="C10" s="1119"/>
      <c r="D10" s="1119"/>
      <c r="E10" s="1119"/>
      <c r="F10" s="1119">
        <v>320</v>
      </c>
      <c r="G10" s="1119">
        <v>16254</v>
      </c>
      <c r="H10" s="1119">
        <v>21032</v>
      </c>
      <c r="I10" s="1119">
        <v>18644</v>
      </c>
      <c r="J10" s="1119">
        <v>26649</v>
      </c>
      <c r="K10" s="1119">
        <v>47630</v>
      </c>
      <c r="L10" s="1119">
        <v>43784</v>
      </c>
      <c r="M10" s="1119">
        <v>50175</v>
      </c>
      <c r="N10" s="1119">
        <v>45812</v>
      </c>
      <c r="O10" s="1119">
        <v>8</v>
      </c>
      <c r="P10" s="1119"/>
      <c r="Q10" s="1145">
        <v>27915.633999999998</v>
      </c>
      <c r="R10" s="1145">
        <v>47833</v>
      </c>
      <c r="S10" s="1145">
        <v>22978.728733439097</v>
      </c>
      <c r="T10" s="1690"/>
      <c r="U10" s="1145">
        <v>26225</v>
      </c>
      <c r="V10" s="1145">
        <v>34024</v>
      </c>
      <c r="W10" s="1145"/>
      <c r="X10" s="1145"/>
      <c r="Y10" s="1145"/>
      <c r="Z10" s="1146"/>
      <c r="AA10" s="1685"/>
      <c r="AB10" s="1686"/>
      <c r="AC10" s="898"/>
      <c r="AD10" s="1144"/>
      <c r="AF10" s="1516" t="s">
        <v>18</v>
      </c>
      <c r="AG10" s="674"/>
      <c r="AH10" s="1517"/>
      <c r="AI10" s="1512"/>
      <c r="AJ10" s="1511"/>
      <c r="AK10" s="1511" t="s">
        <v>18</v>
      </c>
      <c r="AL10" s="1512" t="s">
        <v>18</v>
      </c>
      <c r="AM10" s="1583"/>
      <c r="AN10" s="1515"/>
      <c r="AO10" s="1616"/>
      <c r="AP10" s="1616"/>
      <c r="AQ10" s="674"/>
      <c r="AS10" s="1920" t="s">
        <v>25</v>
      </c>
      <c r="AT10" s="1925" t="s">
        <v>18</v>
      </c>
      <c r="AU10" s="1926" t="s">
        <v>18</v>
      </c>
      <c r="AV10" s="590">
        <v>0</v>
      </c>
      <c r="AX10" s="1923">
        <f>AV10*$AX$7/100</f>
        <v>0</v>
      </c>
      <c r="AY10" s="1924">
        <f t="shared" ref="AY10:AY12" si="3">AV10*$AY$7/100</f>
        <v>0</v>
      </c>
      <c r="AZ10" s="211">
        <f>SUM(AX10:AY10)</f>
        <v>0</v>
      </c>
    </row>
    <row r="11" spans="1:169" ht="15" thickBot="1">
      <c r="A11" s="1119"/>
      <c r="B11" s="1119" t="s">
        <v>10</v>
      </c>
      <c r="C11" s="1119"/>
      <c r="D11" s="1119"/>
      <c r="E11" s="1119"/>
      <c r="F11" s="1119"/>
      <c r="G11" s="1119"/>
      <c r="H11" s="1119"/>
      <c r="I11" s="1119"/>
      <c r="J11" s="1119"/>
      <c r="K11" s="1119"/>
      <c r="L11" s="1119"/>
      <c r="M11" s="1119"/>
      <c r="N11" s="1119"/>
      <c r="O11" s="1119"/>
      <c r="P11" s="1119"/>
      <c r="Q11" s="1145"/>
      <c r="R11" s="1145"/>
      <c r="S11" s="1145"/>
      <c r="T11" s="1145">
        <v>0</v>
      </c>
      <c r="U11" s="1145">
        <v>7126</v>
      </c>
      <c r="V11" s="1145">
        <v>11009</v>
      </c>
      <c r="W11" s="1145">
        <v>14126</v>
      </c>
      <c r="X11" s="1145"/>
      <c r="Y11" s="1145"/>
      <c r="Z11" s="1146"/>
      <c r="AA11" s="1685">
        <v>1937.0186527416229</v>
      </c>
      <c r="AB11" s="1686">
        <v>5744.9697130894629</v>
      </c>
      <c r="AC11" s="898">
        <v>13747.309475999999</v>
      </c>
      <c r="AD11" s="1144">
        <v>5682.1767883999992</v>
      </c>
      <c r="AE11" s="1635">
        <v>29.76</v>
      </c>
      <c r="AF11" s="1687">
        <v>6185</v>
      </c>
      <c r="AG11" s="1489">
        <v>14800.272000000001</v>
      </c>
      <c r="AH11" s="1514">
        <v>5539.0722380752004</v>
      </c>
      <c r="AI11" s="1511">
        <v>3838.4931099999999</v>
      </c>
      <c r="AJ11" s="1511">
        <v>1409.8575256631939</v>
      </c>
      <c r="AK11" s="1511"/>
      <c r="AL11" s="1512" t="s">
        <v>18</v>
      </c>
      <c r="AM11" s="1583"/>
      <c r="AN11" s="1515">
        <f t="shared" si="0"/>
        <v>3595.807624579465</v>
      </c>
      <c r="AO11" s="1616" t="e">
        <f t="shared" si="1"/>
        <v>#VALUE!</v>
      </c>
      <c r="AP11" s="1616" t="e">
        <f t="shared" si="2"/>
        <v>#VALUE!</v>
      </c>
      <c r="AQ11" s="674"/>
      <c r="AS11" s="1920" t="s">
        <v>26</v>
      </c>
      <c r="AT11" s="1927" t="s">
        <v>18</v>
      </c>
      <c r="AU11" s="1928" t="s">
        <v>18</v>
      </c>
      <c r="AV11" s="1154">
        <v>12756.207</v>
      </c>
      <c r="AX11" s="1923">
        <f t="shared" ref="AX11:AX12" si="4">AV11*$AX$7/100</f>
        <v>1766.2130626776127</v>
      </c>
      <c r="AY11" s="1924">
        <f t="shared" si="3"/>
        <v>10989.993937322388</v>
      </c>
      <c r="AZ11" s="211">
        <f>SUM(AX11:AY11)</f>
        <v>12756.207</v>
      </c>
    </row>
    <row r="12" spans="1:169" ht="13.8" thickBot="1">
      <c r="A12" s="1119"/>
      <c r="B12" s="1669" t="s">
        <v>27</v>
      </c>
      <c r="C12" s="1493">
        <f>SUM(C4:C11)</f>
        <v>12069</v>
      </c>
      <c r="D12" s="1493">
        <f t="shared" ref="D12:AC12" si="5">SUM(D4:D11)</f>
        <v>10092</v>
      </c>
      <c r="E12" s="1493">
        <f t="shared" si="5"/>
        <v>16185</v>
      </c>
      <c r="F12" s="1493">
        <f t="shared" si="5"/>
        <v>24987</v>
      </c>
      <c r="G12" s="1493">
        <f t="shared" si="5"/>
        <v>41000</v>
      </c>
      <c r="H12" s="1493">
        <f t="shared" si="5"/>
        <v>49104</v>
      </c>
      <c r="I12" s="1493">
        <f t="shared" si="5"/>
        <v>31712</v>
      </c>
      <c r="J12" s="1493">
        <f t="shared" si="5"/>
        <v>38940</v>
      </c>
      <c r="K12" s="1493">
        <f t="shared" si="5"/>
        <v>64409</v>
      </c>
      <c r="L12" s="1493">
        <f t="shared" si="5"/>
        <v>68106</v>
      </c>
      <c r="M12" s="1493">
        <f t="shared" si="5"/>
        <v>63048</v>
      </c>
      <c r="N12" s="1493">
        <f t="shared" si="5"/>
        <v>55743</v>
      </c>
      <c r="O12" s="1493">
        <f t="shared" si="5"/>
        <v>9159</v>
      </c>
      <c r="P12" s="1493">
        <f t="shared" si="5"/>
        <v>14382</v>
      </c>
      <c r="Q12" s="1493">
        <f t="shared" si="5"/>
        <v>93371.272999999986</v>
      </c>
      <c r="R12" s="1493">
        <f t="shared" si="5"/>
        <v>96857</v>
      </c>
      <c r="S12" s="1493">
        <f t="shared" si="5"/>
        <v>69296.700890312874</v>
      </c>
      <c r="T12" s="1493">
        <f t="shared" si="5"/>
        <v>19085.891</v>
      </c>
      <c r="U12" s="1493">
        <f t="shared" si="5"/>
        <v>56997.536999999997</v>
      </c>
      <c r="V12" s="1493">
        <f t="shared" si="5"/>
        <v>68010.695000000007</v>
      </c>
      <c r="W12" s="1493">
        <f t="shared" si="5"/>
        <v>31630</v>
      </c>
      <c r="X12" s="1493">
        <f t="shared" si="5"/>
        <v>25103.957629999975</v>
      </c>
      <c r="Y12" s="1493">
        <f t="shared" si="5"/>
        <v>32734.164900000036</v>
      </c>
      <c r="Z12" s="1494">
        <f t="shared" si="5"/>
        <v>53275.529000000002</v>
      </c>
      <c r="AA12" s="1494">
        <f t="shared" si="5"/>
        <v>36238.619966341721</v>
      </c>
      <c r="AB12" s="1490">
        <f t="shared" si="5"/>
        <v>61991.251349585407</v>
      </c>
      <c r="AC12" s="899">
        <f t="shared" si="5"/>
        <v>89109.19947599998</v>
      </c>
      <c r="AD12" s="1490">
        <f t="shared" ref="AD12:AK12" si="6">SUM(AD4:AD11)</f>
        <v>48895.539808400004</v>
      </c>
      <c r="AE12" s="1490">
        <f t="shared" si="6"/>
        <v>33081.241380000007</v>
      </c>
      <c r="AF12" s="1519">
        <f t="shared" si="6"/>
        <v>45622.634350000008</v>
      </c>
      <c r="AG12" s="1518">
        <f t="shared" si="6"/>
        <v>47913.802750000003</v>
      </c>
      <c r="AH12" s="1519">
        <f t="shared" si="6"/>
        <v>31611.92934549995</v>
      </c>
      <c r="AI12" s="1520">
        <f t="shared" si="6"/>
        <v>33840.476698999999</v>
      </c>
      <c r="AJ12" s="1520">
        <f t="shared" si="6"/>
        <v>64724.112825436059</v>
      </c>
      <c r="AK12" s="1520">
        <f t="shared" si="6"/>
        <v>65109.387564686571</v>
      </c>
      <c r="AL12" s="1521">
        <f t="shared" ref="AL12" si="7">SUM(AL4:AL11)</f>
        <v>29186.403284022734</v>
      </c>
      <c r="AM12" s="1585"/>
      <c r="AN12" s="1889">
        <f t="shared" si="0"/>
        <v>44894.46194372906</v>
      </c>
      <c r="AO12" s="1890">
        <f t="shared" si="1"/>
        <v>-0.55173279344663062</v>
      </c>
      <c r="AP12" s="1890">
        <f t="shared" si="2"/>
        <v>0.65011143959371009</v>
      </c>
      <c r="AQ12" s="674"/>
      <c r="AS12" s="1915" t="s">
        <v>28</v>
      </c>
      <c r="AT12" s="211">
        <f>SUM(AT9:AT11)</f>
        <v>0</v>
      </c>
      <c r="AU12" s="211">
        <f>SUM(AU9:AU11)</f>
        <v>0</v>
      </c>
      <c r="AV12" s="211">
        <f>SUM(AV9:AV11)</f>
        <v>109283.913</v>
      </c>
      <c r="AX12" s="1923">
        <f t="shared" si="4"/>
        <v>15131.353284022734</v>
      </c>
      <c r="AY12" s="1924">
        <f t="shared" si="3"/>
        <v>94152.559715977273</v>
      </c>
      <c r="AZ12" s="211">
        <f>SUM(AX12:AY12)</f>
        <v>109283.913</v>
      </c>
    </row>
    <row r="13" spans="1:169" s="452" customFormat="1">
      <c r="A13" s="1628" t="s">
        <v>29</v>
      </c>
      <c r="B13" s="1139" t="s">
        <v>10</v>
      </c>
      <c r="C13" s="1139"/>
      <c r="D13" s="1139"/>
      <c r="E13" s="1139"/>
      <c r="F13" s="1139"/>
      <c r="G13" s="1139"/>
      <c r="H13" s="1139"/>
      <c r="I13" s="1139"/>
      <c r="J13" s="1139"/>
      <c r="K13" s="1139"/>
      <c r="L13" s="1139"/>
      <c r="M13" s="1139"/>
      <c r="N13" s="1139"/>
      <c r="O13" s="1139"/>
      <c r="P13" s="1140">
        <v>1050.3377161697304</v>
      </c>
      <c r="Q13" s="1140">
        <v>684.03376772466709</v>
      </c>
      <c r="R13" s="1140">
        <v>7668.2850498682119</v>
      </c>
      <c r="S13" s="1140">
        <v>4409.4302201776454</v>
      </c>
      <c r="T13" s="1140">
        <v>12257</v>
      </c>
      <c r="U13" s="1140">
        <v>13720.699999999997</v>
      </c>
      <c r="V13" s="1140">
        <v>12170</v>
      </c>
      <c r="W13" s="1140">
        <v>1820</v>
      </c>
      <c r="X13" s="1140">
        <v>14915</v>
      </c>
      <c r="Y13" s="1140">
        <v>6071.2379132987198</v>
      </c>
      <c r="Z13" s="1141">
        <v>24590</v>
      </c>
      <c r="AA13" s="1142">
        <v>27907</v>
      </c>
      <c r="AB13" s="1143"/>
      <c r="AC13" s="1619"/>
      <c r="AD13" s="1691"/>
      <c r="AE13" s="1691"/>
      <c r="AF13" s="1631"/>
      <c r="AG13" s="1620"/>
      <c r="AH13" s="1620">
        <v>25477.205104418001</v>
      </c>
      <c r="AI13" s="1621"/>
      <c r="AJ13" s="1621"/>
      <c r="AK13" s="1625"/>
      <c r="AL13" s="1622"/>
      <c r="AM13" s="1586"/>
      <c r="AN13" s="1515">
        <f t="shared" si="0"/>
        <v>25477.205104418001</v>
      </c>
      <c r="AO13" s="1890" t="e">
        <f t="shared" si="1"/>
        <v>#DIV/0!</v>
      </c>
      <c r="AP13" s="1616">
        <f t="shared" si="2"/>
        <v>0</v>
      </c>
      <c r="AQ13" s="674"/>
      <c r="AR13" s="2"/>
      <c r="AS13"/>
      <c r="AT13"/>
      <c r="AU13"/>
      <c r="AV13"/>
      <c r="AW13"/>
      <c r="AX13" s="20">
        <f>SUM(AX9:AX12)</f>
        <v>30262.706568045469</v>
      </c>
      <c r="AY13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</row>
    <row r="14" spans="1:169" s="451" customFormat="1">
      <c r="A14" s="1628"/>
      <c r="B14" s="1139" t="s">
        <v>30</v>
      </c>
      <c r="C14" s="1139"/>
      <c r="D14" s="1139"/>
      <c r="E14" s="1139"/>
      <c r="F14" s="1139"/>
      <c r="G14" s="1139"/>
      <c r="H14" s="1139"/>
      <c r="I14" s="1139"/>
      <c r="J14" s="1139"/>
      <c r="K14" s="1139"/>
      <c r="L14" s="1139"/>
      <c r="M14" s="1139"/>
      <c r="N14" s="1139"/>
      <c r="O14" s="1139"/>
      <c r="P14" s="1140">
        <v>48624.655253183962</v>
      </c>
      <c r="Q14" s="1140">
        <v>75295.09997443913</v>
      </c>
      <c r="R14" s="1140">
        <v>16285.094688131776</v>
      </c>
      <c r="S14" s="1140">
        <v>18684.713393653758</v>
      </c>
      <c r="T14" s="1140">
        <v>32040</v>
      </c>
      <c r="U14" s="1140">
        <v>48961</v>
      </c>
      <c r="V14" s="1140">
        <v>39384</v>
      </c>
      <c r="W14" s="1140">
        <v>77033</v>
      </c>
      <c r="X14" s="1140">
        <v>27601</v>
      </c>
      <c r="Y14" s="1140">
        <v>19754.568504842377</v>
      </c>
      <c r="Z14" s="1141">
        <v>8511</v>
      </c>
      <c r="AA14" s="1142">
        <v>40159</v>
      </c>
      <c r="AB14" s="1143">
        <v>52436.964440000003</v>
      </c>
      <c r="AC14" s="1623">
        <v>65538.680479999995</v>
      </c>
      <c r="AD14" s="1629">
        <v>57799.649879999997</v>
      </c>
      <c r="AE14" s="1630">
        <v>62830.784240000008</v>
      </c>
      <c r="AF14" s="1624">
        <v>28477</v>
      </c>
      <c r="AG14" s="1625">
        <v>31952.255796900241</v>
      </c>
      <c r="AH14" s="1625">
        <v>16583.963592656131</v>
      </c>
      <c r="AI14" s="1626">
        <v>18850.877835407118</v>
      </c>
      <c r="AJ14" s="1626">
        <v>75659.206767222742</v>
      </c>
      <c r="AK14" s="1626">
        <v>24006.580655367732</v>
      </c>
      <c r="AL14" s="1627">
        <v>81254.727114797744</v>
      </c>
      <c r="AM14" s="1583"/>
      <c r="AN14" s="1515">
        <f>AVERAGE(AH14:AL14)</f>
        <v>43271.071193090291</v>
      </c>
      <c r="AO14" s="1616" t="e">
        <f>(#REF!-AK14)/AK14</f>
        <v>#REF!</v>
      </c>
      <c r="AP14" s="1616" t="e">
        <f>#REF!/AN14</f>
        <v>#REF!</v>
      </c>
      <c r="AQ14" s="674"/>
      <c r="AR14" s="1592"/>
      <c r="AS14" s="380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</row>
    <row r="15" spans="1:169" s="451" customFormat="1">
      <c r="A15" s="1628"/>
      <c r="B15" s="1139" t="s">
        <v>31</v>
      </c>
      <c r="C15" s="1139"/>
      <c r="D15" s="1139"/>
      <c r="E15" s="1139"/>
      <c r="F15" s="1139"/>
      <c r="G15" s="1139"/>
      <c r="H15" s="1139"/>
      <c r="I15" s="1139"/>
      <c r="J15" s="1139"/>
      <c r="K15" s="1139"/>
      <c r="L15" s="1139"/>
      <c r="M15" s="1139"/>
      <c r="N15" s="1139"/>
      <c r="O15" s="1139"/>
      <c r="P15" s="1140"/>
      <c r="Q15" s="1140"/>
      <c r="R15" s="1140"/>
      <c r="S15" s="1140"/>
      <c r="T15" s="1140"/>
      <c r="U15" s="1140"/>
      <c r="V15" s="1140"/>
      <c r="W15" s="1140"/>
      <c r="X15" s="1140"/>
      <c r="Y15" s="1140"/>
      <c r="Z15" s="1141"/>
      <c r="AA15" s="1142"/>
      <c r="AB15" s="1143">
        <v>511.98</v>
      </c>
      <c r="AC15" s="1623">
        <v>5561.1388000000006</v>
      </c>
      <c r="AD15" s="1629">
        <v>4936.8919599999999</v>
      </c>
      <c r="AE15" s="1630">
        <v>3323.6907200000005</v>
      </c>
      <c r="AF15" s="1632">
        <v>1409.0357228097164</v>
      </c>
      <c r="AG15" s="1625">
        <v>1343.8186445754202</v>
      </c>
      <c r="AH15" s="1625">
        <v>4438.7566822642284</v>
      </c>
      <c r="AI15" s="1626">
        <v>2917.7615801790002</v>
      </c>
      <c r="AJ15" s="1626">
        <v>4332.7671400723984</v>
      </c>
      <c r="AK15" s="1621">
        <v>212.9499687660516</v>
      </c>
      <c r="AL15" s="1923">
        <v>818.66503878962806</v>
      </c>
      <c r="AM15" s="1587"/>
      <c r="AN15" s="1515">
        <f t="shared" si="0"/>
        <v>2544.1800820142612</v>
      </c>
      <c r="AO15" s="1616">
        <f t="shared" si="1"/>
        <v>2.844400839941045</v>
      </c>
      <c r="AP15" s="1616">
        <f t="shared" si="2"/>
        <v>0.3217795173294023</v>
      </c>
      <c r="AQ15" s="1592"/>
      <c r="AR15" s="1592"/>
      <c r="AS15" s="380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</row>
    <row r="16" spans="1:169" s="451" customFormat="1">
      <c r="A16" s="1628"/>
      <c r="B16" s="1139" t="s">
        <v>32</v>
      </c>
      <c r="C16" s="1139"/>
      <c r="D16" s="1139"/>
      <c r="E16" s="1139"/>
      <c r="F16" s="1139"/>
      <c r="G16" s="1139"/>
      <c r="H16" s="1139"/>
      <c r="I16" s="1139"/>
      <c r="J16" s="1139"/>
      <c r="K16" s="1139"/>
      <c r="L16" s="1139"/>
      <c r="M16" s="1139"/>
      <c r="N16" s="1139"/>
      <c r="O16" s="1139"/>
      <c r="P16" s="1140"/>
      <c r="Q16" s="1140"/>
      <c r="R16" s="1140"/>
      <c r="S16" s="1140"/>
      <c r="T16" s="1140"/>
      <c r="U16" s="1140"/>
      <c r="V16" s="1140"/>
      <c r="W16" s="1140"/>
      <c r="X16" s="1140"/>
      <c r="Y16" s="1140"/>
      <c r="Z16" s="1141"/>
      <c r="AA16" s="1142"/>
      <c r="AB16" s="1143"/>
      <c r="AC16" s="1623"/>
      <c r="AD16" s="1629"/>
      <c r="AE16" s="1630"/>
      <c r="AF16" s="1632"/>
      <c r="AG16" s="1625"/>
      <c r="AH16" s="1625"/>
      <c r="AI16" s="1626" t="s">
        <v>18</v>
      </c>
      <c r="AJ16" s="1626"/>
      <c r="AK16" s="1626">
        <v>115.43544910574579</v>
      </c>
      <c r="AL16" s="451">
        <v>6366.8593096051491</v>
      </c>
      <c r="AM16" s="1583"/>
      <c r="AN16" s="1515">
        <f t="shared" si="0"/>
        <v>3241.1473793554474</v>
      </c>
      <c r="AO16" s="1616">
        <f>(AL14-AK16)/AK16</f>
        <v>702.89752666326569</v>
      </c>
      <c r="AP16" s="1616">
        <f>AL14/AN16</f>
        <v>25.069741546574321</v>
      </c>
      <c r="AQ16" s="1584"/>
      <c r="AR16" s="1584"/>
      <c r="AS16" s="363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</row>
    <row r="17" spans="1:169">
      <c r="A17" s="1659"/>
      <c r="B17" s="1119" t="s">
        <v>33</v>
      </c>
      <c r="C17" s="1119">
        <v>33000</v>
      </c>
      <c r="D17" s="1119">
        <v>11949</v>
      </c>
      <c r="E17" s="1119">
        <v>20316</v>
      </c>
      <c r="F17" s="1119">
        <v>23250</v>
      </c>
      <c r="G17" s="1119">
        <v>15172</v>
      </c>
      <c r="H17" s="1119">
        <v>22492</v>
      </c>
      <c r="I17" s="1119">
        <v>16054</v>
      </c>
      <c r="J17" s="1119">
        <v>11558</v>
      </c>
      <c r="K17" s="1119">
        <v>20601</v>
      </c>
      <c r="L17" s="1119">
        <v>15051</v>
      </c>
      <c r="M17" s="1119">
        <v>5132</v>
      </c>
      <c r="N17" s="1119">
        <v>14206</v>
      </c>
      <c r="O17" s="1119">
        <v>32203</v>
      </c>
      <c r="P17" s="1145"/>
      <c r="Q17" s="1145"/>
      <c r="R17" s="1145"/>
      <c r="S17" s="1145"/>
      <c r="T17" s="1145"/>
      <c r="U17" s="1145"/>
      <c r="V17" s="1145"/>
      <c r="W17" s="1145"/>
      <c r="X17" s="1145"/>
      <c r="Y17" s="1145"/>
      <c r="Z17" s="1146"/>
      <c r="AA17" s="1146"/>
      <c r="AB17" s="1144"/>
      <c r="AC17" s="901"/>
      <c r="AD17" s="1144"/>
      <c r="AE17" s="1635"/>
      <c r="AF17" s="1633"/>
      <c r="AG17" s="674">
        <v>498.86452739576515</v>
      </c>
      <c r="AH17" s="1510">
        <v>1445.6218804970852</v>
      </c>
      <c r="AI17" s="1511">
        <v>191.17194004617716</v>
      </c>
      <c r="AJ17" s="1511">
        <v>463.26814025110826</v>
      </c>
      <c r="AK17" s="1511"/>
      <c r="AL17" s="1512">
        <v>6.2245158952158963</v>
      </c>
      <c r="AM17" s="1583"/>
      <c r="AN17" s="1515">
        <f t="shared" si="0"/>
        <v>526.57161917239671</v>
      </c>
      <c r="AO17" s="1616" t="e">
        <f t="shared" si="1"/>
        <v>#DIV/0!</v>
      </c>
      <c r="AP17" s="1616">
        <f t="shared" si="2"/>
        <v>1.1820834371967973E-2</v>
      </c>
      <c r="AQ17" s="674"/>
      <c r="AR17" s="674"/>
      <c r="AS17" s="363"/>
    </row>
    <row r="18" spans="1:169" ht="13.8" thickBot="1">
      <c r="A18" s="1659"/>
      <c r="B18" s="1669" t="s">
        <v>34</v>
      </c>
      <c r="C18" s="1669">
        <f>C17</f>
        <v>33000</v>
      </c>
      <c r="D18" s="1669">
        <f t="shared" ref="D18:O18" si="8">D17</f>
        <v>11949</v>
      </c>
      <c r="E18" s="1669">
        <f t="shared" si="8"/>
        <v>20316</v>
      </c>
      <c r="F18" s="1669">
        <f t="shared" si="8"/>
        <v>23250</v>
      </c>
      <c r="G18" s="1669">
        <f t="shared" si="8"/>
        <v>15172</v>
      </c>
      <c r="H18" s="1669">
        <f t="shared" si="8"/>
        <v>22492</v>
      </c>
      <c r="I18" s="1669">
        <f t="shared" si="8"/>
        <v>16054</v>
      </c>
      <c r="J18" s="1669">
        <f t="shared" si="8"/>
        <v>11558</v>
      </c>
      <c r="K18" s="1669">
        <f t="shared" si="8"/>
        <v>20601</v>
      </c>
      <c r="L18" s="1669">
        <f t="shared" si="8"/>
        <v>15051</v>
      </c>
      <c r="M18" s="1669">
        <f t="shared" si="8"/>
        <v>5132</v>
      </c>
      <c r="N18" s="1669">
        <f t="shared" si="8"/>
        <v>14206</v>
      </c>
      <c r="O18" s="1669">
        <f t="shared" si="8"/>
        <v>32203</v>
      </c>
      <c r="P18" s="1493">
        <f>SUM(P13:P15)</f>
        <v>49674.992969353691</v>
      </c>
      <c r="Q18" s="1493">
        <f t="shared" ref="Q18:AC18" si="9">SUM(Q13:Q15)</f>
        <v>75979.133742163802</v>
      </c>
      <c r="R18" s="1493">
        <f t="shared" si="9"/>
        <v>23953.379737999989</v>
      </c>
      <c r="S18" s="1493">
        <f t="shared" si="9"/>
        <v>23094.143613831402</v>
      </c>
      <c r="T18" s="1493">
        <f t="shared" si="9"/>
        <v>44297</v>
      </c>
      <c r="U18" s="1493">
        <f t="shared" si="9"/>
        <v>62681.7</v>
      </c>
      <c r="V18" s="1493">
        <f t="shared" si="9"/>
        <v>51554</v>
      </c>
      <c r="W18" s="1493">
        <f t="shared" si="9"/>
        <v>78853</v>
      </c>
      <c r="X18" s="1493">
        <f t="shared" si="9"/>
        <v>42516</v>
      </c>
      <c r="Y18" s="1493">
        <f t="shared" si="9"/>
        <v>25825.806418141095</v>
      </c>
      <c r="Z18" s="1494">
        <f t="shared" si="9"/>
        <v>33101</v>
      </c>
      <c r="AA18" s="1494">
        <f t="shared" si="9"/>
        <v>68066</v>
      </c>
      <c r="AB18" s="1490">
        <f t="shared" si="9"/>
        <v>52948.944440000007</v>
      </c>
      <c r="AC18" s="899">
        <f t="shared" si="9"/>
        <v>71099.819279999996</v>
      </c>
      <c r="AD18" s="1490">
        <f>SUM(AD13:AD15)</f>
        <v>62736.541839999998</v>
      </c>
      <c r="AE18" s="902">
        <f>SUM(AE13:AE15)</f>
        <v>66154.474960000007</v>
      </c>
      <c r="AF18" s="1692">
        <f>SUM(AF13:AF15)</f>
        <v>29886.035722809716</v>
      </c>
      <c r="AG18" s="1523">
        <f>SUM(AG14:AG17)</f>
        <v>33794.938968871429</v>
      </c>
      <c r="AH18" s="1524">
        <f>SUM(AH13:AH17)</f>
        <v>47945.547259835439</v>
      </c>
      <c r="AI18" s="1525">
        <f>SUM(AI13:AI17)</f>
        <v>21959.811355632297</v>
      </c>
      <c r="AJ18" s="1520">
        <f>SUM(AJ13:AJ17)</f>
        <v>80455.242047546242</v>
      </c>
      <c r="AK18" s="1520">
        <f>SUM(AK13:AK17)</f>
        <v>24334.966073239528</v>
      </c>
      <c r="AL18" s="1521">
        <f>SUM(AL13:AL17)</f>
        <v>88446.475979087729</v>
      </c>
      <c r="AM18" s="1583"/>
      <c r="AN18" s="1889">
        <f t="shared" si="0"/>
        <v>52628.408543068239</v>
      </c>
      <c r="AO18" s="1890">
        <f t="shared" si="1"/>
        <v>2.6345428102466029</v>
      </c>
      <c r="AP18" s="1890">
        <f t="shared" si="2"/>
        <v>1.680584278103487</v>
      </c>
      <c r="AQ18" s="1593"/>
      <c r="AR18" s="674"/>
      <c r="AS18" s="363"/>
    </row>
    <row r="19" spans="1:169" s="150" customFormat="1" ht="14.4">
      <c r="A19" s="1119" t="s">
        <v>35</v>
      </c>
      <c r="B19" s="1119" t="s">
        <v>36</v>
      </c>
      <c r="C19" s="1119"/>
      <c r="D19" s="1119"/>
      <c r="E19" s="1119"/>
      <c r="F19" s="1119"/>
      <c r="G19" s="1119"/>
      <c r="H19" s="1119"/>
      <c r="I19" s="1119"/>
      <c r="J19" s="1119"/>
      <c r="K19" s="1119"/>
      <c r="L19" s="1119"/>
      <c r="M19" s="1119"/>
      <c r="N19" s="1119"/>
      <c r="O19" s="1119"/>
      <c r="P19" s="1119"/>
      <c r="Q19" s="1119"/>
      <c r="R19" s="1119"/>
      <c r="S19" s="1119"/>
      <c r="T19" s="1119"/>
      <c r="U19" s="1119"/>
      <c r="V19" s="1493"/>
      <c r="W19" s="1145"/>
      <c r="X19" s="1145"/>
      <c r="Y19" s="1145"/>
      <c r="Z19" s="1146"/>
      <c r="AA19" s="1146"/>
      <c r="AB19" s="901"/>
      <c r="AC19" s="1144"/>
      <c r="AD19" s="1144"/>
      <c r="AE19" s="1144"/>
      <c r="AF19" s="1633"/>
      <c r="AG19" s="1522"/>
      <c r="AH19" s="1522"/>
      <c r="AI19" s="1512"/>
      <c r="AJ19" s="1511"/>
      <c r="AK19" s="1511"/>
      <c r="AL19" s="1512"/>
      <c r="AM19" s="1583"/>
      <c r="AN19" s="1514" t="s">
        <v>18</v>
      </c>
      <c r="AO19" s="1582" t="s">
        <v>18</v>
      </c>
      <c r="AP19" s="1582" t="s">
        <v>18</v>
      </c>
      <c r="AQ19" s="674"/>
      <c r="AR19" s="674"/>
      <c r="AS19" s="365"/>
      <c r="AT19" s="365"/>
      <c r="AU19" s="365"/>
      <c r="AV19" s="361"/>
      <c r="AW19" s="361"/>
      <c r="AX19" s="361"/>
      <c r="AY19" s="353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</row>
    <row r="20" spans="1:169">
      <c r="A20" s="1119"/>
      <c r="B20" s="1119" t="s">
        <v>37</v>
      </c>
      <c r="C20" s="1119"/>
      <c r="D20" s="1119"/>
      <c r="E20" s="1119"/>
      <c r="F20" s="1119"/>
      <c r="G20" s="1119"/>
      <c r="H20" s="1119"/>
      <c r="I20" s="1119"/>
      <c r="J20" s="1119"/>
      <c r="K20" s="1119"/>
      <c r="L20" s="1119"/>
      <c r="M20" s="1119"/>
      <c r="N20" s="1119"/>
      <c r="O20" s="1119"/>
      <c r="P20" s="1119"/>
      <c r="Q20" s="1119"/>
      <c r="R20" s="1119"/>
      <c r="S20" s="1119"/>
      <c r="T20" s="1119"/>
      <c r="U20" s="1119"/>
      <c r="V20" s="1493"/>
      <c r="W20" s="1693"/>
      <c r="X20" s="1145"/>
      <c r="Y20" s="1145"/>
      <c r="Z20" s="1146"/>
      <c r="AA20" s="1146"/>
      <c r="AB20" s="901"/>
      <c r="AC20" s="1144"/>
      <c r="AD20" s="1144"/>
      <c r="AE20" s="1144"/>
      <c r="AF20" s="1510"/>
      <c r="AG20" s="1510"/>
      <c r="AH20" s="1510"/>
      <c r="AI20" s="1510"/>
      <c r="AJ20" s="1510"/>
      <c r="AK20" s="1530"/>
      <c r="AL20" s="1517"/>
      <c r="AM20" s="1536"/>
      <c r="AN20" s="1514" t="s">
        <v>18</v>
      </c>
      <c r="AO20" s="1582" t="s">
        <v>18</v>
      </c>
      <c r="AP20" s="1582" t="s">
        <v>18</v>
      </c>
      <c r="AQ20" s="674"/>
      <c r="AR20" s="674"/>
      <c r="AS20"/>
      <c r="AT20"/>
      <c r="AU20"/>
      <c r="AV20" s="364"/>
      <c r="AW20" s="366"/>
      <c r="AX20" s="367"/>
      <c r="AY20" s="364"/>
    </row>
    <row r="21" spans="1:169">
      <c r="A21" s="1119"/>
      <c r="B21" s="1669" t="s">
        <v>38</v>
      </c>
      <c r="C21" s="1119"/>
      <c r="D21" s="1119"/>
      <c r="E21" s="1119"/>
      <c r="F21" s="1119"/>
      <c r="G21" s="1119"/>
      <c r="H21" s="1119"/>
      <c r="I21" s="1119"/>
      <c r="J21" s="1119"/>
      <c r="K21" s="1119"/>
      <c r="L21" s="1119"/>
      <c r="M21" s="1119"/>
      <c r="N21" s="1119"/>
      <c r="O21" s="1119"/>
      <c r="P21" s="1119"/>
      <c r="Q21" s="1119"/>
      <c r="R21" s="1119"/>
      <c r="S21" s="1119"/>
      <c r="T21" s="1119"/>
      <c r="U21" s="1119"/>
      <c r="V21" s="1493"/>
      <c r="W21" s="1693"/>
      <c r="X21" s="1145"/>
      <c r="Y21" s="1145"/>
      <c r="Z21" s="1146"/>
      <c r="AA21" s="1146"/>
      <c r="AB21" s="901"/>
      <c r="AC21" s="1144"/>
      <c r="AD21" s="1144"/>
      <c r="AE21" s="1490" t="s">
        <v>18</v>
      </c>
      <c r="AF21" s="1510" t="s">
        <v>39</v>
      </c>
      <c r="AG21" s="1519">
        <f>AI18+AI48+AI74</f>
        <v>155917.38347822623</v>
      </c>
      <c r="AH21" s="1528">
        <v>187310.40095733528</v>
      </c>
      <c r="AI21" s="1519"/>
      <c r="AJ21" s="1519"/>
      <c r="AK21" s="1534"/>
      <c r="AL21" s="1529"/>
      <c r="AM21" s="1538"/>
      <c r="AN21" s="1514" t="s">
        <v>18</v>
      </c>
      <c r="AO21" s="1582" t="s">
        <v>18</v>
      </c>
      <c r="AP21" s="1582" t="s">
        <v>18</v>
      </c>
      <c r="AQ21" s="1590"/>
      <c r="AR21" s="674"/>
      <c r="AS21"/>
      <c r="AY21" s="364"/>
    </row>
    <row r="22" spans="1:169">
      <c r="A22" s="1119" t="s">
        <v>40</v>
      </c>
      <c r="B22" s="1119" t="s">
        <v>36</v>
      </c>
      <c r="C22" s="1119"/>
      <c r="D22" s="1119"/>
      <c r="E22" s="1119"/>
      <c r="F22" s="1119"/>
      <c r="G22" s="1119"/>
      <c r="H22" s="1119"/>
      <c r="I22" s="1119"/>
      <c r="J22" s="1119"/>
      <c r="K22" s="1119"/>
      <c r="L22" s="1119"/>
      <c r="M22" s="1119"/>
      <c r="N22" s="1119"/>
      <c r="O22" s="1119"/>
      <c r="P22" s="1119"/>
      <c r="Q22" s="1119"/>
      <c r="R22" s="1119"/>
      <c r="S22" s="1119"/>
      <c r="T22" s="1119"/>
      <c r="U22" s="1119"/>
      <c r="V22" s="1493"/>
      <c r="W22" s="1145"/>
      <c r="X22" s="1145"/>
      <c r="Y22" s="1145"/>
      <c r="Z22" s="1694"/>
      <c r="AA22" s="1146"/>
      <c r="AB22" s="576"/>
      <c r="AC22" s="1636"/>
      <c r="AD22" s="1636"/>
      <c r="AE22" s="1636"/>
      <c r="AF22" s="1510"/>
      <c r="AG22" s="1510"/>
      <c r="AH22" s="1517"/>
      <c r="AI22" s="1517"/>
      <c r="AJ22" s="1530"/>
      <c r="AK22" s="1530"/>
      <c r="AL22" s="1517"/>
      <c r="AM22" s="1536"/>
      <c r="AN22" s="1517"/>
      <c r="AO22" s="1582" t="s">
        <v>18</v>
      </c>
      <c r="AP22" s="1582" t="s">
        <v>18</v>
      </c>
      <c r="AQ22" s="674" t="s">
        <v>18</v>
      </c>
      <c r="AR22" s="674"/>
      <c r="AS22"/>
      <c r="AY22" s="364"/>
    </row>
    <row r="23" spans="1:169" s="151" customFormat="1" ht="13.8" thickBot="1">
      <c r="A23" s="1119"/>
      <c r="B23" s="1119" t="s">
        <v>37</v>
      </c>
      <c r="C23" s="1119"/>
      <c r="D23" s="1119"/>
      <c r="E23" s="1119"/>
      <c r="F23" s="1119"/>
      <c r="G23" s="1119"/>
      <c r="H23" s="1119"/>
      <c r="I23" s="1119"/>
      <c r="J23" s="1119"/>
      <c r="K23" s="1119"/>
      <c r="L23" s="1119"/>
      <c r="M23" s="1119"/>
      <c r="N23" s="1119"/>
      <c r="O23" s="1119"/>
      <c r="P23" s="1145"/>
      <c r="Q23" s="1145"/>
      <c r="R23" s="1145"/>
      <c r="S23" s="1145"/>
      <c r="T23" s="1145"/>
      <c r="U23" s="1145"/>
      <c r="V23" s="1493"/>
      <c r="W23" s="1145"/>
      <c r="X23" s="1145"/>
      <c r="Y23" s="1145"/>
      <c r="Z23" s="1146"/>
      <c r="AA23" s="904">
        <v>947</v>
      </c>
      <c r="AB23" s="1634">
        <v>29.5</v>
      </c>
      <c r="AC23" s="1637">
        <v>19.8</v>
      </c>
      <c r="AD23" s="1637">
        <v>22.68</v>
      </c>
      <c r="AE23" s="1120">
        <v>36.813000000000002</v>
      </c>
      <c r="AF23" s="1687" t="s">
        <v>18</v>
      </c>
      <c r="AG23" s="1510"/>
      <c r="AH23" s="1510"/>
      <c r="AI23" s="1510"/>
      <c r="AJ23" s="1510"/>
      <c r="AK23" s="1530"/>
      <c r="AL23" s="1517"/>
      <c r="AM23" s="1536"/>
      <c r="AN23" s="1514" t="s">
        <v>18</v>
      </c>
      <c r="AO23" s="1582" t="s">
        <v>18</v>
      </c>
      <c r="AP23" s="1582" t="s">
        <v>18</v>
      </c>
      <c r="AQ23" s="674" t="s">
        <v>18</v>
      </c>
      <c r="AR23" s="674"/>
      <c r="AS23"/>
      <c r="AT23" s="2"/>
      <c r="AU23" s="2"/>
      <c r="AV23" s="2"/>
      <c r="AW23" s="2"/>
      <c r="AX23" s="2"/>
      <c r="AY23" s="364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</row>
    <row r="24" spans="1:169">
      <c r="A24" s="685"/>
      <c r="B24" s="716" t="s">
        <v>41</v>
      </c>
      <c r="C24" s="716"/>
      <c r="D24" s="716"/>
      <c r="E24" s="716"/>
      <c r="F24" s="716"/>
      <c r="G24" s="716"/>
      <c r="H24" s="716"/>
      <c r="I24" s="716"/>
      <c r="J24" s="716"/>
      <c r="K24" s="716"/>
      <c r="L24" s="716"/>
      <c r="M24" s="716"/>
      <c r="N24" s="716"/>
      <c r="O24" s="716"/>
      <c r="P24" s="716"/>
      <c r="Q24" s="716"/>
      <c r="R24" s="716"/>
      <c r="S24" s="716"/>
      <c r="T24" s="716"/>
      <c r="U24" s="716"/>
      <c r="V24" s="716"/>
      <c r="W24" s="716"/>
      <c r="X24" s="716"/>
      <c r="Y24" s="716"/>
      <c r="Z24" s="717"/>
      <c r="AA24" s="596">
        <f>SUM(AA22:AA23)</f>
        <v>947</v>
      </c>
      <c r="AB24" s="598">
        <f>SUM(AB23:AB23)</f>
        <v>29.5</v>
      </c>
      <c r="AC24" s="1490">
        <f>SUM(AC23:AC23)</f>
        <v>19.8</v>
      </c>
      <c r="AD24" s="1490">
        <f>SUM(AD23:AD23)</f>
        <v>22.68</v>
      </c>
      <c r="AE24" s="1490">
        <f>SUM(AE23:AE23)</f>
        <v>36.813000000000002</v>
      </c>
      <c r="AF24" s="1531" t="s">
        <v>18</v>
      </c>
      <c r="AG24" s="1519"/>
      <c r="AH24" s="1519"/>
      <c r="AI24" s="1519"/>
      <c r="AJ24" s="1519"/>
      <c r="AK24" s="1534"/>
      <c r="AL24" s="1529"/>
      <c r="AM24" s="1538"/>
      <c r="AN24" s="1514" t="s">
        <v>18</v>
      </c>
      <c r="AO24" s="1582" t="s">
        <v>18</v>
      </c>
      <c r="AP24" s="1582" t="s">
        <v>18</v>
      </c>
      <c r="AQ24" s="1591"/>
      <c r="AR24" s="1591"/>
      <c r="AS24" s="364"/>
      <c r="AT24" s="366"/>
      <c r="AU24" s="367"/>
      <c r="AY24" s="364"/>
    </row>
    <row r="25" spans="1:169">
      <c r="A25" s="685" t="s">
        <v>42</v>
      </c>
      <c r="B25" s="685"/>
      <c r="C25" s="685"/>
      <c r="D25" s="685"/>
      <c r="E25" s="685"/>
      <c r="F25" s="685"/>
      <c r="G25" s="685"/>
      <c r="H25" s="685"/>
      <c r="I25" s="685"/>
      <c r="J25" s="685"/>
      <c r="K25" s="685"/>
      <c r="L25" s="685"/>
      <c r="M25" s="685"/>
      <c r="N25" s="685"/>
      <c r="O25" s="685"/>
      <c r="P25" s="632"/>
      <c r="Q25" s="632"/>
      <c r="R25" s="632"/>
      <c r="S25" s="632"/>
      <c r="T25" s="632"/>
      <c r="U25" s="632"/>
      <c r="V25" s="718"/>
      <c r="W25" s="632"/>
      <c r="X25" s="632"/>
      <c r="Y25" s="632"/>
      <c r="Z25" s="719"/>
      <c r="AA25" s="719"/>
      <c r="AB25" s="597"/>
      <c r="AC25" s="1144"/>
      <c r="AD25" s="1144"/>
      <c r="AE25" s="1144"/>
      <c r="AF25" s="1526"/>
      <c r="AG25" s="1522"/>
      <c r="AH25" s="1522"/>
      <c r="AI25" s="1522"/>
      <c r="AJ25" s="1510"/>
      <c r="AK25" s="1530"/>
      <c r="AL25" s="1517"/>
      <c r="AM25" s="1536"/>
      <c r="AN25" s="1514" t="s">
        <v>18</v>
      </c>
      <c r="AO25" s="1582" t="s">
        <v>18</v>
      </c>
      <c r="AP25" s="1582" t="s">
        <v>18</v>
      </c>
      <c r="AQ25" s="1591"/>
      <c r="AR25" s="1593"/>
      <c r="AS25" s="211"/>
      <c r="AT25" s="20"/>
      <c r="AU25" s="20"/>
      <c r="AV25" s="364"/>
      <c r="AW25" s="211"/>
      <c r="AX25" s="211"/>
      <c r="AY25" s="364"/>
    </row>
    <row r="26" spans="1:169">
      <c r="A26" s="685"/>
      <c r="B26" s="716" t="s">
        <v>43</v>
      </c>
      <c r="C26" s="632"/>
      <c r="D26" s="685"/>
      <c r="E26" s="685"/>
      <c r="F26" s="685"/>
      <c r="G26" s="685"/>
      <c r="H26" s="685"/>
      <c r="I26" s="685"/>
      <c r="J26" s="685"/>
      <c r="K26" s="685"/>
      <c r="L26" s="685"/>
      <c r="M26" s="685"/>
      <c r="N26" s="685"/>
      <c r="O26" s="685"/>
      <c r="P26" s="632"/>
      <c r="Q26" s="632"/>
      <c r="R26" s="632"/>
      <c r="S26" s="632"/>
      <c r="T26" s="632"/>
      <c r="U26" s="632"/>
      <c r="V26" s="718"/>
      <c r="W26" s="632"/>
      <c r="X26" s="632"/>
      <c r="Y26" s="632"/>
      <c r="Z26" s="719"/>
      <c r="AA26" s="719"/>
      <c r="AB26" s="720"/>
      <c r="AC26" s="721"/>
      <c r="AD26" s="1144"/>
      <c r="AE26" s="903"/>
      <c r="AF26" s="1633"/>
      <c r="AG26" s="1522"/>
      <c r="AH26" s="1522"/>
      <c r="AI26" s="1522"/>
      <c r="AJ26" s="1510"/>
      <c r="AK26" s="1530"/>
      <c r="AL26" s="1517"/>
      <c r="AM26" s="1536"/>
      <c r="AN26" s="1514" t="s">
        <v>18</v>
      </c>
      <c r="AO26" s="1582" t="s">
        <v>18</v>
      </c>
      <c r="AP26" s="1582" t="s">
        <v>18</v>
      </c>
      <c r="AQ26" s="1591"/>
      <c r="AR26" s="1593"/>
      <c r="AS26" s="211"/>
      <c r="AT26" s="211"/>
      <c r="AU26" s="211"/>
      <c r="AV26" s="364"/>
      <c r="AW26" s="211"/>
      <c r="AX26" s="211"/>
      <c r="AY26" s="364"/>
    </row>
    <row r="27" spans="1:169" ht="13.8" thickBot="1">
      <c r="A27" s="49"/>
      <c r="B27" s="49" t="s">
        <v>44</v>
      </c>
      <c r="C27" s="50">
        <f>SUM(C12,C18,C21,C24,C26)</f>
        <v>45069</v>
      </c>
      <c r="D27" s="50">
        <f t="shared" ref="D27:U27" si="10">SUM(D12,D18,D21,D24,D26)</f>
        <v>22041</v>
      </c>
      <c r="E27" s="50">
        <f t="shared" si="10"/>
        <v>36501</v>
      </c>
      <c r="F27" s="50">
        <f t="shared" si="10"/>
        <v>48237</v>
      </c>
      <c r="G27" s="50">
        <f t="shared" si="10"/>
        <v>56172</v>
      </c>
      <c r="H27" s="50">
        <f t="shared" si="10"/>
        <v>71596</v>
      </c>
      <c r="I27" s="50">
        <f t="shared" si="10"/>
        <v>47766</v>
      </c>
      <c r="J27" s="50">
        <f t="shared" si="10"/>
        <v>50498</v>
      </c>
      <c r="K27" s="50">
        <f t="shared" si="10"/>
        <v>85010</v>
      </c>
      <c r="L27" s="50">
        <f t="shared" si="10"/>
        <v>83157</v>
      </c>
      <c r="M27" s="50">
        <f t="shared" si="10"/>
        <v>68180</v>
      </c>
      <c r="N27" s="50">
        <f t="shared" si="10"/>
        <v>69949</v>
      </c>
      <c r="O27" s="50">
        <f>SUM(O12,O18,O21,O24,O26)</f>
        <v>41362</v>
      </c>
      <c r="P27" s="50">
        <f t="shared" si="10"/>
        <v>64056.992969353691</v>
      </c>
      <c r="Q27" s="50">
        <f t="shared" si="10"/>
        <v>169350.40674216379</v>
      </c>
      <c r="R27" s="50">
        <f t="shared" si="10"/>
        <v>120810.37973799999</v>
      </c>
      <c r="S27" s="50">
        <f t="shared" si="10"/>
        <v>92390.844504144276</v>
      </c>
      <c r="T27" s="50">
        <f t="shared" si="10"/>
        <v>63382.891000000003</v>
      </c>
      <c r="U27" s="50">
        <f t="shared" si="10"/>
        <v>119679.23699999999</v>
      </c>
      <c r="V27" s="50">
        <f t="shared" ref="V27:AK27" si="11">SUM(V12,V18,V21,V24,V26)</f>
        <v>119564.69500000001</v>
      </c>
      <c r="W27" s="50">
        <f t="shared" si="11"/>
        <v>110483</v>
      </c>
      <c r="X27" s="50">
        <f t="shared" si="11"/>
        <v>67619.957629999975</v>
      </c>
      <c r="Y27" s="50">
        <f t="shared" si="11"/>
        <v>58559.971318141135</v>
      </c>
      <c r="Z27" s="500">
        <f t="shared" si="11"/>
        <v>86376.52900000001</v>
      </c>
      <c r="AA27" s="500">
        <f t="shared" si="11"/>
        <v>105251.61996634172</v>
      </c>
      <c r="AB27" s="585">
        <f t="shared" si="11"/>
        <v>114969.69578958541</v>
      </c>
      <c r="AC27" s="586">
        <f t="shared" si="11"/>
        <v>160228.81875599996</v>
      </c>
      <c r="AD27" s="1490">
        <f t="shared" si="11"/>
        <v>111654.76164839999</v>
      </c>
      <c r="AE27" s="1497">
        <f t="shared" si="11"/>
        <v>99272.529340000008</v>
      </c>
      <c r="AF27" s="1695">
        <f t="shared" si="11"/>
        <v>75508.67007280972</v>
      </c>
      <c r="AG27" s="1532">
        <f t="shared" si="11"/>
        <v>237626.12519709766</v>
      </c>
      <c r="AH27" s="1533">
        <f t="shared" si="11"/>
        <v>266867.87756267068</v>
      </c>
      <c r="AI27" s="1533">
        <f t="shared" si="11"/>
        <v>55800.288054632299</v>
      </c>
      <c r="AJ27" s="1534">
        <f t="shared" si="11"/>
        <v>145179.35487298231</v>
      </c>
      <c r="AK27" s="1534">
        <f t="shared" si="11"/>
        <v>89444.353637926106</v>
      </c>
      <c r="AL27" s="1529">
        <f t="shared" ref="AL27" si="12">SUM(AL12,AL18,AL21,AL24,AL26)</f>
        <v>117632.87926311046</v>
      </c>
      <c r="AM27" s="1538"/>
      <c r="AN27" s="1889">
        <f t="shared" ref="AN27" si="13">AVERAGE(AH27:AL27)</f>
        <v>134984.95067826437</v>
      </c>
      <c r="AO27" s="1890">
        <f t="shared" ref="AO27" si="14">(AL27-AK27)/AK27</f>
        <v>0.31515153812047764</v>
      </c>
      <c r="AP27" s="1890">
        <f t="shared" ref="AP27" si="15">AL27/AN27</f>
        <v>0.87145180756844187</v>
      </c>
      <c r="AQ27" s="1591"/>
      <c r="AR27" s="1593"/>
      <c r="AS27" s="211"/>
      <c r="AT27" s="211"/>
      <c r="AU27" s="211"/>
      <c r="AV27" s="364"/>
      <c r="AW27" s="211"/>
      <c r="AX27" s="368"/>
      <c r="AY27" s="364"/>
    </row>
    <row r="28" spans="1:169" ht="13.8" thickTop="1">
      <c r="A28" s="1" t="s">
        <v>45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30"/>
      <c r="T28" s="30"/>
      <c r="U28" s="30"/>
      <c r="V28" s="30"/>
      <c r="AF28" s="1535"/>
      <c r="AG28" s="1536"/>
      <c r="AH28" s="1536"/>
      <c r="AI28" s="1536"/>
      <c r="AJ28" s="1492"/>
      <c r="AK28" s="1492"/>
      <c r="AL28" s="1536"/>
      <c r="AM28" s="1536"/>
      <c r="AN28" s="1592" t="s">
        <v>18</v>
      </c>
      <c r="AO28" s="1589" t="s">
        <v>18</v>
      </c>
      <c r="AP28" s="1589" t="s">
        <v>18</v>
      </c>
      <c r="AQ28" s="674"/>
      <c r="AR28" s="674"/>
      <c r="AS28"/>
      <c r="AT28"/>
      <c r="AU28"/>
      <c r="AV28" s="364"/>
      <c r="AW28" s="367"/>
      <c r="AX28" s="367"/>
      <c r="AY28" s="364"/>
    </row>
    <row r="29" spans="1:16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30"/>
      <c r="T29" s="30"/>
      <c r="U29" s="30"/>
      <c r="V29" s="91"/>
      <c r="AF29" s="1535"/>
      <c r="AG29" s="1536"/>
      <c r="AH29" s="1536"/>
      <c r="AI29" s="1536"/>
      <c r="AJ29" s="1492"/>
      <c r="AK29" s="1492"/>
      <c r="AL29" s="1536"/>
      <c r="AM29" s="1536"/>
      <c r="AN29" s="1592" t="s">
        <v>18</v>
      </c>
      <c r="AO29" s="1589" t="s">
        <v>18</v>
      </c>
      <c r="AP29" s="1589" t="s">
        <v>18</v>
      </c>
      <c r="AQ29" s="674" t="s">
        <v>18</v>
      </c>
      <c r="AR29" s="674"/>
      <c r="AS29"/>
      <c r="AT29"/>
      <c r="AU29"/>
      <c r="AV29"/>
      <c r="AW29"/>
      <c r="AX29"/>
      <c r="AY29" s="364"/>
    </row>
    <row r="30" spans="1:169" s="13" customFormat="1">
      <c r="A30" s="13" t="s">
        <v>46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S30" s="72"/>
      <c r="T30" s="72"/>
      <c r="U30" s="72"/>
      <c r="V30" s="30"/>
      <c r="X30" s="13" t="s">
        <v>18</v>
      </c>
      <c r="Y30" s="13" t="s">
        <v>18</v>
      </c>
      <c r="Z30" s="380" t="s">
        <v>18</v>
      </c>
      <c r="AA30" s="380"/>
      <c r="AB30" s="577"/>
      <c r="AC30" s="577"/>
      <c r="AD30" s="577"/>
      <c r="AE30" s="825"/>
      <c r="AF30" s="1537"/>
      <c r="AG30" s="1538"/>
      <c r="AH30" s="1538"/>
      <c r="AI30" s="1538"/>
      <c r="AJ30" s="1491"/>
      <c r="AK30" s="1491"/>
      <c r="AL30" s="1538"/>
      <c r="AM30" s="1538"/>
      <c r="AN30" s="1592" t="s">
        <v>18</v>
      </c>
      <c r="AO30" s="1589" t="s">
        <v>18</v>
      </c>
      <c r="AP30" s="1589" t="s">
        <v>18</v>
      </c>
      <c r="AQ30" s="674"/>
      <c r="AR30" s="674"/>
      <c r="AS30"/>
      <c r="AT30"/>
      <c r="AU30"/>
      <c r="AV30"/>
      <c r="AW30"/>
      <c r="AX30"/>
      <c r="AY30" s="364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</row>
    <row r="31" spans="1:169" ht="15" thickBo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V31" s="1"/>
      <c r="W31" s="13"/>
      <c r="X31" s="13"/>
      <c r="Y31" s="13"/>
      <c r="AF31" s="1535"/>
      <c r="AG31" s="1536"/>
      <c r="AH31" s="1536"/>
      <c r="AI31" s="1536"/>
      <c r="AJ31" s="1492"/>
      <c r="AK31" s="1492"/>
      <c r="AL31" s="1536"/>
      <c r="AM31" s="1538"/>
      <c r="AN31" s="1355" t="s">
        <v>1</v>
      </c>
      <c r="AO31" s="256" t="s">
        <v>2</v>
      </c>
      <c r="AP31" s="1891" t="s">
        <v>3</v>
      </c>
      <c r="AQ31" s="1527"/>
      <c r="AR31" s="674"/>
      <c r="AS31"/>
      <c r="AT31"/>
      <c r="AU31" s="20"/>
      <c r="AV31" s="362"/>
      <c r="AW31"/>
      <c r="AX31"/>
      <c r="AY31" s="367"/>
    </row>
    <row r="32" spans="1:169" ht="24" customHeight="1" thickTop="1">
      <c r="A32" s="51" t="s">
        <v>4</v>
      </c>
      <c r="B32" s="48" t="s">
        <v>5</v>
      </c>
      <c r="C32" s="48">
        <v>1990</v>
      </c>
      <c r="D32" s="48">
        <v>1991</v>
      </c>
      <c r="E32" s="48">
        <v>1992</v>
      </c>
      <c r="F32" s="48">
        <v>1993</v>
      </c>
      <c r="G32" s="48">
        <v>1994</v>
      </c>
      <c r="H32" s="48">
        <v>1995</v>
      </c>
      <c r="I32" s="48">
        <v>1996</v>
      </c>
      <c r="J32" s="48">
        <v>1997</v>
      </c>
      <c r="K32" s="48">
        <v>1998</v>
      </c>
      <c r="L32" s="48">
        <v>1999</v>
      </c>
      <c r="M32" s="48">
        <v>2000</v>
      </c>
      <c r="N32" s="48">
        <v>2001</v>
      </c>
      <c r="O32" s="52">
        <v>2002</v>
      </c>
      <c r="P32" s="48">
        <v>2003</v>
      </c>
      <c r="Q32" s="52">
        <v>2004</v>
      </c>
      <c r="R32" s="52">
        <v>2005</v>
      </c>
      <c r="S32" s="52">
        <v>2006</v>
      </c>
      <c r="T32" s="52">
        <v>2007</v>
      </c>
      <c r="U32" s="52">
        <v>2008</v>
      </c>
      <c r="V32" s="52">
        <v>2009</v>
      </c>
      <c r="W32" s="52">
        <v>2010</v>
      </c>
      <c r="X32" s="52">
        <v>2011</v>
      </c>
      <c r="Y32" s="52">
        <v>2012</v>
      </c>
      <c r="Z32" s="381">
        <v>2013</v>
      </c>
      <c r="AA32" s="381">
        <v>2014</v>
      </c>
      <c r="AB32" s="583">
        <v>2015</v>
      </c>
      <c r="AC32" s="584">
        <v>2016</v>
      </c>
      <c r="AD32" s="1496">
        <v>2017</v>
      </c>
      <c r="AE32" s="1696">
        <v>2018</v>
      </c>
      <c r="AF32" s="1697">
        <v>2019</v>
      </c>
      <c r="AG32" s="1539">
        <v>2020</v>
      </c>
      <c r="AH32" s="1539">
        <v>2021</v>
      </c>
      <c r="AI32" s="1539">
        <v>2022</v>
      </c>
      <c r="AJ32" s="1540">
        <v>2023</v>
      </c>
      <c r="AK32" s="1887">
        <v>2024</v>
      </c>
      <c r="AL32" s="1541">
        <v>2025</v>
      </c>
      <c r="AM32" s="1580"/>
      <c r="AN32" s="1536"/>
      <c r="AO32" s="1492"/>
      <c r="AP32" s="1492"/>
      <c r="AQ32" s="674"/>
      <c r="AR32" s="674"/>
    </row>
    <row r="33" spans="1:54">
      <c r="A33" s="722" t="s">
        <v>6</v>
      </c>
      <c r="B33" s="1119" t="s">
        <v>7</v>
      </c>
      <c r="C33" s="1666"/>
      <c r="D33" s="1666"/>
      <c r="E33" s="1666"/>
      <c r="F33" s="1666"/>
      <c r="G33" s="1666"/>
      <c r="H33" s="1666"/>
      <c r="I33" s="1666"/>
      <c r="J33" s="1666"/>
      <c r="K33" s="1666"/>
      <c r="L33" s="1666"/>
      <c r="M33" s="1666"/>
      <c r="N33" s="1666"/>
      <c r="O33" s="1666"/>
      <c r="P33" s="1119"/>
      <c r="Q33" s="1145"/>
      <c r="R33" s="1145"/>
      <c r="S33" s="1145"/>
      <c r="T33" s="1119"/>
      <c r="U33" s="1145"/>
      <c r="V33" s="1119"/>
      <c r="W33" s="1145"/>
      <c r="X33" s="1145"/>
      <c r="Y33" s="1145"/>
      <c r="Z33" s="1146"/>
      <c r="AA33" s="1146"/>
      <c r="AB33" s="1698"/>
      <c r="AC33" s="905"/>
      <c r="AD33" s="1144"/>
      <c r="AE33" s="1635"/>
      <c r="AF33" s="1588"/>
      <c r="AG33" s="1517"/>
      <c r="AH33" s="1517"/>
      <c r="AI33" s="1517"/>
      <c r="AJ33" s="1530"/>
      <c r="AK33" s="1530"/>
      <c r="AL33" s="1517"/>
      <c r="AM33" s="1536"/>
      <c r="AN33" s="1514" t="s">
        <v>18</v>
      </c>
      <c r="AO33" s="1582" t="s">
        <v>18</v>
      </c>
      <c r="AP33" s="1582" t="s">
        <v>18</v>
      </c>
      <c r="AQ33" s="674"/>
      <c r="AR33" s="674"/>
    </row>
    <row r="34" spans="1:54">
      <c r="A34" s="722"/>
      <c r="B34" s="1119" t="s">
        <v>10</v>
      </c>
      <c r="C34" s="1666"/>
      <c r="D34" s="1666"/>
      <c r="E34" s="1666"/>
      <c r="F34" s="1666"/>
      <c r="G34" s="1666"/>
      <c r="H34" s="1666"/>
      <c r="I34" s="1666"/>
      <c r="J34" s="1666"/>
      <c r="K34" s="1666"/>
      <c r="L34" s="1666"/>
      <c r="M34" s="1666"/>
      <c r="N34" s="1666"/>
      <c r="O34" s="1666"/>
      <c r="P34" s="1119"/>
      <c r="Q34" s="1145"/>
      <c r="R34" s="1145"/>
      <c r="S34" s="1145"/>
      <c r="T34" s="1119"/>
      <c r="U34" s="1145"/>
      <c r="V34" s="1119"/>
      <c r="W34" s="1145"/>
      <c r="X34" s="1145"/>
      <c r="Y34" s="1145"/>
      <c r="Z34" s="1146"/>
      <c r="AA34" s="1146"/>
      <c r="AB34" s="1698"/>
      <c r="AC34" s="905"/>
      <c r="AD34" s="1144"/>
      <c r="AE34" s="903"/>
      <c r="AF34" s="1588"/>
      <c r="AG34" s="1517"/>
      <c r="AH34" s="1517"/>
      <c r="AI34" s="1517"/>
      <c r="AJ34" s="1530"/>
      <c r="AK34" s="1530"/>
      <c r="AL34" s="1517"/>
      <c r="AM34" s="1536"/>
      <c r="AN34" s="1514" t="s">
        <v>18</v>
      </c>
      <c r="AO34" s="1582" t="s">
        <v>18</v>
      </c>
      <c r="AP34" s="1582" t="s">
        <v>18</v>
      </c>
      <c r="AQ34" s="674" t="s">
        <v>18</v>
      </c>
      <c r="AR34" s="674"/>
    </row>
    <row r="35" spans="1:54">
      <c r="A35" s="722" t="s">
        <v>15</v>
      </c>
      <c r="B35" s="1119" t="s">
        <v>7</v>
      </c>
      <c r="C35" s="1666"/>
      <c r="D35" s="1666"/>
      <c r="E35" s="1666"/>
      <c r="F35" s="1666"/>
      <c r="G35" s="1666"/>
      <c r="H35" s="1666"/>
      <c r="I35" s="1666"/>
      <c r="J35" s="1666"/>
      <c r="K35" s="1666"/>
      <c r="L35" s="1666"/>
      <c r="M35" s="1666"/>
      <c r="N35" s="1666"/>
      <c r="O35" s="1666"/>
      <c r="P35" s="1119"/>
      <c r="Q35" s="1145"/>
      <c r="R35" s="1145"/>
      <c r="S35" s="1145"/>
      <c r="T35" s="1119"/>
      <c r="U35" s="1145"/>
      <c r="V35" s="1119"/>
      <c r="W35" s="1145"/>
      <c r="X35" s="1145"/>
      <c r="Y35" s="1145"/>
      <c r="Z35" s="1146"/>
      <c r="AA35" s="1146"/>
      <c r="AB35" s="1490"/>
      <c r="AC35" s="899"/>
      <c r="AD35" s="1144"/>
      <c r="AE35" s="903"/>
      <c r="AF35" s="1588"/>
      <c r="AG35" s="1517"/>
      <c r="AH35" s="1517"/>
      <c r="AI35" s="1517"/>
      <c r="AJ35" s="1530"/>
      <c r="AK35" s="1530"/>
      <c r="AL35" s="1517"/>
      <c r="AM35" s="1536"/>
      <c r="AN35" s="1514" t="s">
        <v>18</v>
      </c>
      <c r="AO35" s="1582" t="s">
        <v>18</v>
      </c>
      <c r="AP35" s="1582" t="s">
        <v>18</v>
      </c>
      <c r="AQ35" s="674"/>
      <c r="AR35" s="674"/>
    </row>
    <row r="36" spans="1:54">
      <c r="A36" s="722" t="s">
        <v>16</v>
      </c>
      <c r="B36" s="1119" t="s">
        <v>7</v>
      </c>
      <c r="C36" s="1666"/>
      <c r="D36" s="1666"/>
      <c r="E36" s="1666"/>
      <c r="F36" s="1666"/>
      <c r="G36" s="1666"/>
      <c r="H36" s="1666"/>
      <c r="I36" s="1666"/>
      <c r="J36" s="1666"/>
      <c r="K36" s="1666"/>
      <c r="L36" s="1666"/>
      <c r="M36" s="1666"/>
      <c r="N36" s="1666"/>
      <c r="O36" s="1666"/>
      <c r="P36" s="1119"/>
      <c r="Q36" s="1145"/>
      <c r="R36" s="1145"/>
      <c r="S36" s="1145"/>
      <c r="T36" s="1119"/>
      <c r="U36" s="1145"/>
      <c r="V36" s="1119"/>
      <c r="W36" s="1145"/>
      <c r="X36" s="1145"/>
      <c r="Y36" s="1145"/>
      <c r="Z36" s="1146"/>
      <c r="AA36" s="1146"/>
      <c r="AB36" s="1490"/>
      <c r="AC36" s="899"/>
      <c r="AD36" s="1144"/>
      <c r="AE36" s="903"/>
      <c r="AF36" s="1588"/>
      <c r="AG36" s="1517"/>
      <c r="AH36" s="1517"/>
      <c r="AI36" s="1517"/>
      <c r="AJ36" s="1530"/>
      <c r="AK36" s="1530"/>
      <c r="AL36" s="1517"/>
      <c r="AM36" s="1536"/>
      <c r="AN36" s="1514" t="s">
        <v>18</v>
      </c>
      <c r="AO36" s="1582" t="s">
        <v>18</v>
      </c>
      <c r="AP36" s="1582" t="s">
        <v>18</v>
      </c>
      <c r="AQ36" s="674"/>
      <c r="AR36" s="674"/>
    </row>
    <row r="37" spans="1:54">
      <c r="A37" s="723" t="s">
        <v>20</v>
      </c>
      <c r="B37" s="1145" t="s">
        <v>47</v>
      </c>
      <c r="C37" s="1206"/>
      <c r="D37" s="1206"/>
      <c r="E37" s="1206"/>
      <c r="F37" s="1206"/>
      <c r="G37" s="1206"/>
      <c r="H37" s="1206"/>
      <c r="I37" s="1206"/>
      <c r="J37" s="1206"/>
      <c r="K37" s="1206"/>
      <c r="L37" s="1206"/>
      <c r="M37" s="1206"/>
      <c r="N37" s="1206"/>
      <c r="O37" s="1206"/>
      <c r="P37" s="1145"/>
      <c r="Q37" s="1145"/>
      <c r="R37" s="1145">
        <v>3805.8590253616858</v>
      </c>
      <c r="S37" s="1145">
        <v>1218.8156625455792</v>
      </c>
      <c r="T37" s="1145"/>
      <c r="U37" s="1145">
        <v>1540</v>
      </c>
      <c r="V37" s="1119">
        <v>1441</v>
      </c>
      <c r="W37" s="1145"/>
      <c r="X37" s="1145">
        <v>455</v>
      </c>
      <c r="Y37" s="1493">
        <v>72</v>
      </c>
      <c r="Z37" s="1146">
        <v>5114</v>
      </c>
      <c r="AA37" s="1494">
        <v>20.982700000000001</v>
      </c>
      <c r="AB37" s="1490">
        <v>8875.3062581065205</v>
      </c>
      <c r="AC37" s="906">
        <v>6083.2030000000004</v>
      </c>
      <c r="AD37" s="1144">
        <v>15812.64</v>
      </c>
      <c r="AE37" s="903">
        <v>712.95111999999972</v>
      </c>
      <c r="AF37" s="1699">
        <v>101</v>
      </c>
      <c r="AG37" s="1700">
        <v>90.683999999999997</v>
      </c>
      <c r="AH37" s="1514">
        <v>7440.7173905767513</v>
      </c>
      <c r="AI37" s="1530">
        <v>16963.268993999998</v>
      </c>
      <c r="AJ37" s="1530">
        <v>21197.589019413492</v>
      </c>
      <c r="AK37" s="1530">
        <v>53880.456915313436</v>
      </c>
      <c r="AL37" s="1517">
        <v>83162.565778654884</v>
      </c>
      <c r="AM37" s="1536"/>
      <c r="AN37" s="1515">
        <f>AVERAGE(AH37:AL37)</f>
        <v>36528.91961959171</v>
      </c>
      <c r="AO37" s="1616">
        <f>(AL37-AK37)/AK37</f>
        <v>0.54346437539246517</v>
      </c>
      <c r="AP37" s="1616">
        <f>AL37/AN37</f>
        <v>2.2766226497991457</v>
      </c>
      <c r="AQ37" s="674"/>
      <c r="AR37" s="674"/>
    </row>
    <row r="38" spans="1:54">
      <c r="A38" s="723"/>
      <c r="B38" s="1145" t="s">
        <v>22</v>
      </c>
      <c r="C38" s="1145"/>
      <c r="D38" s="1145"/>
      <c r="E38" s="1145"/>
      <c r="F38" s="1145">
        <v>505</v>
      </c>
      <c r="G38" s="1145">
        <v>631</v>
      </c>
      <c r="H38" s="1145">
        <v>1724</v>
      </c>
      <c r="I38" s="1145">
        <v>1006</v>
      </c>
      <c r="J38" s="1145">
        <v>1184</v>
      </c>
      <c r="K38" s="1145">
        <v>2537</v>
      </c>
      <c r="L38" s="1145">
        <v>3355</v>
      </c>
      <c r="M38" s="1145">
        <v>0</v>
      </c>
      <c r="N38" s="1145">
        <v>0</v>
      </c>
      <c r="O38" s="1145">
        <v>0</v>
      </c>
      <c r="P38" s="1145"/>
      <c r="Q38" s="1145">
        <v>595.4</v>
      </c>
      <c r="R38" s="1145">
        <v>26893</v>
      </c>
      <c r="S38" s="1145">
        <v>23097.212180580653</v>
      </c>
      <c r="T38" s="1145">
        <v>5856.75</v>
      </c>
      <c r="U38" s="1145">
        <v>15126</v>
      </c>
      <c r="V38" s="1119">
        <v>39635</v>
      </c>
      <c r="W38" s="1145">
        <v>17791</v>
      </c>
      <c r="X38" s="1145">
        <v>14119</v>
      </c>
      <c r="Y38" s="1493">
        <v>312</v>
      </c>
      <c r="Z38" s="1146">
        <v>38404</v>
      </c>
      <c r="AA38" s="1494">
        <v>13198.494296067456</v>
      </c>
      <c r="AB38" s="1490">
        <v>14957.74336350406</v>
      </c>
      <c r="AC38" s="906">
        <v>9213.1380000000008</v>
      </c>
      <c r="AD38" s="1144">
        <v>23164.141680000001</v>
      </c>
      <c r="AE38" s="828">
        <v>8947.6320000000014</v>
      </c>
      <c r="AF38" s="1542">
        <v>137</v>
      </c>
      <c r="AG38" s="1530"/>
      <c r="AH38" s="1514">
        <v>9957.9172719984999</v>
      </c>
      <c r="AI38" s="1530">
        <v>13499.549666999996</v>
      </c>
      <c r="AJ38" s="1530">
        <v>10671.628500813655</v>
      </c>
      <c r="AK38" s="1530">
        <v>19178.233852677411</v>
      </c>
      <c r="AL38" s="1970">
        <v>10989.993937322388</v>
      </c>
      <c r="AM38" s="1536"/>
      <c r="AN38" s="1515">
        <f t="shared" ref="AN38:AN56" si="16">AVERAGE(AH38:AL38)</f>
        <v>12859.464645962391</v>
      </c>
      <c r="AO38" s="1616">
        <f t="shared" ref="AO38:AO56" si="17">(AL38-AK38)/AK38</f>
        <v>-0.42695484778500026</v>
      </c>
      <c r="AP38" s="1616">
        <f t="shared" ref="AP38:AP56" si="18">AL38/AN38</f>
        <v>0.85462297536414322</v>
      </c>
      <c r="AQ38" s="674"/>
      <c r="AR38" s="1538"/>
      <c r="AS38" s="360"/>
    </row>
    <row r="39" spans="1:54">
      <c r="A39" s="723"/>
      <c r="B39" s="1145" t="s">
        <v>10</v>
      </c>
      <c r="C39" s="1145"/>
      <c r="D39" s="1145"/>
      <c r="E39" s="1145"/>
      <c r="F39" s="1145"/>
      <c r="G39" s="1145"/>
      <c r="H39" s="1145"/>
      <c r="I39" s="1145"/>
      <c r="J39" s="1145"/>
      <c r="K39" s="1145"/>
      <c r="L39" s="1145"/>
      <c r="M39" s="1145"/>
      <c r="N39" s="1145"/>
      <c r="O39" s="1145"/>
      <c r="P39" s="1145"/>
      <c r="Q39" s="1145"/>
      <c r="R39" s="1145"/>
      <c r="S39" s="1145"/>
      <c r="T39" s="1145"/>
      <c r="U39" s="1145"/>
      <c r="V39" s="1145"/>
      <c r="W39" s="1145"/>
      <c r="X39" s="1145"/>
      <c r="Y39" s="1145"/>
      <c r="Z39" s="1146"/>
      <c r="AA39" s="1494">
        <v>5331.5208265589781</v>
      </c>
      <c r="AB39" s="1490">
        <v>15812.66428691054</v>
      </c>
      <c r="AC39" s="906">
        <v>8425.7703239999992</v>
      </c>
      <c r="AD39" s="1144">
        <v>14611.311741599999</v>
      </c>
      <c r="AE39" s="903">
        <v>2</v>
      </c>
      <c r="AF39" s="1699">
        <v>72</v>
      </c>
      <c r="AG39" s="1530"/>
      <c r="AH39" s="1514">
        <v>9636.8797619247998</v>
      </c>
      <c r="AI39" s="1530">
        <v>13491.04689</v>
      </c>
      <c r="AJ39" s="1530">
        <v>1030.6714743368057</v>
      </c>
      <c r="AK39" s="1530"/>
      <c r="AL39" s="1517"/>
      <c r="AM39" s="1536"/>
      <c r="AN39" s="1515">
        <f t="shared" si="16"/>
        <v>8052.8660420872011</v>
      </c>
      <c r="AO39" s="1616" t="e">
        <f t="shared" si="17"/>
        <v>#DIV/0!</v>
      </c>
      <c r="AP39" s="1616">
        <f t="shared" si="18"/>
        <v>0</v>
      </c>
      <c r="AQ39" s="674"/>
      <c r="AR39" s="1538"/>
      <c r="AS39" s="360"/>
    </row>
    <row r="40" spans="1:54">
      <c r="A40" s="723"/>
      <c r="B40" s="1145" t="s">
        <v>24</v>
      </c>
      <c r="C40" s="1145"/>
      <c r="D40" s="1145"/>
      <c r="E40" s="1145"/>
      <c r="F40" s="1145">
        <v>80</v>
      </c>
      <c r="G40" s="1145">
        <v>4064</v>
      </c>
      <c r="H40" s="1145">
        <v>5258</v>
      </c>
      <c r="I40" s="1145">
        <v>4661</v>
      </c>
      <c r="J40" s="1145">
        <v>6662</v>
      </c>
      <c r="K40" s="1145">
        <v>11908</v>
      </c>
      <c r="L40" s="1145">
        <v>10946</v>
      </c>
      <c r="M40" s="1145">
        <v>42481</v>
      </c>
      <c r="N40" s="1145">
        <v>38788</v>
      </c>
      <c r="O40" s="1145">
        <v>0</v>
      </c>
      <c r="P40" s="1145"/>
      <c r="Q40" s="1145"/>
      <c r="R40" s="1145">
        <v>45459</v>
      </c>
      <c r="S40" s="1145">
        <v>21838.271266560903</v>
      </c>
      <c r="T40" s="1145">
        <v>34819</v>
      </c>
      <c r="U40" s="1145">
        <v>39338</v>
      </c>
      <c r="V40" s="1119">
        <v>36860</v>
      </c>
      <c r="W40" s="1145"/>
      <c r="X40" s="1145"/>
      <c r="Y40" s="1493"/>
      <c r="Z40" s="1146"/>
      <c r="AA40" s="1494"/>
      <c r="AB40" s="1490"/>
      <c r="AC40" s="899"/>
      <c r="AD40" s="1122"/>
      <c r="AE40" s="907"/>
      <c r="AF40" s="1701"/>
      <c r="AG40" s="1543"/>
      <c r="AH40" s="1543"/>
      <c r="AI40" s="1543"/>
      <c r="AJ40" s="1544"/>
      <c r="AK40" s="1544"/>
      <c r="AL40" s="1543"/>
      <c r="AM40" s="1594"/>
      <c r="AN40" s="1515"/>
      <c r="AO40" s="1616"/>
      <c r="AP40" s="1616"/>
      <c r="AQ40" s="674"/>
      <c r="AR40" s="1538"/>
      <c r="AS40" s="360"/>
      <c r="AU40" s="2" t="s">
        <v>48</v>
      </c>
      <c r="AY40" s="57" t="s">
        <v>49</v>
      </c>
    </row>
    <row r="41" spans="1:54" ht="13.8" thickBot="1">
      <c r="A41" s="723"/>
      <c r="B41" s="1493" t="s">
        <v>27</v>
      </c>
      <c r="C41" s="1493"/>
      <c r="D41" s="1493"/>
      <c r="E41" s="1493"/>
      <c r="F41" s="1493">
        <f t="shared" ref="F41:AK41" si="19">SUM(F33:F40)</f>
        <v>585</v>
      </c>
      <c r="G41" s="1493">
        <f t="shared" si="19"/>
        <v>4695</v>
      </c>
      <c r="H41" s="1493">
        <f t="shared" si="19"/>
        <v>6982</v>
      </c>
      <c r="I41" s="1493">
        <f t="shared" si="19"/>
        <v>5667</v>
      </c>
      <c r="J41" s="1493">
        <f t="shared" si="19"/>
        <v>7846</v>
      </c>
      <c r="K41" s="1493">
        <f t="shared" si="19"/>
        <v>14445</v>
      </c>
      <c r="L41" s="1493">
        <f t="shared" si="19"/>
        <v>14301</v>
      </c>
      <c r="M41" s="1493">
        <f t="shared" si="19"/>
        <v>42481</v>
      </c>
      <c r="N41" s="1493">
        <f t="shared" si="19"/>
        <v>38788</v>
      </c>
      <c r="O41" s="1493">
        <f t="shared" si="19"/>
        <v>0</v>
      </c>
      <c r="P41" s="1493"/>
      <c r="Q41" s="1493">
        <f t="shared" si="19"/>
        <v>595.4</v>
      </c>
      <c r="R41" s="1493">
        <f t="shared" si="19"/>
        <v>76157.859025361686</v>
      </c>
      <c r="S41" s="1493">
        <f t="shared" si="19"/>
        <v>46154.299109687134</v>
      </c>
      <c r="T41" s="1493">
        <f t="shared" si="19"/>
        <v>40675.75</v>
      </c>
      <c r="U41" s="1493">
        <f t="shared" si="19"/>
        <v>56004</v>
      </c>
      <c r="V41" s="1493">
        <f t="shared" si="19"/>
        <v>77936</v>
      </c>
      <c r="W41" s="1493">
        <f t="shared" si="19"/>
        <v>17791</v>
      </c>
      <c r="X41" s="1493">
        <f t="shared" si="19"/>
        <v>14574</v>
      </c>
      <c r="Y41" s="1493">
        <f t="shared" si="19"/>
        <v>384</v>
      </c>
      <c r="Z41" s="1494">
        <f t="shared" si="19"/>
        <v>43518</v>
      </c>
      <c r="AA41" s="1494">
        <f t="shared" si="19"/>
        <v>18550.997822626436</v>
      </c>
      <c r="AB41" s="1490">
        <f t="shared" si="19"/>
        <v>39645.713908521124</v>
      </c>
      <c r="AC41" s="1490">
        <f t="shared" si="19"/>
        <v>23722.111323999998</v>
      </c>
      <c r="AD41" s="1490">
        <f t="shared" si="19"/>
        <v>53588.093421600002</v>
      </c>
      <c r="AE41" s="902">
        <f t="shared" si="19"/>
        <v>9662.5831200000011</v>
      </c>
      <c r="AF41" s="1545">
        <f t="shared" si="19"/>
        <v>310</v>
      </c>
      <c r="AG41" s="1532">
        <f t="shared" si="19"/>
        <v>90.683999999999997</v>
      </c>
      <c r="AH41" s="1532">
        <f t="shared" si="19"/>
        <v>27035.514424500052</v>
      </c>
      <c r="AI41" s="1533">
        <f t="shared" si="19"/>
        <v>43953.865550999995</v>
      </c>
      <c r="AJ41" s="1534">
        <f t="shared" si="19"/>
        <v>32899.888994563953</v>
      </c>
      <c r="AK41" s="1534">
        <f t="shared" si="19"/>
        <v>73058.690767990847</v>
      </c>
      <c r="AL41" s="1517">
        <f t="shared" ref="AL41" si="20">SUM(AL33:AL40)</f>
        <v>94152.559715977273</v>
      </c>
      <c r="AM41" s="1538"/>
      <c r="AN41" s="1889">
        <f t="shared" si="16"/>
        <v>54220.103890806422</v>
      </c>
      <c r="AO41" s="1890">
        <f t="shared" si="17"/>
        <v>0.28872497886628251</v>
      </c>
      <c r="AP41" s="1890">
        <f t="shared" si="18"/>
        <v>1.7364879990932995</v>
      </c>
      <c r="AQ41" s="674"/>
      <c r="AR41" s="1538"/>
      <c r="AS41" s="57"/>
      <c r="AT41" s="13" t="s">
        <v>50</v>
      </c>
      <c r="AU41" s="13" t="s">
        <v>51</v>
      </c>
      <c r="AV41" s="13" t="s">
        <v>52</v>
      </c>
      <c r="AW41" s="355" t="s">
        <v>14</v>
      </c>
      <c r="AX41" s="57"/>
      <c r="AY41" s="13" t="s">
        <v>50</v>
      </c>
      <c r="AZ41" s="13" t="s">
        <v>51</v>
      </c>
      <c r="BA41" s="13" t="s">
        <v>52</v>
      </c>
      <c r="BB41" s="112" t="s">
        <v>14</v>
      </c>
    </row>
    <row r="42" spans="1:54" ht="13.8" thickBot="1">
      <c r="A42" s="724" t="s">
        <v>29</v>
      </c>
      <c r="B42" s="1145" t="s">
        <v>10</v>
      </c>
      <c r="C42" s="1145"/>
      <c r="D42" s="1145"/>
      <c r="E42" s="1145"/>
      <c r="F42" s="1145"/>
      <c r="G42" s="1145"/>
      <c r="H42" s="1145"/>
      <c r="I42" s="1145"/>
      <c r="J42" s="1145"/>
      <c r="K42" s="1145"/>
      <c r="L42" s="1145"/>
      <c r="M42" s="1145"/>
      <c r="N42" s="1145"/>
      <c r="O42" s="1145"/>
      <c r="P42" s="1145">
        <v>4470.5263994771467</v>
      </c>
      <c r="Q42" s="1145">
        <v>18937.552498202665</v>
      </c>
      <c r="R42" s="1145">
        <v>14667.546632381083</v>
      </c>
      <c r="S42" s="1145">
        <v>39523.862995211799</v>
      </c>
      <c r="T42" s="1145">
        <v>61427</v>
      </c>
      <c r="U42" s="1145">
        <v>67338.01999999999</v>
      </c>
      <c r="V42" s="1119">
        <v>43946</v>
      </c>
      <c r="W42" s="1145">
        <v>45496</v>
      </c>
      <c r="X42" s="1145">
        <v>39322</v>
      </c>
      <c r="Y42" s="1145">
        <v>16006.249897870082</v>
      </c>
      <c r="Z42" s="1146">
        <v>62352</v>
      </c>
      <c r="AA42" s="1146">
        <v>70764</v>
      </c>
      <c r="AB42" s="1144"/>
      <c r="AC42" s="901"/>
      <c r="AD42" s="1144"/>
      <c r="AE42" s="903"/>
      <c r="AF42" s="1588"/>
      <c r="AG42" s="1517"/>
      <c r="AH42" s="1530">
        <v>48547.582454525022</v>
      </c>
      <c r="AI42" s="1517"/>
      <c r="AJ42" s="1530"/>
      <c r="AK42" s="1530"/>
      <c r="AL42" s="1517"/>
      <c r="AM42" s="1536"/>
      <c r="AN42" s="1515">
        <f t="shared" si="16"/>
        <v>48547.582454525022</v>
      </c>
      <c r="AO42" s="1616" t="e">
        <f t="shared" si="17"/>
        <v>#DIV/0!</v>
      </c>
      <c r="AP42" s="1616">
        <f t="shared" si="18"/>
        <v>0</v>
      </c>
      <c r="AQ42" s="674"/>
      <c r="AR42" s="674"/>
      <c r="AT42" s="57"/>
      <c r="AU42" s="57"/>
      <c r="AV42" s="57"/>
      <c r="AW42" s="57"/>
      <c r="AY42" s="1933">
        <v>9908</v>
      </c>
      <c r="AZ42" s="1934">
        <v>29485.815564047614</v>
      </c>
      <c r="BA42" s="1929">
        <v>1861</v>
      </c>
      <c r="BB42" s="57">
        <f>SUM(AY42:BA42)</f>
        <v>41254.815564047618</v>
      </c>
    </row>
    <row r="43" spans="1:54" ht="14.4" thickBot="1">
      <c r="A43" s="724"/>
      <c r="B43" s="1145" t="s">
        <v>30</v>
      </c>
      <c r="C43" s="1145"/>
      <c r="D43" s="1145"/>
      <c r="E43" s="1145"/>
      <c r="F43" s="1145"/>
      <c r="G43" s="1145"/>
      <c r="H43" s="1145"/>
      <c r="I43" s="1145"/>
      <c r="J43" s="1145"/>
      <c r="K43" s="1145"/>
      <c r="L43" s="1145"/>
      <c r="M43" s="1145"/>
      <c r="N43" s="1145"/>
      <c r="O43" s="1145"/>
      <c r="P43" s="1145">
        <v>94076.731178117683</v>
      </c>
      <c r="Q43" s="1145">
        <v>159238.73184697828</v>
      </c>
      <c r="R43" s="1145">
        <v>175565.91288961883</v>
      </c>
      <c r="S43" s="1145">
        <v>165323.02076836696</v>
      </c>
      <c r="T43" s="1145">
        <v>200614</v>
      </c>
      <c r="U43" s="1145">
        <v>269287</v>
      </c>
      <c r="V43" s="1119">
        <v>216614</v>
      </c>
      <c r="W43" s="1145">
        <v>270316</v>
      </c>
      <c r="X43" s="1145">
        <v>158826</v>
      </c>
      <c r="Y43" s="1145">
        <v>113674.834149128</v>
      </c>
      <c r="Z43" s="1146">
        <v>21581</v>
      </c>
      <c r="AA43" s="1146">
        <v>101831</v>
      </c>
      <c r="AB43" s="1144">
        <v>132965.15982999999</v>
      </c>
      <c r="AC43" s="901">
        <v>166187.36836000002</v>
      </c>
      <c r="AD43" s="1144">
        <v>146563.39791</v>
      </c>
      <c r="AE43" s="908">
        <v>159320.91718000002</v>
      </c>
      <c r="AF43" s="1546">
        <v>206457.33328962958</v>
      </c>
      <c r="AG43" s="1530">
        <v>179976.57783182713</v>
      </c>
      <c r="AH43" s="1530">
        <v>31601.242626009247</v>
      </c>
      <c r="AI43" s="1530">
        <v>106180.81250687625</v>
      </c>
      <c r="AJ43" s="1530">
        <v>97490.913523176612</v>
      </c>
      <c r="AK43" s="1530">
        <v>240661.56689934156</v>
      </c>
      <c r="AL43" s="1517">
        <v>241810.84955732181</v>
      </c>
      <c r="AM43" s="1536"/>
      <c r="AN43" s="1515">
        <f t="shared" si="16"/>
        <v>143549.0770225451</v>
      </c>
      <c r="AO43" s="1616">
        <f t="shared" si="17"/>
        <v>4.7755139002354507E-3</v>
      </c>
      <c r="AP43" s="1616">
        <f t="shared" si="18"/>
        <v>1.6845169232216255</v>
      </c>
      <c r="AQ43" s="674"/>
      <c r="AR43" s="674"/>
      <c r="AS43" s="112" t="s">
        <v>53</v>
      </c>
      <c r="AU43" s="112" t="s">
        <v>18</v>
      </c>
      <c r="AV43" s="112" t="s">
        <v>18</v>
      </c>
      <c r="AW43" s="1918" t="s">
        <v>18</v>
      </c>
      <c r="AX43" s="355" t="s">
        <v>19</v>
      </c>
      <c r="AY43" s="1919">
        <f>(AY42/$BB$42)*100</f>
        <v>24.016590219917347</v>
      </c>
      <c r="AZ43" s="1919">
        <f t="shared" ref="AZ43:BB43" si="21">(AZ42/$BB$42)*100</f>
        <v>71.47242124563914</v>
      </c>
      <c r="BA43" s="1919">
        <f t="shared" si="21"/>
        <v>4.5109885344434986</v>
      </c>
      <c r="BB43" s="1919">
        <f t="shared" si="21"/>
        <v>100</v>
      </c>
    </row>
    <row r="44" spans="1:54">
      <c r="A44" s="724"/>
      <c r="B44" s="1145" t="s">
        <v>32</v>
      </c>
      <c r="C44" s="1145"/>
      <c r="D44" s="1145"/>
      <c r="E44" s="1145"/>
      <c r="F44" s="1145"/>
      <c r="G44" s="1145"/>
      <c r="H44" s="1145"/>
      <c r="I44" s="1145"/>
      <c r="J44" s="1145"/>
      <c r="K44" s="1145"/>
      <c r="L44" s="1145"/>
      <c r="M44" s="1145"/>
      <c r="N44" s="1145"/>
      <c r="O44" s="1145"/>
      <c r="P44" s="1145"/>
      <c r="Q44" s="1145"/>
      <c r="R44" s="1145"/>
      <c r="S44" s="1145"/>
      <c r="T44" s="1145"/>
      <c r="U44" s="1145"/>
      <c r="V44" s="1119"/>
      <c r="W44" s="1145"/>
      <c r="X44" s="1145"/>
      <c r="Y44" s="1145"/>
      <c r="Z44" s="1146"/>
      <c r="AA44" s="1146"/>
      <c r="AB44" s="1144"/>
      <c r="AC44" s="901"/>
      <c r="AD44" s="1144"/>
      <c r="AE44" s="908"/>
      <c r="AF44" s="1546"/>
      <c r="AG44" s="1530"/>
      <c r="AH44" s="1530"/>
      <c r="AI44" s="1530"/>
      <c r="AJ44" s="1530"/>
      <c r="AK44" s="1530">
        <v>1157.2191998657806</v>
      </c>
      <c r="AL44" s="1517">
        <v>18947.521126893113</v>
      </c>
      <c r="AM44" s="1536"/>
      <c r="AN44" s="1515">
        <f t="shared" si="16"/>
        <v>10052.370163379446</v>
      </c>
      <c r="AO44" s="1616">
        <f t="shared" si="17"/>
        <v>15.373320740868047</v>
      </c>
      <c r="AP44" s="1616">
        <f t="shared" si="18"/>
        <v>1.8848809603051127</v>
      </c>
      <c r="AQ44" s="674"/>
      <c r="AR44" s="674"/>
      <c r="AS44"/>
    </row>
    <row r="45" spans="1:54" ht="14.4">
      <c r="A45" s="724"/>
      <c r="B45" s="1145" t="s">
        <v>31</v>
      </c>
      <c r="C45" s="1145"/>
      <c r="D45" s="1145"/>
      <c r="E45" s="1145"/>
      <c r="F45" s="1145"/>
      <c r="G45" s="1145"/>
      <c r="H45" s="1145"/>
      <c r="I45" s="1145"/>
      <c r="J45" s="1145"/>
      <c r="K45" s="1145"/>
      <c r="L45" s="1145"/>
      <c r="M45" s="1145"/>
      <c r="N45" s="1145"/>
      <c r="O45" s="1145"/>
      <c r="P45" s="1493"/>
      <c r="Q45" s="1493"/>
      <c r="R45" s="1493"/>
      <c r="S45" s="1493"/>
      <c r="T45" s="1493"/>
      <c r="U45" s="1493"/>
      <c r="V45" s="1669"/>
      <c r="W45" s="1145"/>
      <c r="X45" s="1145"/>
      <c r="Y45" s="1145"/>
      <c r="Z45" s="1146"/>
      <c r="AA45" s="1146"/>
      <c r="AB45" s="1144">
        <v>3145.02</v>
      </c>
      <c r="AC45" s="901">
        <v>14101.4591</v>
      </c>
      <c r="AD45" s="1144">
        <v>12518.547470000001</v>
      </c>
      <c r="AE45" s="908">
        <v>8427.9300400000011</v>
      </c>
      <c r="AF45" s="1546">
        <v>10215.508990370436</v>
      </c>
      <c r="AG45" s="1530">
        <v>7569.2897056974471</v>
      </c>
      <c r="AH45" s="1530">
        <v>8458.1846848824207</v>
      </c>
      <c r="AI45" s="1530">
        <v>16434.794071119846</v>
      </c>
      <c r="AJ45" s="1530">
        <v>5583.0009937647792</v>
      </c>
      <c r="AK45" s="1530">
        <v>2134.7843697575845</v>
      </c>
      <c r="AL45" s="1517">
        <v>2436.3147297622991</v>
      </c>
      <c r="AM45" s="1536"/>
      <c r="AN45" s="1515">
        <f t="shared" si="16"/>
        <v>7009.4157698573854</v>
      </c>
      <c r="AO45" s="1616">
        <f t="shared" si="17"/>
        <v>0.14124628429753533</v>
      </c>
      <c r="AP45" s="1616">
        <f t="shared" si="18"/>
        <v>0.34757743152277992</v>
      </c>
      <c r="AQ45" s="674"/>
      <c r="AR45" s="674"/>
      <c r="AS45" s="2" t="s">
        <v>54</v>
      </c>
      <c r="AU45" s="1930" t="s">
        <v>18</v>
      </c>
      <c r="AV45" s="1930" t="s">
        <v>18</v>
      </c>
      <c r="AW45" s="1931">
        <v>26510.255000000001</v>
      </c>
      <c r="AY45" s="1923">
        <f>$AW45*AY$43/100</f>
        <v>6366.8593096051491</v>
      </c>
      <c r="AZ45" s="1923"/>
      <c r="BA45" s="1923">
        <f t="shared" ref="BA45" si="22">$AW45*BA$43/100</f>
        <v>1195.8745635017344</v>
      </c>
      <c r="BB45" s="211">
        <f>SUM(AY45:BA45)</f>
        <v>7562.733873106883</v>
      </c>
    </row>
    <row r="46" spans="1:54" ht="14.4">
      <c r="A46" s="724"/>
      <c r="B46" s="1119" t="s">
        <v>55</v>
      </c>
      <c r="C46" s="1145"/>
      <c r="D46" s="1145"/>
      <c r="E46" s="1145"/>
      <c r="F46" s="1145"/>
      <c r="G46" s="1145"/>
      <c r="H46" s="1145"/>
      <c r="I46" s="1145"/>
      <c r="J46" s="1145"/>
      <c r="K46" s="1145"/>
      <c r="L46" s="1145"/>
      <c r="M46" s="1145"/>
      <c r="N46" s="1145"/>
      <c r="O46" s="1145"/>
      <c r="P46" s="1493"/>
      <c r="Q46" s="1493"/>
      <c r="R46" s="1493"/>
      <c r="S46" s="1493"/>
      <c r="T46" s="1493"/>
      <c r="U46" s="1493"/>
      <c r="V46" s="1669"/>
      <c r="W46" s="1145"/>
      <c r="X46" s="1145"/>
      <c r="Y46" s="1145"/>
      <c r="Z46" s="1146"/>
      <c r="AA46" s="1146"/>
      <c r="AB46" s="1144"/>
      <c r="AC46" s="901">
        <v>10363.986999999999</v>
      </c>
      <c r="AD46" s="1490"/>
      <c r="AE46" s="902">
        <v>165</v>
      </c>
      <c r="AF46" s="1702"/>
      <c r="AG46" s="1530">
        <v>2809.9402750491158</v>
      </c>
      <c r="AH46" s="1530">
        <v>2754.676078237781</v>
      </c>
      <c r="AI46" s="1530">
        <v>1076.8088414690285</v>
      </c>
      <c r="AJ46" s="1530">
        <v>596.94564784718159</v>
      </c>
      <c r="AK46" s="1530"/>
      <c r="AL46" s="1517">
        <v>12.449031790431793</v>
      </c>
      <c r="AM46" s="1536"/>
      <c r="AN46" s="1515">
        <f t="shared" si="16"/>
        <v>1110.2198998361057</v>
      </c>
      <c r="AO46" s="1616" t="e">
        <f t="shared" si="17"/>
        <v>#DIV/0!</v>
      </c>
      <c r="AP46" s="1616">
        <f t="shared" si="18"/>
        <v>1.121312254650593E-2</v>
      </c>
      <c r="AQ46" s="674"/>
      <c r="AR46" s="674"/>
      <c r="AS46" s="2" t="s">
        <v>56</v>
      </c>
      <c r="AU46" s="1930" t="s">
        <v>18</v>
      </c>
      <c r="AV46" s="1930" t="s">
        <v>18</v>
      </c>
      <c r="AW46" s="1931">
        <v>338327.49099999998</v>
      </c>
      <c r="AY46" s="1923">
        <f t="shared" ref="AY46:BA47" si="23">$AW46*AY$43/100</f>
        <v>81254.727114797744</v>
      </c>
      <c r="AZ46" s="1923">
        <f t="shared" si="23"/>
        <v>241810.84955732181</v>
      </c>
      <c r="BA46" s="1923">
        <f t="shared" si="23"/>
        <v>15261.914327880359</v>
      </c>
      <c r="BB46" s="211">
        <f>SUM(AY46:BA46)</f>
        <v>338327.49099999992</v>
      </c>
    </row>
    <row r="47" spans="1:54" ht="14.4">
      <c r="A47" s="724"/>
      <c r="B47" s="1145" t="s">
        <v>57</v>
      </c>
      <c r="C47" s="1145">
        <v>57000</v>
      </c>
      <c r="D47" s="1145">
        <v>94398</v>
      </c>
      <c r="E47" s="1145">
        <v>116995</v>
      </c>
      <c r="F47" s="1145">
        <v>86769</v>
      </c>
      <c r="G47" s="1145">
        <v>56850</v>
      </c>
      <c r="H47" s="1145">
        <v>97272</v>
      </c>
      <c r="I47" s="1145">
        <v>70274</v>
      </c>
      <c r="J47" s="1145">
        <v>52320</v>
      </c>
      <c r="K47" s="1145">
        <v>91455</v>
      </c>
      <c r="L47" s="1145">
        <v>65206</v>
      </c>
      <c r="M47" s="1145">
        <v>128776</v>
      </c>
      <c r="N47" s="1145">
        <v>170235</v>
      </c>
      <c r="O47" s="1145">
        <v>149014</v>
      </c>
      <c r="P47" s="1493"/>
      <c r="Q47" s="1493"/>
      <c r="R47" s="1493"/>
      <c r="S47" s="1493"/>
      <c r="T47" s="1493"/>
      <c r="U47" s="1493"/>
      <c r="V47" s="1119"/>
      <c r="W47" s="1145"/>
      <c r="X47" s="1145"/>
      <c r="Y47" s="1145"/>
      <c r="Z47" s="1146"/>
      <c r="AA47" s="1703"/>
      <c r="AB47" s="1704"/>
      <c r="AC47" s="909"/>
      <c r="AD47" s="1705"/>
      <c r="AE47" s="910"/>
      <c r="AF47" s="1706"/>
      <c r="AG47" s="1547"/>
      <c r="AH47" s="1547"/>
      <c r="AI47" s="1547"/>
      <c r="AJ47" s="1548"/>
      <c r="AK47" s="1548"/>
      <c r="AL47" s="1971"/>
      <c r="AM47" s="1595"/>
      <c r="AN47" s="1515"/>
      <c r="AO47" s="1616"/>
      <c r="AP47" s="1616"/>
      <c r="AQ47" s="674"/>
      <c r="AR47" s="1538"/>
      <c r="AS47" s="2" t="s">
        <v>58</v>
      </c>
      <c r="AU47" s="1930" t="s">
        <v>18</v>
      </c>
      <c r="AV47" s="1930" t="s">
        <v>18</v>
      </c>
      <c r="AW47" s="1931">
        <v>3408.7479999999996</v>
      </c>
      <c r="AY47" s="1923">
        <f t="shared" si="23"/>
        <v>818.66503878962806</v>
      </c>
      <c r="AZ47" s="1923">
        <f t="shared" si="23"/>
        <v>2436.3147297622991</v>
      </c>
      <c r="BA47" s="1923">
        <f t="shared" si="23"/>
        <v>153.76823144807204</v>
      </c>
      <c r="BB47" s="211">
        <f>SUM(AY47:BA47)</f>
        <v>3408.7479999999991</v>
      </c>
    </row>
    <row r="48" spans="1:54">
      <c r="A48" s="724"/>
      <c r="B48" s="1493" t="s">
        <v>34</v>
      </c>
      <c r="C48" s="1493">
        <f>C47</f>
        <v>57000</v>
      </c>
      <c r="D48" s="1493">
        <f t="shared" ref="D48:O48" si="24">D47</f>
        <v>94398</v>
      </c>
      <c r="E48" s="1493">
        <f t="shared" si="24"/>
        <v>116995</v>
      </c>
      <c r="F48" s="1493">
        <f t="shared" si="24"/>
        <v>86769</v>
      </c>
      <c r="G48" s="1493">
        <f t="shared" si="24"/>
        <v>56850</v>
      </c>
      <c r="H48" s="1493">
        <f t="shared" si="24"/>
        <v>97272</v>
      </c>
      <c r="I48" s="1493">
        <f t="shared" si="24"/>
        <v>70274</v>
      </c>
      <c r="J48" s="1493">
        <f t="shared" si="24"/>
        <v>52320</v>
      </c>
      <c r="K48" s="1493">
        <f t="shared" si="24"/>
        <v>91455</v>
      </c>
      <c r="L48" s="1493">
        <f t="shared" si="24"/>
        <v>65206</v>
      </c>
      <c r="M48" s="1493">
        <f t="shared" si="24"/>
        <v>128776</v>
      </c>
      <c r="N48" s="1493">
        <f t="shared" si="24"/>
        <v>170235</v>
      </c>
      <c r="O48" s="1493">
        <f t="shared" si="24"/>
        <v>149014</v>
      </c>
      <c r="P48" s="1493">
        <f t="shared" ref="P48:AH48" si="25">SUM(P42:P46)</f>
        <v>98547.257577594835</v>
      </c>
      <c r="Q48" s="1493">
        <f t="shared" si="25"/>
        <v>178176.28434518093</v>
      </c>
      <c r="R48" s="1493">
        <f t="shared" si="25"/>
        <v>190233.45952199993</v>
      </c>
      <c r="S48" s="1493">
        <f t="shared" si="25"/>
        <v>204846.88376357875</v>
      </c>
      <c r="T48" s="1493">
        <f t="shared" si="25"/>
        <v>262041</v>
      </c>
      <c r="U48" s="1493">
        <f t="shared" si="25"/>
        <v>336625.02</v>
      </c>
      <c r="V48" s="1493">
        <f t="shared" si="25"/>
        <v>260560</v>
      </c>
      <c r="W48" s="1493">
        <f t="shared" si="25"/>
        <v>315812</v>
      </c>
      <c r="X48" s="1493">
        <f t="shared" si="25"/>
        <v>198148</v>
      </c>
      <c r="Y48" s="1493">
        <f t="shared" si="25"/>
        <v>129681.08404699809</v>
      </c>
      <c r="Z48" s="1494">
        <f t="shared" si="25"/>
        <v>83933</v>
      </c>
      <c r="AA48" s="1494">
        <f t="shared" si="25"/>
        <v>172595</v>
      </c>
      <c r="AB48" s="1490">
        <f t="shared" si="25"/>
        <v>136110.17982999998</v>
      </c>
      <c r="AC48" s="1490">
        <f t="shared" si="25"/>
        <v>190652.81446000002</v>
      </c>
      <c r="AD48" s="1490">
        <f t="shared" si="25"/>
        <v>159081.94537999999</v>
      </c>
      <c r="AE48" s="902">
        <f t="shared" si="25"/>
        <v>167913.84722000003</v>
      </c>
      <c r="AF48" s="1695">
        <f t="shared" si="25"/>
        <v>216672.84228000001</v>
      </c>
      <c r="AG48" s="1533">
        <f t="shared" si="25"/>
        <v>190355.80781257371</v>
      </c>
      <c r="AH48" s="1533">
        <f t="shared" si="25"/>
        <v>91361.685843654472</v>
      </c>
      <c r="AI48" s="1533">
        <f>SUM(AI43:AI46)</f>
        <v>123692.41541946512</v>
      </c>
      <c r="AJ48" s="1534">
        <f>SUM(AJ43:AJ46)</f>
        <v>103670.86016478858</v>
      </c>
      <c r="AK48" s="1534">
        <f>SUM(AK43:AK46)</f>
        <v>243953.57046896493</v>
      </c>
      <c r="AL48" s="1517">
        <f>SUM(AL43:AL46)</f>
        <v>263207.13444576768</v>
      </c>
      <c r="AM48" s="363"/>
      <c r="AN48" s="1889">
        <f t="shared" si="16"/>
        <v>165177.13326852815</v>
      </c>
      <c r="AO48" s="1890">
        <f t="shared" si="17"/>
        <v>7.8923066958153543E-2</v>
      </c>
      <c r="AP48" s="1890">
        <f t="shared" si="18"/>
        <v>1.5934840933331391</v>
      </c>
      <c r="AR48" s="363"/>
      <c r="AS48" s="2" t="s">
        <v>59</v>
      </c>
      <c r="AW48" s="1938">
        <f>SUM(AY48:BA48)</f>
        <v>3405.3535094715971</v>
      </c>
      <c r="AY48" s="1936">
        <v>6.2245158952158963</v>
      </c>
      <c r="AZ48" s="1936">
        <v>12.449031790431793</v>
      </c>
      <c r="BA48" s="1937">
        <v>3386.6799617859497</v>
      </c>
      <c r="BB48" s="1486">
        <f>AW48</f>
        <v>3405.3535094715971</v>
      </c>
    </row>
    <row r="49" spans="1:158">
      <c r="A49" s="723" t="s">
        <v>35</v>
      </c>
      <c r="B49" s="1145" t="s">
        <v>36</v>
      </c>
      <c r="C49" s="1145">
        <v>33</v>
      </c>
      <c r="D49" s="1145">
        <v>234</v>
      </c>
      <c r="E49" s="1145">
        <v>877</v>
      </c>
      <c r="F49" s="1145">
        <v>14614</v>
      </c>
      <c r="G49" s="1145">
        <v>10597</v>
      </c>
      <c r="H49" s="1145">
        <v>15816</v>
      </c>
      <c r="I49" s="1145">
        <v>13397</v>
      </c>
      <c r="J49" s="1145">
        <v>11666</v>
      </c>
      <c r="K49" s="1145">
        <v>13888</v>
      </c>
      <c r="L49" s="1145">
        <v>2600</v>
      </c>
      <c r="M49" s="1145">
        <v>0</v>
      </c>
      <c r="N49" s="1145">
        <v>7</v>
      </c>
      <c r="O49" s="1145">
        <v>8</v>
      </c>
      <c r="P49" s="1145">
        <v>3</v>
      </c>
      <c r="Q49" s="1145"/>
      <c r="R49" s="1145">
        <v>83</v>
      </c>
      <c r="S49" s="1145">
        <v>0</v>
      </c>
      <c r="T49" s="1145"/>
      <c r="U49" s="1119">
        <v>236</v>
      </c>
      <c r="V49" s="1119">
        <v>1</v>
      </c>
      <c r="W49" s="1145">
        <v>233</v>
      </c>
      <c r="X49" s="1145">
        <v>12</v>
      </c>
      <c r="Y49" s="1145"/>
      <c r="Z49" s="1146"/>
      <c r="AA49" s="1146"/>
      <c r="AB49" s="1144"/>
      <c r="AC49" s="901"/>
      <c r="AD49" s="1144"/>
      <c r="AE49" s="903"/>
      <c r="AF49" s="1588"/>
      <c r="AG49" s="1517"/>
      <c r="AH49" s="1517"/>
      <c r="AI49" s="1517"/>
      <c r="AJ49" s="1530"/>
      <c r="AK49" s="1530"/>
      <c r="AL49" s="1517"/>
      <c r="AN49" s="1515"/>
      <c r="AO49" s="1616"/>
      <c r="AP49" s="1616"/>
      <c r="AR49" s="363"/>
      <c r="AS49" s="13" t="s">
        <v>45</v>
      </c>
      <c r="AU49" s="1486" t="s">
        <v>18</v>
      </c>
      <c r="AV49" s="1486" t="s">
        <v>18</v>
      </c>
      <c r="AW49" s="211">
        <f>SUM(AW45:AW48)</f>
        <v>371651.84750947158</v>
      </c>
      <c r="AX49" s="1486" t="s">
        <v>18</v>
      </c>
      <c r="AY49" s="1939">
        <f>SUM(AY45:AY48)</f>
        <v>88446.475979087729</v>
      </c>
      <c r="AZ49" s="1939">
        <f>SUM(AZ45:AZ48)</f>
        <v>244259.61331887453</v>
      </c>
      <c r="BA49" s="1939">
        <f t="shared" ref="BA49:BB49" si="26">SUM(BA45:BA48)</f>
        <v>19998.237084616117</v>
      </c>
      <c r="BB49" s="1939">
        <f t="shared" si="26"/>
        <v>352704.32638257841</v>
      </c>
    </row>
    <row r="50" spans="1:158">
      <c r="A50" s="723"/>
      <c r="B50" s="1145" t="s">
        <v>60</v>
      </c>
      <c r="C50" s="1145"/>
      <c r="D50" s="1145"/>
      <c r="E50" s="1145"/>
      <c r="F50" s="1145"/>
      <c r="G50" s="1145"/>
      <c r="H50" s="1145"/>
      <c r="I50" s="1145"/>
      <c r="J50" s="1145"/>
      <c r="K50" s="1145"/>
      <c r="L50" s="1145"/>
      <c r="M50" s="1145"/>
      <c r="N50" s="1145"/>
      <c r="O50" s="1145"/>
      <c r="P50" s="1145"/>
      <c r="Q50" s="1145"/>
      <c r="R50" s="1145"/>
      <c r="S50" s="1145"/>
      <c r="T50" s="1145"/>
      <c r="U50" s="1119"/>
      <c r="V50" s="1119" t="s">
        <v>61</v>
      </c>
      <c r="W50" s="1145">
        <v>7500</v>
      </c>
      <c r="X50" s="1145">
        <v>35434</v>
      </c>
      <c r="Y50" s="1145">
        <v>27108</v>
      </c>
      <c r="Z50" s="1146"/>
      <c r="AA50" s="1146"/>
      <c r="AB50" s="1144"/>
      <c r="AC50" s="901"/>
      <c r="AD50" s="1144"/>
      <c r="AE50" s="903"/>
      <c r="AF50" s="1588"/>
      <c r="AG50" s="1517"/>
      <c r="AH50" s="1517"/>
      <c r="AI50" s="1517"/>
      <c r="AJ50" s="1530"/>
      <c r="AK50" s="1530"/>
      <c r="AL50" s="1517"/>
      <c r="AN50" s="1515"/>
      <c r="AO50" s="1616"/>
      <c r="AP50" s="1616"/>
      <c r="AT50" s="2" t="s">
        <v>35</v>
      </c>
    </row>
    <row r="51" spans="1:158">
      <c r="A51" s="723"/>
      <c r="B51" s="1145" t="s">
        <v>37</v>
      </c>
      <c r="C51" s="1145">
        <v>1525</v>
      </c>
      <c r="D51" s="1145">
        <v>3957</v>
      </c>
      <c r="E51" s="1145">
        <v>2218</v>
      </c>
      <c r="F51" s="1145">
        <v>3343</v>
      </c>
      <c r="G51" s="1145">
        <v>962</v>
      </c>
      <c r="H51" s="1145">
        <v>1382</v>
      </c>
      <c r="I51" s="1145">
        <v>1045</v>
      </c>
      <c r="J51" s="1145">
        <v>585</v>
      </c>
      <c r="K51" s="1145">
        <v>2716</v>
      </c>
      <c r="L51" s="1145">
        <v>1465</v>
      </c>
      <c r="M51" s="1145">
        <v>667</v>
      </c>
      <c r="N51" s="1145">
        <v>2728</v>
      </c>
      <c r="O51" s="1145">
        <v>4537</v>
      </c>
      <c r="P51" s="1145">
        <v>2570</v>
      </c>
      <c r="Q51" s="1145">
        <v>2584</v>
      </c>
      <c r="R51" s="1145">
        <v>5557</v>
      </c>
      <c r="S51" s="1145">
        <v>5356</v>
      </c>
      <c r="T51" s="1145">
        <v>4016.75</v>
      </c>
      <c r="U51" s="1145">
        <v>8183</v>
      </c>
      <c r="V51" s="1119">
        <v>8112</v>
      </c>
      <c r="W51" s="1145">
        <v>10616</v>
      </c>
      <c r="X51" s="1145">
        <v>8627</v>
      </c>
      <c r="Y51" s="1145">
        <v>16269</v>
      </c>
      <c r="Z51" s="1146">
        <v>11849</v>
      </c>
      <c r="AA51" s="1703">
        <v>30718</v>
      </c>
      <c r="AB51" s="1704">
        <v>30590</v>
      </c>
      <c r="AC51" s="901">
        <v>19611</v>
      </c>
      <c r="AD51" s="1144">
        <v>21804</v>
      </c>
      <c r="AE51" s="700">
        <v>26953</v>
      </c>
      <c r="AF51" s="1596">
        <v>28087</v>
      </c>
      <c r="AG51" s="1544">
        <v>35617</v>
      </c>
      <c r="AH51" s="1707">
        <v>33662.765722555137</v>
      </c>
      <c r="AI51" s="1597">
        <v>27136.751927416408</v>
      </c>
      <c r="AJ51" s="1514">
        <v>12770</v>
      </c>
      <c r="AK51" s="1514">
        <v>28806.61901176408</v>
      </c>
      <c r="AL51" s="1515">
        <v>27213</v>
      </c>
      <c r="AM51" s="964"/>
      <c r="AN51" s="1515">
        <f t="shared" si="16"/>
        <v>25917.827332347126</v>
      </c>
      <c r="AO51" s="1616">
        <f t="shared" si="17"/>
        <v>-5.532127915161706E-2</v>
      </c>
      <c r="AP51" s="1616">
        <f t="shared" si="18"/>
        <v>1.0499722700921159</v>
      </c>
      <c r="AX51" s="2" t="s">
        <v>62</v>
      </c>
    </row>
    <row r="52" spans="1:158" ht="13.8" thickBot="1">
      <c r="A52" s="723"/>
      <c r="B52" s="1493" t="s">
        <v>38</v>
      </c>
      <c r="C52" s="1493">
        <f>SUM(C49:C51)</f>
        <v>1558</v>
      </c>
      <c r="D52" s="1493">
        <f t="shared" ref="D52:AL52" si="27">SUM(D49:D51)</f>
        <v>4191</v>
      </c>
      <c r="E52" s="1493">
        <f t="shared" si="27"/>
        <v>3095</v>
      </c>
      <c r="F52" s="1493">
        <f t="shared" si="27"/>
        <v>17957</v>
      </c>
      <c r="G52" s="1493">
        <f t="shared" si="27"/>
        <v>11559</v>
      </c>
      <c r="H52" s="1493">
        <f t="shared" si="27"/>
        <v>17198</v>
      </c>
      <c r="I52" s="1493">
        <f t="shared" si="27"/>
        <v>14442</v>
      </c>
      <c r="J52" s="1493">
        <f t="shared" si="27"/>
        <v>12251</v>
      </c>
      <c r="K52" s="1493">
        <f t="shared" si="27"/>
        <v>16604</v>
      </c>
      <c r="L52" s="1493">
        <f t="shared" si="27"/>
        <v>4065</v>
      </c>
      <c r="M52" s="1493">
        <f t="shared" si="27"/>
        <v>667</v>
      </c>
      <c r="N52" s="1493">
        <f t="shared" si="27"/>
        <v>2735</v>
      </c>
      <c r="O52" s="1493">
        <f t="shared" si="27"/>
        <v>4545</v>
      </c>
      <c r="P52" s="1493">
        <f t="shared" si="27"/>
        <v>2573</v>
      </c>
      <c r="Q52" s="1493">
        <f t="shared" si="27"/>
        <v>2584</v>
      </c>
      <c r="R52" s="1493">
        <f t="shared" si="27"/>
        <v>5640</v>
      </c>
      <c r="S52" s="1493">
        <f t="shared" si="27"/>
        <v>5356</v>
      </c>
      <c r="T52" s="1493">
        <f t="shared" si="27"/>
        <v>4016.75</v>
      </c>
      <c r="U52" s="1493">
        <f t="shared" si="27"/>
        <v>8419</v>
      </c>
      <c r="V52" s="1493">
        <f t="shared" si="27"/>
        <v>8113</v>
      </c>
      <c r="W52" s="1493">
        <f t="shared" si="27"/>
        <v>18349</v>
      </c>
      <c r="X52" s="1493">
        <f t="shared" si="27"/>
        <v>44073</v>
      </c>
      <c r="Y52" s="1493">
        <f t="shared" si="27"/>
        <v>43377</v>
      </c>
      <c r="Z52" s="1494">
        <f t="shared" si="27"/>
        <v>11849</v>
      </c>
      <c r="AA52" s="1494">
        <f t="shared" si="27"/>
        <v>30718</v>
      </c>
      <c r="AB52" s="1490">
        <f t="shared" si="27"/>
        <v>30590</v>
      </c>
      <c r="AC52" s="1490">
        <f t="shared" si="27"/>
        <v>19611</v>
      </c>
      <c r="AD52" s="1490">
        <f t="shared" si="27"/>
        <v>21804</v>
      </c>
      <c r="AE52" s="902">
        <f t="shared" si="27"/>
        <v>26953</v>
      </c>
      <c r="AF52" s="1695">
        <f t="shared" si="27"/>
        <v>28087</v>
      </c>
      <c r="AG52" s="1533">
        <f t="shared" si="27"/>
        <v>35617</v>
      </c>
      <c r="AH52" s="1533">
        <f t="shared" si="27"/>
        <v>33662.765722555137</v>
      </c>
      <c r="AI52" s="1533">
        <f t="shared" si="27"/>
        <v>27136.751927416408</v>
      </c>
      <c r="AJ52" s="1534">
        <f t="shared" si="27"/>
        <v>12770</v>
      </c>
      <c r="AK52" s="1534">
        <f t="shared" si="27"/>
        <v>28806.61901176408</v>
      </c>
      <c r="AL52" s="1534">
        <f t="shared" si="27"/>
        <v>27213</v>
      </c>
      <c r="AM52" s="363"/>
      <c r="AN52" s="1889">
        <f t="shared" si="16"/>
        <v>25917.827332347126</v>
      </c>
      <c r="AO52" s="1890">
        <f t="shared" si="17"/>
        <v>-5.532127915161706E-2</v>
      </c>
      <c r="AP52" s="1890">
        <f t="shared" si="18"/>
        <v>1.0499722700921159</v>
      </c>
      <c r="AT52" s="13" t="s">
        <v>50</v>
      </c>
      <c r="AU52" s="13" t="s">
        <v>51</v>
      </c>
      <c r="AV52" s="13" t="s">
        <v>52</v>
      </c>
      <c r="AW52" s="2" t="s">
        <v>45</v>
      </c>
      <c r="BB52" s="13" t="s">
        <v>50</v>
      </c>
    </row>
    <row r="53" spans="1:158">
      <c r="A53" s="723" t="s">
        <v>40</v>
      </c>
      <c r="B53" s="1145" t="s">
        <v>36</v>
      </c>
      <c r="C53" s="1145">
        <v>452</v>
      </c>
      <c r="D53" s="1145">
        <v>747</v>
      </c>
      <c r="E53" s="1145">
        <v>14</v>
      </c>
      <c r="F53" s="1145">
        <v>542</v>
      </c>
      <c r="G53" s="1145">
        <v>166</v>
      </c>
      <c r="H53" s="1145">
        <v>181</v>
      </c>
      <c r="I53" s="1145">
        <v>176</v>
      </c>
      <c r="J53" s="1145">
        <v>383</v>
      </c>
      <c r="K53" s="1145">
        <v>90</v>
      </c>
      <c r="L53" s="1145">
        <v>170</v>
      </c>
      <c r="M53" s="1145">
        <v>111</v>
      </c>
      <c r="N53" s="1145">
        <v>132</v>
      </c>
      <c r="O53" s="1145">
        <v>140</v>
      </c>
      <c r="P53" s="1145">
        <v>110</v>
      </c>
      <c r="Q53" s="1145">
        <v>125</v>
      </c>
      <c r="R53" s="1145">
        <v>121</v>
      </c>
      <c r="S53" s="1145">
        <v>117</v>
      </c>
      <c r="T53" s="1145">
        <v>41</v>
      </c>
      <c r="U53" s="1145">
        <v>23</v>
      </c>
      <c r="V53" s="1119">
        <v>38</v>
      </c>
      <c r="W53" s="1145">
        <v>44</v>
      </c>
      <c r="X53" s="1145"/>
      <c r="Y53" s="1145"/>
      <c r="Z53" s="1146">
        <v>176</v>
      </c>
      <c r="AA53" s="1708">
        <v>161.64400000000001</v>
      </c>
      <c r="AB53" s="599"/>
      <c r="AC53" s="600"/>
      <c r="AD53" s="599"/>
      <c r="AE53" s="830"/>
      <c r="AF53" s="1549"/>
      <c r="AG53" s="1547"/>
      <c r="AH53" s="1547"/>
      <c r="AI53" s="1547"/>
      <c r="AJ53" s="1548"/>
      <c r="AK53" s="1548"/>
      <c r="AL53" s="1971"/>
      <c r="AM53" s="1476"/>
      <c r="AN53" s="1515"/>
      <c r="AO53" s="1616"/>
      <c r="AP53" s="1616"/>
      <c r="AS53" s="1145" t="s">
        <v>36</v>
      </c>
      <c r="AT53" s="150"/>
      <c r="AY53" s="72" t="s">
        <v>52</v>
      </c>
      <c r="AZ53" s="1929" t="s">
        <v>18</v>
      </c>
      <c r="BA53" s="30" t="e">
        <f>AZ53/$AV$56</f>
        <v>#VALUE!</v>
      </c>
    </row>
    <row r="54" spans="1:158">
      <c r="A54" s="723"/>
      <c r="B54" s="1145" t="s">
        <v>37</v>
      </c>
      <c r="C54" s="1145">
        <v>30</v>
      </c>
      <c r="D54" s="1145">
        <v>60</v>
      </c>
      <c r="E54" s="1145">
        <v>27</v>
      </c>
      <c r="F54" s="1145">
        <v>49</v>
      </c>
      <c r="G54" s="1145">
        <v>21</v>
      </c>
      <c r="H54" s="1145">
        <v>64</v>
      </c>
      <c r="I54" s="1145">
        <v>60</v>
      </c>
      <c r="J54" s="1145">
        <v>13</v>
      </c>
      <c r="K54" s="1145">
        <v>38</v>
      </c>
      <c r="L54" s="1145">
        <v>103</v>
      </c>
      <c r="M54" s="1145">
        <v>78</v>
      </c>
      <c r="N54" s="1145">
        <v>93</v>
      </c>
      <c r="O54" s="1145">
        <v>150</v>
      </c>
      <c r="P54" s="1145">
        <v>145</v>
      </c>
      <c r="Q54" s="1145">
        <v>140</v>
      </c>
      <c r="R54" s="1145">
        <v>182</v>
      </c>
      <c r="S54" s="1145">
        <v>224</v>
      </c>
      <c r="T54" s="1145">
        <v>267</v>
      </c>
      <c r="U54" s="1145">
        <v>326</v>
      </c>
      <c r="V54" s="1709">
        <v>349</v>
      </c>
      <c r="W54" s="1119">
        <v>348</v>
      </c>
      <c r="X54" s="1145">
        <v>405</v>
      </c>
      <c r="Y54" s="1145">
        <v>42</v>
      </c>
      <c r="Z54" s="1146">
        <v>187.5</v>
      </c>
      <c r="AA54" s="911">
        <v>988.7903</v>
      </c>
      <c r="AB54" s="912">
        <v>1018.8</v>
      </c>
      <c r="AC54" s="1710">
        <v>1859.5</v>
      </c>
      <c r="AD54" s="603">
        <v>262.72899999999998</v>
      </c>
      <c r="AE54" s="1635">
        <v>353.07499999999999</v>
      </c>
      <c r="AF54" s="1711">
        <v>154.53</v>
      </c>
      <c r="AG54" s="1712">
        <v>395.4</v>
      </c>
      <c r="AH54" s="1712"/>
      <c r="AI54" s="1550">
        <v>2886.49</v>
      </c>
      <c r="AJ54" s="1551"/>
      <c r="AK54" s="1551"/>
      <c r="AL54" s="1552"/>
      <c r="AM54" s="1477"/>
      <c r="AN54" s="1515">
        <f t="shared" si="16"/>
        <v>2886.49</v>
      </c>
      <c r="AO54" s="1616" t="e">
        <f t="shared" si="17"/>
        <v>#DIV/0!</v>
      </c>
      <c r="AP54" s="1616">
        <f t="shared" si="18"/>
        <v>0</v>
      </c>
      <c r="AS54" s="1145" t="s">
        <v>60</v>
      </c>
      <c r="AY54" s="72" t="s">
        <v>50</v>
      </c>
      <c r="AZ54" s="1929" t="s">
        <v>18</v>
      </c>
      <c r="BA54" s="30" t="e">
        <f>AZ54/$AV$56</f>
        <v>#VALUE!</v>
      </c>
    </row>
    <row r="55" spans="1:158">
      <c r="A55" s="725"/>
      <c r="B55" s="718" t="s">
        <v>63</v>
      </c>
      <c r="C55" s="718">
        <f>SUM(C53:C54)</f>
        <v>482</v>
      </c>
      <c r="D55" s="718">
        <f t="shared" ref="D55:AA55" si="28">SUM(D53:D54)</f>
        <v>807</v>
      </c>
      <c r="E55" s="718">
        <f t="shared" si="28"/>
        <v>41</v>
      </c>
      <c r="F55" s="718">
        <f t="shared" si="28"/>
        <v>591</v>
      </c>
      <c r="G55" s="718">
        <f t="shared" si="28"/>
        <v>187</v>
      </c>
      <c r="H55" s="718">
        <f t="shared" si="28"/>
        <v>245</v>
      </c>
      <c r="I55" s="718">
        <f t="shared" si="28"/>
        <v>236</v>
      </c>
      <c r="J55" s="718">
        <f t="shared" si="28"/>
        <v>396</v>
      </c>
      <c r="K55" s="718">
        <f t="shared" si="28"/>
        <v>128</v>
      </c>
      <c r="L55" s="718">
        <f t="shared" si="28"/>
        <v>273</v>
      </c>
      <c r="M55" s="718">
        <f t="shared" si="28"/>
        <v>189</v>
      </c>
      <c r="N55" s="718">
        <f t="shared" si="28"/>
        <v>225</v>
      </c>
      <c r="O55" s="718">
        <f t="shared" si="28"/>
        <v>290</v>
      </c>
      <c r="P55" s="718">
        <f t="shared" si="28"/>
        <v>255</v>
      </c>
      <c r="Q55" s="718">
        <f t="shared" si="28"/>
        <v>265</v>
      </c>
      <c r="R55" s="718">
        <f t="shared" si="28"/>
        <v>303</v>
      </c>
      <c r="S55" s="718">
        <f t="shared" si="28"/>
        <v>341</v>
      </c>
      <c r="T55" s="718">
        <f t="shared" si="28"/>
        <v>308</v>
      </c>
      <c r="U55" s="718">
        <f t="shared" si="28"/>
        <v>349</v>
      </c>
      <c r="V55" s="718">
        <f t="shared" si="28"/>
        <v>387</v>
      </c>
      <c r="W55" s="718">
        <f t="shared" si="28"/>
        <v>392</v>
      </c>
      <c r="X55" s="718">
        <f t="shared" si="28"/>
        <v>405</v>
      </c>
      <c r="Y55" s="718">
        <f t="shared" si="28"/>
        <v>42</v>
      </c>
      <c r="Z55" s="726">
        <f t="shared" si="28"/>
        <v>363.5</v>
      </c>
      <c r="AA55" s="726">
        <f t="shared" si="28"/>
        <v>1150.4342999999999</v>
      </c>
      <c r="AB55" s="601">
        <f>SUM(AB53:AB54)</f>
        <v>1018.8</v>
      </c>
      <c r="AC55" s="601">
        <f>SUM(AC53:AC54)</f>
        <v>1859.5</v>
      </c>
      <c r="AD55" s="602">
        <f>SUM(AD53:AD54)</f>
        <v>262.72899999999998</v>
      </c>
      <c r="AE55" s="829">
        <f>SUM(AE53:AE54)</f>
        <v>353.07499999999999</v>
      </c>
      <c r="AF55" s="1618">
        <f>SUM(AF54)</f>
        <v>154.53</v>
      </c>
      <c r="AG55" s="1530">
        <f>SUM(AG54)</f>
        <v>395.4</v>
      </c>
      <c r="AH55" s="1530">
        <v>3800</v>
      </c>
      <c r="AI55" s="1553">
        <v>2886.49</v>
      </c>
      <c r="AJ55" s="1514">
        <v>3638</v>
      </c>
      <c r="AK55" s="1514">
        <v>2297.33</v>
      </c>
      <c r="AL55" s="1515"/>
      <c r="AM55" s="964"/>
      <c r="AN55" s="1515">
        <f t="shared" si="16"/>
        <v>3155.4549999999999</v>
      </c>
      <c r="AO55" s="1616">
        <f t="shared" si="17"/>
        <v>-1</v>
      </c>
      <c r="AP55" s="1616">
        <f t="shared" si="18"/>
        <v>0</v>
      </c>
      <c r="AS55" s="1145" t="s">
        <v>37</v>
      </c>
      <c r="AY55" s="72" t="s">
        <v>51</v>
      </c>
      <c r="AZ55" s="1929" t="s">
        <v>18</v>
      </c>
      <c r="BA55" s="30" t="e">
        <f>AZ55/$AV$56</f>
        <v>#VALUE!</v>
      </c>
    </row>
    <row r="56" spans="1:158" ht="13.8" thickBot="1">
      <c r="A56" s="54" t="s">
        <v>45</v>
      </c>
      <c r="B56" s="50" t="s">
        <v>44</v>
      </c>
      <c r="C56" s="50">
        <f t="shared" ref="C56:AK56" si="29">SUM(C41,C48,C52,C55)</f>
        <v>59040</v>
      </c>
      <c r="D56" s="50">
        <f t="shared" si="29"/>
        <v>99396</v>
      </c>
      <c r="E56" s="50">
        <f t="shared" si="29"/>
        <v>120131</v>
      </c>
      <c r="F56" s="50">
        <f t="shared" si="29"/>
        <v>105902</v>
      </c>
      <c r="G56" s="50">
        <f t="shared" si="29"/>
        <v>73291</v>
      </c>
      <c r="H56" s="50">
        <f t="shared" si="29"/>
        <v>121697</v>
      </c>
      <c r="I56" s="50">
        <f t="shared" si="29"/>
        <v>90619</v>
      </c>
      <c r="J56" s="50">
        <f t="shared" si="29"/>
        <v>72813</v>
      </c>
      <c r="K56" s="50">
        <f t="shared" si="29"/>
        <v>122632</v>
      </c>
      <c r="L56" s="50">
        <f t="shared" si="29"/>
        <v>83845</v>
      </c>
      <c r="M56" s="50">
        <f t="shared" si="29"/>
        <v>172113</v>
      </c>
      <c r="N56" s="50">
        <f t="shared" si="29"/>
        <v>211983</v>
      </c>
      <c r="O56" s="50">
        <f t="shared" si="29"/>
        <v>153849</v>
      </c>
      <c r="P56" s="50">
        <f t="shared" si="29"/>
        <v>101375.25757759484</v>
      </c>
      <c r="Q56" s="50">
        <f t="shared" si="29"/>
        <v>181620.68434518093</v>
      </c>
      <c r="R56" s="50">
        <f t="shared" si="29"/>
        <v>272334.31854736165</v>
      </c>
      <c r="S56" s="50">
        <f t="shared" si="29"/>
        <v>256698.18287326588</v>
      </c>
      <c r="T56" s="50">
        <f t="shared" si="29"/>
        <v>307041.5</v>
      </c>
      <c r="U56" s="50">
        <f t="shared" si="29"/>
        <v>401397.02</v>
      </c>
      <c r="V56" s="50">
        <f t="shared" si="29"/>
        <v>346996</v>
      </c>
      <c r="W56" s="50">
        <f t="shared" si="29"/>
        <v>352344</v>
      </c>
      <c r="X56" s="50">
        <f t="shared" si="29"/>
        <v>257200</v>
      </c>
      <c r="Y56" s="50">
        <f t="shared" si="29"/>
        <v>173484.08404699809</v>
      </c>
      <c r="Z56" s="500">
        <f t="shared" si="29"/>
        <v>139663.5</v>
      </c>
      <c r="AA56" s="500">
        <f t="shared" si="29"/>
        <v>223014.43212262643</v>
      </c>
      <c r="AB56" s="585">
        <f t="shared" si="29"/>
        <v>207364.69373852108</v>
      </c>
      <c r="AC56" s="585">
        <f t="shared" si="29"/>
        <v>235845.42578400002</v>
      </c>
      <c r="AD56" s="1490">
        <f t="shared" si="29"/>
        <v>234736.76780159998</v>
      </c>
      <c r="AE56" s="902">
        <f t="shared" si="29"/>
        <v>204882.50534000003</v>
      </c>
      <c r="AF56" s="1695">
        <f t="shared" si="29"/>
        <v>245224.37228000001</v>
      </c>
      <c r="AG56" s="1533">
        <f t="shared" si="29"/>
        <v>226458.89181257371</v>
      </c>
      <c r="AH56" s="1533">
        <f t="shared" si="29"/>
        <v>155859.96599070966</v>
      </c>
      <c r="AI56" s="1533">
        <f t="shared" si="29"/>
        <v>197669.52289788151</v>
      </c>
      <c r="AJ56" s="1554">
        <f t="shared" si="29"/>
        <v>152978.74915935253</v>
      </c>
      <c r="AK56" s="1554">
        <f t="shared" si="29"/>
        <v>348116.21024871984</v>
      </c>
      <c r="AL56" s="1972">
        <f t="shared" ref="AL56" si="30">SUM(AL41,AL48,AL52,AL55)</f>
        <v>384572.69416174496</v>
      </c>
      <c r="AM56" s="363"/>
      <c r="AN56" s="1889">
        <f t="shared" si="16"/>
        <v>247839.42849168173</v>
      </c>
      <c r="AO56" s="1890">
        <f t="shared" si="17"/>
        <v>0.10472503962678993</v>
      </c>
      <c r="AP56" s="1890">
        <f t="shared" si="18"/>
        <v>1.5517010207060433</v>
      </c>
      <c r="AS56" s="13" t="s">
        <v>45</v>
      </c>
      <c r="AT56" s="13" t="s">
        <v>18</v>
      </c>
      <c r="AU56" s="13" t="s">
        <v>18</v>
      </c>
      <c r="AV56" s="13" t="s">
        <v>18</v>
      </c>
      <c r="AW56" s="1931" t="s">
        <v>18</v>
      </c>
      <c r="AY56" s="72"/>
      <c r="AZ56" s="1929" t="s">
        <v>18</v>
      </c>
      <c r="BA56" s="30" t="e">
        <f>AZ56/$AV$56</f>
        <v>#VALUE!</v>
      </c>
    </row>
    <row r="57" spans="1:158" ht="14.4" thickTop="1">
      <c r="A57" s="1"/>
      <c r="B57" s="1"/>
      <c r="V57" s="1"/>
      <c r="W57" s="30"/>
      <c r="AF57" s="1535" t="s">
        <v>18</v>
      </c>
      <c r="AG57" s="1536"/>
      <c r="AH57" s="1536"/>
      <c r="AI57" s="1536"/>
      <c r="AJ57" s="1492"/>
      <c r="AK57" s="1492"/>
      <c r="AL57" s="1536"/>
      <c r="AN57" s="211" t="s">
        <v>18</v>
      </c>
      <c r="AO57" s="414" t="s">
        <v>18</v>
      </c>
      <c r="AP57" s="414" t="s">
        <v>18</v>
      </c>
    </row>
    <row r="58" spans="1:158" ht="15.6">
      <c r="A58" s="1"/>
      <c r="B58" s="1"/>
      <c r="V58" s="1"/>
      <c r="W58" s="90"/>
      <c r="X58" s="90"/>
      <c r="Z58" s="563">
        <f t="shared" ref="Z58:AH58" si="31">Z51/Z56</f>
        <v>8.4839632402166631E-2</v>
      </c>
      <c r="AA58" s="563">
        <f t="shared" si="31"/>
        <v>0.13773996466340546</v>
      </c>
      <c r="AB58" s="578">
        <f t="shared" si="31"/>
        <v>0.14751787996549121</v>
      </c>
      <c r="AC58" s="578">
        <f t="shared" si="31"/>
        <v>8.3151920096855361E-2</v>
      </c>
      <c r="AD58" s="578">
        <f t="shared" si="31"/>
        <v>9.2887024918178934E-2</v>
      </c>
      <c r="AE58" s="578">
        <f t="shared" si="31"/>
        <v>0.13155344793969512</v>
      </c>
      <c r="AF58" s="1555">
        <f t="shared" si="31"/>
        <v>0.11453592372918765</v>
      </c>
      <c r="AG58" s="1555">
        <f>AG51/AG56</f>
        <v>0.15727799299432249</v>
      </c>
      <c r="AH58" s="1555">
        <f t="shared" si="31"/>
        <v>0.21598083580078334</v>
      </c>
      <c r="AI58" s="1555">
        <f>AI51/AI56</f>
        <v>0.13728343919479982</v>
      </c>
      <c r="AJ58" s="1555">
        <f>AJ51/AJ56</f>
        <v>8.3475646586036234E-2</v>
      </c>
      <c r="AK58" s="1576">
        <f>AK51/AK56</f>
        <v>8.2750007508074708E-2</v>
      </c>
      <c r="AL58" s="1556">
        <f>AL51/AL56</f>
        <v>7.076165420250731E-2</v>
      </c>
      <c r="AM58" s="563"/>
      <c r="AN58" s="1486" t="s">
        <v>18</v>
      </c>
      <c r="AO58" s="414" t="s">
        <v>18</v>
      </c>
      <c r="AP58" s="414" t="s">
        <v>18</v>
      </c>
      <c r="AT58" s="2" t="s">
        <v>64</v>
      </c>
      <c r="AY58" s="2" t="s">
        <v>62</v>
      </c>
    </row>
    <row r="59" spans="1:158" s="13" customFormat="1" ht="14.4" thickBot="1">
      <c r="A59" s="6" t="s">
        <v>65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"/>
      <c r="X59" s="2"/>
      <c r="Y59" s="2"/>
      <c r="Z59" s="380"/>
      <c r="AA59" s="1713"/>
      <c r="AB59" s="1714"/>
      <c r="AC59" s="899"/>
      <c r="AD59" s="1490"/>
      <c r="AE59" s="825"/>
      <c r="AF59" s="1537"/>
      <c r="AG59" s="1538"/>
      <c r="AH59" s="1538"/>
      <c r="AI59" s="1538"/>
      <c r="AJ59" s="1491"/>
      <c r="AK59" s="1491"/>
      <c r="AL59" s="1536"/>
      <c r="AM59" s="363"/>
      <c r="AN59" s="211" t="s">
        <v>18</v>
      </c>
      <c r="AO59" s="414" t="s">
        <v>18</v>
      </c>
      <c r="AP59" s="414" t="s">
        <v>18</v>
      </c>
      <c r="AQ59" s="2"/>
      <c r="AS59" s="2"/>
      <c r="AT59" s="13" t="s">
        <v>50</v>
      </c>
      <c r="AU59" s="13" t="s">
        <v>51</v>
      </c>
      <c r="AV59" s="13" t="s">
        <v>52</v>
      </c>
      <c r="AW59" s="2" t="s">
        <v>45</v>
      </c>
      <c r="AX59" s="2"/>
      <c r="AY59" s="2"/>
      <c r="AZ59" s="2"/>
      <c r="BA59" s="2"/>
      <c r="BB59" s="13" t="s">
        <v>50</v>
      </c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</row>
    <row r="60" spans="1:158" ht="14.4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X60" s="57"/>
      <c r="AA60" s="482"/>
      <c r="AB60" s="587"/>
      <c r="AC60" s="587"/>
      <c r="AD60" s="579"/>
      <c r="AE60" s="831"/>
      <c r="AF60" s="1557"/>
      <c r="AG60" s="1558"/>
      <c r="AH60" s="1558"/>
      <c r="AI60" s="1558"/>
      <c r="AJ60" s="1558"/>
      <c r="AK60" s="1558"/>
      <c r="AL60" s="1973"/>
      <c r="AM60" s="1478"/>
      <c r="AN60" s="211" t="s">
        <v>18</v>
      </c>
      <c r="AO60" s="414" t="s">
        <v>18</v>
      </c>
      <c r="AP60" s="414" t="s">
        <v>18</v>
      </c>
      <c r="AS60" s="1145" t="s">
        <v>36</v>
      </c>
      <c r="AT60" s="150"/>
      <c r="AY60" s="72" t="s">
        <v>52</v>
      </c>
      <c r="AZ60" s="1929" t="s">
        <v>18</v>
      </c>
      <c r="BA60" s="30" t="e">
        <f>AZ60/$AV$56</f>
        <v>#VALUE!</v>
      </c>
    </row>
    <row r="61" spans="1:158" ht="13.8" thickTop="1">
      <c r="A61" s="51" t="s">
        <v>4</v>
      </c>
      <c r="B61" s="48" t="s">
        <v>5</v>
      </c>
      <c r="C61" s="48">
        <v>1990</v>
      </c>
      <c r="D61" s="48">
        <v>1991</v>
      </c>
      <c r="E61" s="48">
        <v>1992</v>
      </c>
      <c r="F61" s="48">
        <v>1993</v>
      </c>
      <c r="G61" s="48">
        <v>1994</v>
      </c>
      <c r="H61" s="48">
        <v>1995</v>
      </c>
      <c r="I61" s="48">
        <v>1996</v>
      </c>
      <c r="J61" s="48">
        <v>1997</v>
      </c>
      <c r="K61" s="48">
        <v>1998</v>
      </c>
      <c r="L61" s="48">
        <v>1999</v>
      </c>
      <c r="M61" s="48">
        <v>2000</v>
      </c>
      <c r="N61" s="48">
        <v>2001</v>
      </c>
      <c r="O61" s="52">
        <v>2002</v>
      </c>
      <c r="P61" s="48">
        <v>2003</v>
      </c>
      <c r="Q61" s="52">
        <v>2004</v>
      </c>
      <c r="R61" s="52">
        <v>2005</v>
      </c>
      <c r="S61" s="52">
        <v>2006</v>
      </c>
      <c r="T61" s="52">
        <v>2007</v>
      </c>
      <c r="U61" s="52">
        <v>2008</v>
      </c>
      <c r="V61" s="52">
        <v>2009</v>
      </c>
      <c r="W61" s="52">
        <v>2010</v>
      </c>
      <c r="X61" s="52">
        <v>2011</v>
      </c>
      <c r="Y61" s="52">
        <v>2012</v>
      </c>
      <c r="Z61" s="382">
        <v>2013</v>
      </c>
      <c r="AA61" s="481">
        <v>2014</v>
      </c>
      <c r="AB61" s="588">
        <v>2015</v>
      </c>
      <c r="AC61" s="589">
        <v>2016</v>
      </c>
      <c r="AD61" s="1496">
        <v>2017</v>
      </c>
      <c r="AE61" s="1696">
        <v>2018</v>
      </c>
      <c r="AF61" s="1697">
        <v>2019</v>
      </c>
      <c r="AG61" s="1559">
        <v>2020</v>
      </c>
      <c r="AH61" s="1559">
        <v>2021</v>
      </c>
      <c r="AI61" s="1559">
        <v>2022</v>
      </c>
      <c r="AJ61" s="1559">
        <v>2023</v>
      </c>
      <c r="AK61" s="1559">
        <v>2024</v>
      </c>
      <c r="AL61" s="1560">
        <v>2025</v>
      </c>
      <c r="AM61" s="1487"/>
      <c r="AN61" s="1355" t="s">
        <v>1</v>
      </c>
      <c r="AO61" s="256" t="s">
        <v>2</v>
      </c>
      <c r="AP61" s="1891" t="s">
        <v>3</v>
      </c>
      <c r="AS61" s="1145" t="s">
        <v>60</v>
      </c>
      <c r="AY61" s="72" t="s">
        <v>66</v>
      </c>
      <c r="AZ61" s="1929" t="s">
        <v>18</v>
      </c>
      <c r="BA61" s="30" t="e">
        <f>AZ61/$AV$56</f>
        <v>#VALUE!</v>
      </c>
    </row>
    <row r="62" spans="1:158" ht="13.8">
      <c r="A62" s="722" t="s">
        <v>6</v>
      </c>
      <c r="B62" s="1119" t="s">
        <v>7</v>
      </c>
      <c r="C62" s="1206"/>
      <c r="D62" s="1206"/>
      <c r="E62" s="1206"/>
      <c r="F62" s="1206"/>
      <c r="G62" s="1206"/>
      <c r="H62" s="1206"/>
      <c r="I62" s="1206"/>
      <c r="J62" s="1206"/>
      <c r="K62" s="1206"/>
      <c r="L62" s="1206"/>
      <c r="M62" s="1206"/>
      <c r="N62" s="1206"/>
      <c r="O62" s="1206"/>
      <c r="P62" s="1145"/>
      <c r="Q62" s="1145"/>
      <c r="R62" s="1145"/>
      <c r="S62" s="1145"/>
      <c r="T62" s="1145"/>
      <c r="U62" s="1145"/>
      <c r="V62" s="1119"/>
      <c r="W62" s="1145"/>
      <c r="X62" s="1119"/>
      <c r="Y62" s="1145"/>
      <c r="Z62" s="913"/>
      <c r="AA62" s="913"/>
      <c r="AB62" s="901"/>
      <c r="AC62" s="901"/>
      <c r="AD62" s="1144"/>
      <c r="AE62" s="1635"/>
      <c r="AF62" s="1561"/>
      <c r="AG62" s="1517"/>
      <c r="AH62" s="1517"/>
      <c r="AI62" s="1517"/>
      <c r="AJ62" s="1530"/>
      <c r="AK62" s="1530"/>
      <c r="AL62" s="1517"/>
      <c r="AN62" s="211" t="s">
        <v>18</v>
      </c>
      <c r="AO62" s="414" t="s">
        <v>18</v>
      </c>
      <c r="AP62" s="414" t="s">
        <v>18</v>
      </c>
      <c r="AS62" s="1145" t="s">
        <v>37</v>
      </c>
      <c r="AY62" s="72" t="s">
        <v>67</v>
      </c>
      <c r="AZ62" s="1929" t="s">
        <v>18</v>
      </c>
      <c r="BA62" s="30" t="e">
        <f>AZ62/$AV$56</f>
        <v>#VALUE!</v>
      </c>
    </row>
    <row r="63" spans="1:158" ht="13.8">
      <c r="A63" s="722" t="s">
        <v>15</v>
      </c>
      <c r="B63" s="1119" t="s">
        <v>7</v>
      </c>
      <c r="C63" s="1206"/>
      <c r="D63" s="1206"/>
      <c r="E63" s="1206"/>
      <c r="F63" s="1206"/>
      <c r="G63" s="1206"/>
      <c r="H63" s="1206"/>
      <c r="I63" s="1206"/>
      <c r="J63" s="1206"/>
      <c r="K63" s="1206"/>
      <c r="L63" s="1206"/>
      <c r="M63" s="1206"/>
      <c r="N63" s="1206"/>
      <c r="O63" s="1206"/>
      <c r="P63" s="1145"/>
      <c r="Q63" s="1145"/>
      <c r="R63" s="1145"/>
      <c r="S63" s="1145"/>
      <c r="T63" s="1145"/>
      <c r="U63" s="1145"/>
      <c r="V63" s="1119"/>
      <c r="W63" s="1145"/>
      <c r="X63" s="1119"/>
      <c r="Y63" s="1145"/>
      <c r="Z63" s="913"/>
      <c r="AA63" s="913"/>
      <c r="AB63" s="590">
        <v>418.37200000000001</v>
      </c>
      <c r="AC63" s="914"/>
      <c r="AD63" s="1144"/>
      <c r="AE63" s="1635"/>
      <c r="AF63" s="1561"/>
      <c r="AG63" s="1517"/>
      <c r="AH63" s="1517"/>
      <c r="AI63" s="1517"/>
      <c r="AJ63" s="1530"/>
      <c r="AK63" s="1530"/>
      <c r="AL63" s="1517"/>
      <c r="AN63" s="1155" t="s">
        <v>18</v>
      </c>
      <c r="AO63" s="1488" t="s">
        <v>18</v>
      </c>
      <c r="AP63" s="1488" t="s">
        <v>18</v>
      </c>
      <c r="AS63" s="13" t="s">
        <v>45</v>
      </c>
      <c r="AT63" s="13" t="s">
        <v>18</v>
      </c>
      <c r="AU63" s="13" t="s">
        <v>18</v>
      </c>
      <c r="AV63" s="13" t="s">
        <v>18</v>
      </c>
      <c r="AW63" s="1931" t="s">
        <v>18</v>
      </c>
      <c r="AY63" s="72"/>
      <c r="AZ63" s="1929" t="s">
        <v>18</v>
      </c>
      <c r="BA63" s="30" t="e">
        <f>AZ63/$AV$56</f>
        <v>#VALUE!</v>
      </c>
    </row>
    <row r="64" spans="1:158" ht="13.8">
      <c r="A64" s="722" t="s">
        <v>16</v>
      </c>
      <c r="B64" s="1119" t="s">
        <v>7</v>
      </c>
      <c r="C64" s="1206"/>
      <c r="D64" s="1206"/>
      <c r="E64" s="1206"/>
      <c r="F64" s="1206"/>
      <c r="G64" s="1206"/>
      <c r="H64" s="1206"/>
      <c r="I64" s="1206"/>
      <c r="J64" s="1206"/>
      <c r="K64" s="1206"/>
      <c r="L64" s="1206"/>
      <c r="M64" s="1206"/>
      <c r="N64" s="1206"/>
      <c r="O64" s="1206"/>
      <c r="P64" s="1145"/>
      <c r="Q64" s="1145"/>
      <c r="R64" s="1145"/>
      <c r="S64" s="1145"/>
      <c r="T64" s="1145"/>
      <c r="U64" s="1145"/>
      <c r="V64" s="1119"/>
      <c r="W64" s="1145"/>
      <c r="X64" s="1119"/>
      <c r="Y64" s="1145"/>
      <c r="Z64" s="913"/>
      <c r="AA64" s="913"/>
      <c r="AB64" s="591">
        <v>0.21750000000000003</v>
      </c>
      <c r="AC64" s="915"/>
      <c r="AD64" s="1715"/>
      <c r="AE64" s="1716"/>
      <c r="AF64" s="1562"/>
      <c r="AG64" s="1563"/>
      <c r="AH64" s="1563"/>
      <c r="AI64" s="1563"/>
      <c r="AJ64" s="1564"/>
      <c r="AK64" s="1564"/>
      <c r="AL64" s="1563"/>
      <c r="AM64" s="1479"/>
      <c r="AN64" s="1155" t="s">
        <v>18</v>
      </c>
      <c r="AO64" s="1488" t="s">
        <v>18</v>
      </c>
      <c r="AP64" s="1488" t="s">
        <v>18</v>
      </c>
    </row>
    <row r="65" spans="1:44" ht="13.8">
      <c r="A65" s="722" t="s">
        <v>20</v>
      </c>
      <c r="B65" s="1119" t="s">
        <v>7</v>
      </c>
      <c r="C65" s="1206"/>
      <c r="D65" s="1206"/>
      <c r="E65" s="1206"/>
      <c r="F65" s="1206"/>
      <c r="G65" s="1206"/>
      <c r="H65" s="1206"/>
      <c r="I65" s="1206"/>
      <c r="J65" s="1206"/>
      <c r="K65" s="1206"/>
      <c r="L65" s="1206"/>
      <c r="M65" s="1206"/>
      <c r="N65" s="1206"/>
      <c r="O65" s="1206"/>
      <c r="P65" s="1145"/>
      <c r="Q65" s="1145"/>
      <c r="R65" s="1145"/>
      <c r="S65" s="1145"/>
      <c r="T65" s="1145"/>
      <c r="U65" s="1145"/>
      <c r="V65" s="1119"/>
      <c r="W65" s="1145"/>
      <c r="X65" s="1119"/>
      <c r="Y65" s="1145"/>
      <c r="Z65" s="913"/>
      <c r="AA65" s="916"/>
      <c r="AB65" s="899"/>
      <c r="AC65" s="899"/>
      <c r="AD65" s="1490"/>
      <c r="AE65" s="1497"/>
      <c r="AF65" s="1565"/>
      <c r="AG65" s="1529"/>
      <c r="AH65" s="1529"/>
      <c r="AI65" s="1529"/>
      <c r="AJ65" s="1534"/>
      <c r="AK65" s="1534"/>
      <c r="AL65" s="1529"/>
      <c r="AM65" s="363"/>
      <c r="AN65" s="1155" t="s">
        <v>18</v>
      </c>
      <c r="AO65" s="1488" t="s">
        <v>18</v>
      </c>
      <c r="AP65" s="1488" t="s">
        <v>18</v>
      </c>
    </row>
    <row r="66" spans="1:44" ht="13.8">
      <c r="A66" s="722"/>
      <c r="B66" s="1119" t="s">
        <v>22</v>
      </c>
      <c r="C66" s="1145"/>
      <c r="D66" s="1145"/>
      <c r="E66" s="1145"/>
      <c r="F66" s="1145"/>
      <c r="G66" s="1145"/>
      <c r="H66" s="1145"/>
      <c r="I66" s="1145"/>
      <c r="J66" s="1145"/>
      <c r="K66" s="1145"/>
      <c r="L66" s="1145"/>
      <c r="M66" s="1145"/>
      <c r="N66" s="1145"/>
      <c r="O66" s="1145"/>
      <c r="P66" s="1145"/>
      <c r="Q66" s="1145"/>
      <c r="R66" s="1145"/>
      <c r="S66" s="1145"/>
      <c r="T66" s="1145"/>
      <c r="U66" s="1145"/>
      <c r="V66" s="1119"/>
      <c r="W66" s="1145"/>
      <c r="X66" s="1119">
        <v>86</v>
      </c>
      <c r="Y66" s="1145"/>
      <c r="Z66" s="913"/>
      <c r="AA66" s="913">
        <v>106.759770332421</v>
      </c>
      <c r="AB66" s="901"/>
      <c r="AC66" s="901"/>
      <c r="AD66" s="1144"/>
      <c r="AE66" s="1635"/>
      <c r="AF66" s="1561"/>
      <c r="AG66" s="1517"/>
      <c r="AH66" s="1517"/>
      <c r="AI66" s="1517"/>
      <c r="AJ66" s="1530"/>
      <c r="AK66" s="1530"/>
      <c r="AL66" s="1517"/>
      <c r="AN66" s="1155" t="s">
        <v>18</v>
      </c>
      <c r="AO66" s="1488" t="s">
        <v>18</v>
      </c>
      <c r="AP66" s="1488" t="s">
        <v>18</v>
      </c>
    </row>
    <row r="67" spans="1:44" ht="13.8">
      <c r="A67" s="722"/>
      <c r="B67" s="1119" t="s">
        <v>10</v>
      </c>
      <c r="C67" s="1145"/>
      <c r="D67" s="1145"/>
      <c r="E67" s="1145"/>
      <c r="F67" s="1145"/>
      <c r="G67" s="1145"/>
      <c r="H67" s="1145"/>
      <c r="I67" s="1145"/>
      <c r="J67" s="1145"/>
      <c r="K67" s="1145"/>
      <c r="L67" s="1145"/>
      <c r="M67" s="1145"/>
      <c r="N67" s="1145"/>
      <c r="O67" s="1145"/>
      <c r="P67" s="1145"/>
      <c r="Q67" s="1145"/>
      <c r="R67" s="1145"/>
      <c r="S67" s="1145"/>
      <c r="T67" s="1145"/>
      <c r="U67" s="1145"/>
      <c r="V67" s="1119"/>
      <c r="W67" s="1145"/>
      <c r="X67" s="1119"/>
      <c r="Y67" s="1145"/>
      <c r="Z67" s="913"/>
      <c r="AA67" s="913">
        <v>43.125520699398933</v>
      </c>
      <c r="AB67" s="901"/>
      <c r="AC67" s="901"/>
      <c r="AD67" s="1144"/>
      <c r="AE67" s="1635"/>
      <c r="AF67" s="1561"/>
      <c r="AG67" s="1517"/>
      <c r="AH67" s="1517"/>
      <c r="AI67" s="1517"/>
      <c r="AJ67" s="1530"/>
      <c r="AK67" s="1530"/>
      <c r="AL67" s="1517"/>
      <c r="AN67" s="1155" t="s">
        <v>18</v>
      </c>
      <c r="AO67" s="1488" t="s">
        <v>18</v>
      </c>
      <c r="AP67" s="1488" t="s">
        <v>18</v>
      </c>
    </row>
    <row r="68" spans="1:44" ht="13.8">
      <c r="A68" s="722"/>
      <c r="B68" s="1119" t="s">
        <v>24</v>
      </c>
      <c r="C68" s="1145"/>
      <c r="D68" s="1145"/>
      <c r="E68" s="1145"/>
      <c r="F68" s="1145"/>
      <c r="G68" s="1145"/>
      <c r="H68" s="1145"/>
      <c r="I68" s="1145"/>
      <c r="J68" s="1145"/>
      <c r="K68" s="1145"/>
      <c r="L68" s="1145"/>
      <c r="M68" s="1145"/>
      <c r="N68" s="1145"/>
      <c r="O68" s="1145"/>
      <c r="P68" s="1145"/>
      <c r="Q68" s="1145"/>
      <c r="R68" s="1145"/>
      <c r="S68" s="1145"/>
      <c r="T68" s="1145"/>
      <c r="U68" s="1145"/>
      <c r="V68" s="1119"/>
      <c r="W68" s="1145"/>
      <c r="X68" s="1119"/>
      <c r="Y68" s="1145"/>
      <c r="Z68" s="913"/>
      <c r="AA68" s="913"/>
      <c r="AB68" s="901"/>
      <c r="AC68" s="901"/>
      <c r="AD68" s="1144"/>
      <c r="AE68" s="1635"/>
      <c r="AF68" s="1561"/>
      <c r="AG68" s="1517"/>
      <c r="AH68" s="1517"/>
      <c r="AI68" s="1517"/>
      <c r="AJ68" s="1530"/>
      <c r="AK68" s="1530"/>
      <c r="AL68" s="1517"/>
      <c r="AN68" s="1155" t="s">
        <v>18</v>
      </c>
      <c r="AO68" s="1488" t="s">
        <v>18</v>
      </c>
      <c r="AP68" s="1488" t="s">
        <v>18</v>
      </c>
    </row>
    <row r="69" spans="1:44" s="13" customFormat="1" ht="13.8">
      <c r="A69" s="727"/>
      <c r="B69" s="1669" t="s">
        <v>27</v>
      </c>
      <c r="C69" s="1493"/>
      <c r="D69" s="1493"/>
      <c r="E69" s="1493"/>
      <c r="F69" s="1493"/>
      <c r="G69" s="1493"/>
      <c r="H69" s="1493"/>
      <c r="I69" s="1493"/>
      <c r="J69" s="1493"/>
      <c r="K69" s="1493"/>
      <c r="L69" s="1493"/>
      <c r="M69" s="1493"/>
      <c r="N69" s="1493"/>
      <c r="O69" s="1493"/>
      <c r="P69" s="1493"/>
      <c r="Q69" s="1493"/>
      <c r="R69" s="1493"/>
      <c r="S69" s="1493"/>
      <c r="T69" s="1493"/>
      <c r="U69" s="1493"/>
      <c r="V69" s="1493"/>
      <c r="W69" s="1493"/>
      <c r="X69" s="1493"/>
      <c r="Y69" s="1493"/>
      <c r="Z69" s="1494"/>
      <c r="AA69" s="1494">
        <f>SUM(AA62:AA68)</f>
        <v>149.88529103181992</v>
      </c>
      <c r="AB69" s="1490">
        <f>SUM(AB62:AB68)</f>
        <v>418.58949999999999</v>
      </c>
      <c r="AC69" s="899"/>
      <c r="AD69" s="1490"/>
      <c r="AE69" s="1497"/>
      <c r="AF69" s="1566"/>
      <c r="AG69" s="1534"/>
      <c r="AH69" s="1534"/>
      <c r="AI69" s="1534"/>
      <c r="AJ69" s="1534"/>
      <c r="AK69" s="1534"/>
      <c r="AL69" s="1529"/>
      <c r="AM69" s="363"/>
      <c r="AN69" s="1194" t="s">
        <v>18</v>
      </c>
      <c r="AO69" s="1617" t="s">
        <v>18</v>
      </c>
      <c r="AP69" s="1617" t="s">
        <v>18</v>
      </c>
    </row>
    <row r="70" spans="1:44">
      <c r="A70" s="722" t="s">
        <v>29</v>
      </c>
      <c r="B70" s="1119" t="s">
        <v>10</v>
      </c>
      <c r="C70" s="1145"/>
      <c r="D70" s="1145"/>
      <c r="E70" s="1145"/>
      <c r="F70" s="1145"/>
      <c r="G70" s="1145"/>
      <c r="H70" s="1145"/>
      <c r="I70" s="1145"/>
      <c r="J70" s="1145"/>
      <c r="K70" s="1145"/>
      <c r="L70" s="1145"/>
      <c r="M70" s="1145"/>
      <c r="N70" s="1145"/>
      <c r="O70" s="1145"/>
      <c r="P70" s="1145">
        <v>1733.0558843531232</v>
      </c>
      <c r="Q70" s="1145">
        <v>890.86973407266896</v>
      </c>
      <c r="R70" s="1145">
        <v>4106.1683177507048</v>
      </c>
      <c r="S70" s="1145">
        <v>8275.7067846105547</v>
      </c>
      <c r="T70" s="1145">
        <v>461</v>
      </c>
      <c r="U70" s="1145"/>
      <c r="V70" s="1119">
        <v>11494</v>
      </c>
      <c r="W70" s="1145">
        <v>43676.375999999997</v>
      </c>
      <c r="X70" s="1119">
        <v>13559</v>
      </c>
      <c r="Y70" s="1145">
        <v>5519.2701888311994</v>
      </c>
      <c r="Z70" s="913">
        <v>878</v>
      </c>
      <c r="AA70" s="913">
        <v>1434</v>
      </c>
      <c r="AB70" s="901"/>
      <c r="AC70" s="901"/>
      <c r="AD70" s="1144"/>
      <c r="AE70" s="1635"/>
      <c r="AF70" s="1561"/>
      <c r="AG70" s="1517"/>
      <c r="AH70" s="1517">
        <v>488.21244105697969</v>
      </c>
      <c r="AI70" s="1517"/>
      <c r="AJ70" s="1530"/>
      <c r="AK70" s="1530"/>
      <c r="AL70" s="1517"/>
      <c r="AN70" s="1515">
        <f t="shared" ref="AN70" si="32">AVERAGE(AH70:AL70)</f>
        <v>488.21244105697969</v>
      </c>
      <c r="AO70" s="1616" t="e">
        <f t="shared" ref="AO70" si="33">(AL70-AK70)/AK70</f>
        <v>#DIV/0!</v>
      </c>
      <c r="AP70" s="1616">
        <f t="shared" ref="AP70" si="34">AL70/AN70</f>
        <v>0</v>
      </c>
    </row>
    <row r="71" spans="1:44" ht="13.8">
      <c r="A71" s="722"/>
      <c r="B71" s="1119" t="s">
        <v>30</v>
      </c>
      <c r="C71" s="1145"/>
      <c r="D71" s="1145"/>
      <c r="E71" s="1145"/>
      <c r="F71" s="1145"/>
      <c r="G71" s="1145"/>
      <c r="H71" s="1145"/>
      <c r="I71" s="1145"/>
      <c r="J71" s="1145"/>
      <c r="K71" s="1145"/>
      <c r="L71" s="1145"/>
      <c r="M71" s="1145"/>
      <c r="N71" s="1145"/>
      <c r="O71" s="1145"/>
      <c r="P71" s="1145">
        <v>30037.693568698371</v>
      </c>
      <c r="Q71" s="1145">
        <v>37778.712178582617</v>
      </c>
      <c r="R71" s="1145">
        <v>12575.861422249298</v>
      </c>
      <c r="S71" s="1145">
        <v>33285.265837979321</v>
      </c>
      <c r="T71" s="1145">
        <v>20597</v>
      </c>
      <c r="U71" s="1145">
        <v>31475</v>
      </c>
      <c r="V71" s="1119">
        <v>25319</v>
      </c>
      <c r="W71" s="1145">
        <v>13912.403549999999</v>
      </c>
      <c r="X71" s="1119">
        <v>5421</v>
      </c>
      <c r="Y71" s="1145">
        <v>3879.914346029148</v>
      </c>
      <c r="Z71" s="913">
        <v>304</v>
      </c>
      <c r="AA71" s="913">
        <v>997</v>
      </c>
      <c r="AB71" s="901">
        <v>1872.74873</v>
      </c>
      <c r="AC71" s="901">
        <v>2341</v>
      </c>
      <c r="AD71" s="1144">
        <v>2064.2732099999998</v>
      </c>
      <c r="AE71" s="1717">
        <v>2224</v>
      </c>
      <c r="AF71" s="1567">
        <v>2490</v>
      </c>
      <c r="AG71" s="1530">
        <v>14936.144371272649</v>
      </c>
      <c r="AH71" s="1530">
        <v>317.79378133462194</v>
      </c>
      <c r="AI71" s="1530">
        <v>8811.8796577166577</v>
      </c>
      <c r="AJ71" s="1530">
        <v>1924.8797096006401</v>
      </c>
      <c r="AK71" s="1530"/>
      <c r="AL71" s="1517"/>
      <c r="AM71" s="1475"/>
      <c r="AN71" s="1515">
        <f t="shared" ref="AN71:AN86" si="35">AVERAGE(AH71:AL71)</f>
        <v>3684.8510495506398</v>
      </c>
      <c r="AO71" s="1616" t="e">
        <f t="shared" ref="AO71:AO86" si="36">(AL71-AK71)/AK71</f>
        <v>#DIV/0!</v>
      </c>
      <c r="AP71" s="1616">
        <f t="shared" ref="AP71:AP86" si="37">AL71/AN71</f>
        <v>0</v>
      </c>
    </row>
    <row r="72" spans="1:44" ht="13.8">
      <c r="A72" s="722"/>
      <c r="B72" s="1119" t="s">
        <v>68</v>
      </c>
      <c r="C72" s="1145"/>
      <c r="D72" s="1145"/>
      <c r="E72" s="1145"/>
      <c r="F72" s="1145"/>
      <c r="G72" s="1145"/>
      <c r="H72" s="1145"/>
      <c r="I72" s="1145"/>
      <c r="J72" s="1145"/>
      <c r="K72" s="1145"/>
      <c r="L72" s="1145"/>
      <c r="M72" s="1145"/>
      <c r="N72" s="1145"/>
      <c r="O72" s="1145"/>
      <c r="P72" s="1145"/>
      <c r="Q72" s="1145"/>
      <c r="R72" s="1145"/>
      <c r="S72" s="1145"/>
      <c r="T72" s="1145"/>
      <c r="U72" s="1145"/>
      <c r="V72" s="1119"/>
      <c r="W72" s="1145"/>
      <c r="X72" s="1119"/>
      <c r="Y72" s="1145"/>
      <c r="Z72" s="913"/>
      <c r="AA72" s="913"/>
      <c r="AB72" s="901"/>
      <c r="AC72" s="901">
        <v>198.6121</v>
      </c>
      <c r="AD72" s="1144">
        <v>176.31756999999999</v>
      </c>
      <c r="AE72" s="1717">
        <v>119</v>
      </c>
      <c r="AF72" s="1567"/>
      <c r="AG72" s="1530">
        <v>628.17064972713388</v>
      </c>
      <c r="AH72" s="1530">
        <v>85.058632853350559</v>
      </c>
      <c r="AI72" s="1530">
        <v>1363.913348701157</v>
      </c>
      <c r="AJ72" s="1530">
        <v>110.23186616282175</v>
      </c>
      <c r="AK72" s="1530"/>
      <c r="AL72" s="1517"/>
      <c r="AM72" s="1475"/>
      <c r="AN72" s="1515">
        <f t="shared" si="35"/>
        <v>519.73461590577642</v>
      </c>
      <c r="AO72" s="1616" t="e">
        <f t="shared" si="36"/>
        <v>#DIV/0!</v>
      </c>
      <c r="AP72" s="1616">
        <f t="shared" si="37"/>
        <v>0</v>
      </c>
    </row>
    <row r="73" spans="1:44" ht="13.8">
      <c r="A73" s="722"/>
      <c r="B73" s="1119" t="s">
        <v>69</v>
      </c>
      <c r="C73" s="1145">
        <v>22000</v>
      </c>
      <c r="D73" s="1145">
        <v>6487</v>
      </c>
      <c r="E73" s="1145">
        <v>1927</v>
      </c>
      <c r="F73" s="1145">
        <v>9451</v>
      </c>
      <c r="G73" s="1145">
        <v>6235</v>
      </c>
      <c r="H73" s="1145">
        <v>345</v>
      </c>
      <c r="I73" s="1145">
        <v>630</v>
      </c>
      <c r="J73" s="1145">
        <v>1236</v>
      </c>
      <c r="K73" s="1145">
        <v>1386</v>
      </c>
      <c r="L73" s="1145">
        <v>648</v>
      </c>
      <c r="M73" s="1145">
        <v>43290</v>
      </c>
      <c r="N73" s="1145">
        <v>21662</v>
      </c>
      <c r="O73" s="1145">
        <v>66103</v>
      </c>
      <c r="P73" s="1493"/>
      <c r="Q73" s="1493"/>
      <c r="R73" s="1493"/>
      <c r="S73" s="1493"/>
      <c r="T73" s="1493"/>
      <c r="U73" s="1493"/>
      <c r="V73" s="1718"/>
      <c r="W73" s="1145"/>
      <c r="X73" s="1119"/>
      <c r="Y73" s="1493"/>
      <c r="Z73" s="913"/>
      <c r="AA73" s="917"/>
      <c r="AB73" s="909"/>
      <c r="AC73" s="909"/>
      <c r="AD73" s="1704"/>
      <c r="AE73" s="1719"/>
      <c r="AF73" s="1568"/>
      <c r="AG73" s="1530">
        <v>233.19519755511897</v>
      </c>
      <c r="AH73" s="1530">
        <v>27.702041265133737</v>
      </c>
      <c r="AI73" s="1530">
        <v>89.363696710984243</v>
      </c>
      <c r="AJ73" s="1530">
        <v>4880</v>
      </c>
      <c r="AK73" s="1530"/>
      <c r="AL73" s="1517"/>
      <c r="AM73" s="1475"/>
      <c r="AN73" s="1515">
        <f t="shared" si="35"/>
        <v>1665.6885793253725</v>
      </c>
      <c r="AO73" s="1616" t="e">
        <f t="shared" si="36"/>
        <v>#DIV/0!</v>
      </c>
      <c r="AP73" s="1616">
        <f t="shared" si="37"/>
        <v>0</v>
      </c>
      <c r="AR73" s="57"/>
    </row>
    <row r="74" spans="1:44" ht="13.8">
      <c r="A74" s="722"/>
      <c r="B74" s="1669" t="s">
        <v>34</v>
      </c>
      <c r="C74" s="1493">
        <f>C73</f>
        <v>22000</v>
      </c>
      <c r="D74" s="1493">
        <f t="shared" ref="D74:O74" si="38">D73</f>
        <v>6487</v>
      </c>
      <c r="E74" s="1493">
        <f t="shared" si="38"/>
        <v>1927</v>
      </c>
      <c r="F74" s="1493">
        <f t="shared" si="38"/>
        <v>9451</v>
      </c>
      <c r="G74" s="1493">
        <f t="shared" si="38"/>
        <v>6235</v>
      </c>
      <c r="H74" s="1493">
        <f t="shared" si="38"/>
        <v>345</v>
      </c>
      <c r="I74" s="1493">
        <f t="shared" si="38"/>
        <v>630</v>
      </c>
      <c r="J74" s="1493">
        <f t="shared" si="38"/>
        <v>1236</v>
      </c>
      <c r="K74" s="1493">
        <f t="shared" si="38"/>
        <v>1386</v>
      </c>
      <c r="L74" s="1493">
        <f t="shared" si="38"/>
        <v>648</v>
      </c>
      <c r="M74" s="1493">
        <f t="shared" si="38"/>
        <v>43290</v>
      </c>
      <c r="N74" s="1493">
        <f t="shared" si="38"/>
        <v>21662</v>
      </c>
      <c r="O74" s="1493">
        <f t="shared" si="38"/>
        <v>66103</v>
      </c>
      <c r="P74" s="1493">
        <f>SUM(P70:P72)</f>
        <v>31770.749453051492</v>
      </c>
      <c r="Q74" s="1493">
        <f t="shared" ref="Q74:AF74" si="39">SUM(Q70:Q72)</f>
        <v>38669.581912655289</v>
      </c>
      <c r="R74" s="1493">
        <f t="shared" si="39"/>
        <v>16682.029740000002</v>
      </c>
      <c r="S74" s="1493">
        <f t="shared" si="39"/>
        <v>41560.972622589878</v>
      </c>
      <c r="T74" s="1493">
        <f t="shared" si="39"/>
        <v>21058</v>
      </c>
      <c r="U74" s="1493">
        <f t="shared" si="39"/>
        <v>31475</v>
      </c>
      <c r="V74" s="1493">
        <f t="shared" si="39"/>
        <v>36813</v>
      </c>
      <c r="W74" s="1493">
        <f t="shared" si="39"/>
        <v>57588.779549999992</v>
      </c>
      <c r="X74" s="1493">
        <f t="shared" si="39"/>
        <v>18980</v>
      </c>
      <c r="Y74" s="1493">
        <f t="shared" si="39"/>
        <v>9399.1845348603474</v>
      </c>
      <c r="Z74" s="1494">
        <f t="shared" si="39"/>
        <v>1182</v>
      </c>
      <c r="AA74" s="1494">
        <f t="shared" si="39"/>
        <v>2431</v>
      </c>
      <c r="AB74" s="1490">
        <f t="shared" si="39"/>
        <v>1872.74873</v>
      </c>
      <c r="AC74" s="899">
        <f t="shared" si="39"/>
        <v>2539.6120999999998</v>
      </c>
      <c r="AD74" s="1490">
        <f t="shared" si="39"/>
        <v>2240.59078</v>
      </c>
      <c r="AE74" s="1497">
        <f t="shared" si="39"/>
        <v>2343</v>
      </c>
      <c r="AF74" s="1545">
        <f t="shared" si="39"/>
        <v>2490</v>
      </c>
      <c r="AG74" s="1533">
        <f>SUM(AG70:AG73)</f>
        <v>15797.5102185549</v>
      </c>
      <c r="AH74" s="1533">
        <f>SUM(AH70:AH73)</f>
        <v>918.76689651008587</v>
      </c>
      <c r="AI74" s="1533">
        <f>SUM(AI70:AI73)</f>
        <v>10265.1567031288</v>
      </c>
      <c r="AJ74" s="1534">
        <f>SUM(AJ70:AJ73)</f>
        <v>6915.1115757634616</v>
      </c>
      <c r="AK74" s="1534">
        <v>6095.0439598710691</v>
      </c>
      <c r="AL74" s="1529">
        <v>19998.237084616117</v>
      </c>
      <c r="AM74" s="1480"/>
      <c r="AN74" s="1889">
        <f t="shared" si="35"/>
        <v>8838.4632439779052</v>
      </c>
      <c r="AO74" s="1890">
        <f t="shared" si="36"/>
        <v>2.2810652747185678</v>
      </c>
      <c r="AP74" s="1890">
        <f t="shared" si="37"/>
        <v>2.2626373536419844</v>
      </c>
      <c r="AR74" s="57"/>
    </row>
    <row r="75" spans="1:44" ht="13.8">
      <c r="A75" s="722" t="s">
        <v>35</v>
      </c>
      <c r="B75" s="1119" t="s">
        <v>36</v>
      </c>
      <c r="C75" s="1145">
        <v>6</v>
      </c>
      <c r="D75" s="1145">
        <v>0</v>
      </c>
      <c r="E75" s="1145">
        <v>10066</v>
      </c>
      <c r="F75" s="1145">
        <v>867</v>
      </c>
      <c r="G75" s="1145">
        <v>564</v>
      </c>
      <c r="H75" s="1145">
        <v>601</v>
      </c>
      <c r="I75" s="1145">
        <v>288</v>
      </c>
      <c r="J75" s="1145">
        <v>1742</v>
      </c>
      <c r="K75" s="1145">
        <v>140</v>
      </c>
      <c r="L75" s="1145">
        <v>16251</v>
      </c>
      <c r="M75" s="1145">
        <v>5</v>
      </c>
      <c r="N75" s="1145">
        <v>0</v>
      </c>
      <c r="O75" s="1145">
        <v>5</v>
      </c>
      <c r="P75" s="1145">
        <v>0</v>
      </c>
      <c r="Q75" s="1145">
        <v>0</v>
      </c>
      <c r="R75" s="1145">
        <v>0</v>
      </c>
      <c r="S75" s="1145">
        <v>0</v>
      </c>
      <c r="T75" s="1145">
        <v>5</v>
      </c>
      <c r="U75" s="1145">
        <v>99.5</v>
      </c>
      <c r="V75" s="1119">
        <v>34</v>
      </c>
      <c r="W75" s="1145">
        <v>36</v>
      </c>
      <c r="X75" s="1119">
        <v>3</v>
      </c>
      <c r="Y75" s="1145">
        <v>6</v>
      </c>
      <c r="Z75" s="913"/>
      <c r="AA75" s="913"/>
      <c r="AB75" s="901"/>
      <c r="AC75" s="901"/>
      <c r="AD75" s="1144"/>
      <c r="AE75" s="1635"/>
      <c r="AF75" s="1588"/>
      <c r="AG75" s="1517"/>
      <c r="AH75" s="1517"/>
      <c r="AJ75" s="1530"/>
      <c r="AK75" s="1530"/>
      <c r="AL75" s="1517"/>
      <c r="AM75" s="1475"/>
      <c r="AN75" s="1515" t="e">
        <f t="shared" si="35"/>
        <v>#DIV/0!</v>
      </c>
      <c r="AO75" s="1616" t="e">
        <f t="shared" si="36"/>
        <v>#DIV/0!</v>
      </c>
      <c r="AP75" s="1616" t="e">
        <f t="shared" si="37"/>
        <v>#DIV/0!</v>
      </c>
      <c r="AR75" s="57"/>
    </row>
    <row r="76" spans="1:44" ht="13.8">
      <c r="A76" s="722"/>
      <c r="B76" s="1119" t="s">
        <v>60</v>
      </c>
      <c r="C76" s="1145"/>
      <c r="D76" s="1145"/>
      <c r="E76" s="1145"/>
      <c r="F76" s="1145"/>
      <c r="G76" s="1145"/>
      <c r="H76" s="1145"/>
      <c r="I76" s="1145"/>
      <c r="J76" s="1145"/>
      <c r="K76" s="1145"/>
      <c r="L76" s="1145"/>
      <c r="M76" s="1145"/>
      <c r="N76" s="1145"/>
      <c r="O76" s="1145"/>
      <c r="P76" s="1145"/>
      <c r="Q76" s="1145"/>
      <c r="R76" s="1145"/>
      <c r="S76" s="1145"/>
      <c r="T76" s="1145"/>
      <c r="U76" s="1145"/>
      <c r="V76" s="1119"/>
      <c r="W76" s="1145"/>
      <c r="X76" s="1119">
        <v>4061</v>
      </c>
      <c r="Y76" s="1145">
        <v>2932</v>
      </c>
      <c r="Z76" s="913"/>
      <c r="AA76" s="913"/>
      <c r="AB76" s="901"/>
      <c r="AC76" s="901"/>
      <c r="AD76" s="1144"/>
      <c r="AE76" s="1638" t="s">
        <v>18</v>
      </c>
      <c r="AF76" s="1639" t="s">
        <v>18</v>
      </c>
      <c r="AG76" s="1544"/>
      <c r="AH76" s="1544"/>
      <c r="AI76" s="1544"/>
      <c r="AJ76" s="1544"/>
      <c r="AK76" s="1544"/>
      <c r="AL76" s="1543"/>
      <c r="AM76" s="1481"/>
      <c r="AN76" s="1515"/>
      <c r="AO76" s="1616"/>
      <c r="AP76" s="1616"/>
      <c r="AR76" s="363"/>
    </row>
    <row r="77" spans="1:44" ht="13.8">
      <c r="A77" s="722"/>
      <c r="B77" s="1119" t="s">
        <v>37</v>
      </c>
      <c r="C77" s="1145">
        <v>4725</v>
      </c>
      <c r="D77" s="1145">
        <v>2907</v>
      </c>
      <c r="E77" s="1145">
        <v>3650</v>
      </c>
      <c r="F77" s="1145">
        <v>4007</v>
      </c>
      <c r="G77" s="1145">
        <v>2590</v>
      </c>
      <c r="H77" s="1145">
        <v>3574</v>
      </c>
      <c r="I77" s="1145">
        <v>2980</v>
      </c>
      <c r="J77" s="1145">
        <v>3681</v>
      </c>
      <c r="K77" s="1145">
        <v>3967</v>
      </c>
      <c r="L77" s="1145">
        <v>3057</v>
      </c>
      <c r="M77" s="1145">
        <v>4024</v>
      </c>
      <c r="N77" s="1145">
        <v>2392</v>
      </c>
      <c r="O77" s="1145">
        <v>5801</v>
      </c>
      <c r="P77" s="1145">
        <v>3455</v>
      </c>
      <c r="Q77" s="1145">
        <v>4179</v>
      </c>
      <c r="R77" s="1145">
        <v>4833</v>
      </c>
      <c r="S77" s="1145">
        <v>5264</v>
      </c>
      <c r="T77" s="1145">
        <v>4432.75</v>
      </c>
      <c r="U77" s="1145">
        <v>3616</v>
      </c>
      <c r="V77" s="1119">
        <v>5458</v>
      </c>
      <c r="W77" s="1145">
        <v>3948</v>
      </c>
      <c r="X77" s="1119">
        <v>4340</v>
      </c>
      <c r="Y77" s="1145">
        <v>11052</v>
      </c>
      <c r="Z77" s="913">
        <v>9640</v>
      </c>
      <c r="AA77" s="917">
        <v>13551</v>
      </c>
      <c r="AB77" s="909">
        <v>13592</v>
      </c>
      <c r="AC77" s="901">
        <v>10405</v>
      </c>
      <c r="AD77" s="1144">
        <v>11648</v>
      </c>
      <c r="AE77" s="1638">
        <v>9310</v>
      </c>
      <c r="AF77" s="1639">
        <v>10036</v>
      </c>
      <c r="AG77" s="1544"/>
      <c r="AH77" s="1544"/>
      <c r="AI77" s="1517">
        <v>10373.028947262328</v>
      </c>
      <c r="AJ77" s="1544">
        <v>8983</v>
      </c>
      <c r="AK77" s="1530">
        <v>15251</v>
      </c>
      <c r="AL77" s="1543">
        <v>10933.84</v>
      </c>
      <c r="AM77" s="1481"/>
      <c r="AN77" s="1515">
        <f t="shared" si="35"/>
        <v>11385.217236815581</v>
      </c>
      <c r="AO77" s="1616" t="e">
        <f>(AL77-#REF!)/#REF!</f>
        <v>#REF!</v>
      </c>
      <c r="AP77" s="1616">
        <f t="shared" si="37"/>
        <v>0.96035409536534855</v>
      </c>
      <c r="AR77" s="363"/>
    </row>
    <row r="78" spans="1:44" s="13" customFormat="1" ht="13.8">
      <c r="A78" s="727"/>
      <c r="B78" s="1669" t="s">
        <v>38</v>
      </c>
      <c r="C78" s="1493">
        <f>SUM(C75:C77)</f>
        <v>4731</v>
      </c>
      <c r="D78" s="1493">
        <f t="shared" ref="D78:AF78" si="40">SUM(D75:D77)</f>
        <v>2907</v>
      </c>
      <c r="E78" s="1493">
        <f t="shared" si="40"/>
        <v>13716</v>
      </c>
      <c r="F78" s="1493">
        <f t="shared" si="40"/>
        <v>4874</v>
      </c>
      <c r="G78" s="1493">
        <f t="shared" si="40"/>
        <v>3154</v>
      </c>
      <c r="H78" s="1493">
        <f t="shared" si="40"/>
        <v>4175</v>
      </c>
      <c r="I78" s="1493">
        <f t="shared" si="40"/>
        <v>3268</v>
      </c>
      <c r="J78" s="1493">
        <f t="shared" si="40"/>
        <v>5423</v>
      </c>
      <c r="K78" s="1493">
        <f t="shared" si="40"/>
        <v>4107</v>
      </c>
      <c r="L78" s="1493">
        <f t="shared" si="40"/>
        <v>19308</v>
      </c>
      <c r="M78" s="1493">
        <f t="shared" si="40"/>
        <v>4029</v>
      </c>
      <c r="N78" s="1493">
        <f t="shared" si="40"/>
        <v>2392</v>
      </c>
      <c r="O78" s="1493">
        <f t="shared" si="40"/>
        <v>5806</v>
      </c>
      <c r="P78" s="1493">
        <f t="shared" si="40"/>
        <v>3455</v>
      </c>
      <c r="Q78" s="1493">
        <f t="shared" si="40"/>
        <v>4179</v>
      </c>
      <c r="R78" s="1493">
        <f t="shared" si="40"/>
        <v>4833</v>
      </c>
      <c r="S78" s="1493">
        <f t="shared" si="40"/>
        <v>5264</v>
      </c>
      <c r="T78" s="1493">
        <f t="shared" si="40"/>
        <v>4437.75</v>
      </c>
      <c r="U78" s="1493">
        <f t="shared" si="40"/>
        <v>3715.5</v>
      </c>
      <c r="V78" s="1493">
        <f t="shared" si="40"/>
        <v>5492</v>
      </c>
      <c r="W78" s="1493">
        <f t="shared" si="40"/>
        <v>3984</v>
      </c>
      <c r="X78" s="1493">
        <f t="shared" si="40"/>
        <v>8404</v>
      </c>
      <c r="Y78" s="1493">
        <f t="shared" si="40"/>
        <v>13990</v>
      </c>
      <c r="Z78" s="1494">
        <f t="shared" si="40"/>
        <v>9640</v>
      </c>
      <c r="AA78" s="1494">
        <f t="shared" si="40"/>
        <v>13551</v>
      </c>
      <c r="AB78" s="1490">
        <f t="shared" si="40"/>
        <v>13592</v>
      </c>
      <c r="AC78" s="899">
        <f t="shared" si="40"/>
        <v>10405</v>
      </c>
      <c r="AD78" s="1490">
        <f t="shared" si="40"/>
        <v>11648</v>
      </c>
      <c r="AE78" s="1497">
        <f t="shared" si="40"/>
        <v>9310</v>
      </c>
      <c r="AF78" s="1545">
        <f t="shared" si="40"/>
        <v>10036</v>
      </c>
      <c r="AG78" s="1533">
        <v>8709</v>
      </c>
      <c r="AH78" s="1707">
        <v>11904.520215449407</v>
      </c>
      <c r="AI78" s="1517">
        <f>SUM(AI76:AI77)</f>
        <v>10373.028947262328</v>
      </c>
      <c r="AJ78" s="1530">
        <f>SUM(AJ75:AJ77)</f>
        <v>8983</v>
      </c>
      <c r="AK78" s="1530">
        <f>SUM(AK75:AK77)</f>
        <v>15251</v>
      </c>
      <c r="AL78" s="1530">
        <f t="shared" ref="AL78" si="41">SUM(AL75:AL77)</f>
        <v>10933.84</v>
      </c>
      <c r="AM78" s="1475"/>
      <c r="AN78" s="1515">
        <f t="shared" si="35"/>
        <v>11489.077832542349</v>
      </c>
      <c r="AO78" s="1616">
        <f>(AL78-AK77)/AK77</f>
        <v>-0.28307389679365286</v>
      </c>
      <c r="AP78" s="1616">
        <f t="shared" si="37"/>
        <v>0.95167255017024432</v>
      </c>
      <c r="AR78" s="363"/>
    </row>
    <row r="79" spans="1:44" ht="13.8">
      <c r="A79" s="722" t="s">
        <v>40</v>
      </c>
      <c r="B79" s="1119" t="s">
        <v>36</v>
      </c>
      <c r="C79" s="1145">
        <v>83</v>
      </c>
      <c r="D79" s="1145">
        <v>0</v>
      </c>
      <c r="E79" s="1145">
        <v>161</v>
      </c>
      <c r="F79" s="1145">
        <v>32</v>
      </c>
      <c r="G79" s="1145">
        <v>9</v>
      </c>
      <c r="H79" s="1145">
        <v>7</v>
      </c>
      <c r="I79" s="1145">
        <v>4</v>
      </c>
      <c r="J79" s="1145">
        <v>57</v>
      </c>
      <c r="K79" s="1145">
        <v>1</v>
      </c>
      <c r="L79" s="1145">
        <v>98</v>
      </c>
      <c r="M79" s="1145">
        <v>81</v>
      </c>
      <c r="N79" s="1145">
        <v>109</v>
      </c>
      <c r="O79" s="1145">
        <v>115</v>
      </c>
      <c r="P79" s="1145">
        <v>76</v>
      </c>
      <c r="Q79" s="1145">
        <v>89</v>
      </c>
      <c r="R79" s="1145"/>
      <c r="S79" s="1145">
        <v>33</v>
      </c>
      <c r="T79" s="1145">
        <v>16</v>
      </c>
      <c r="U79" s="1145">
        <v>28</v>
      </c>
      <c r="V79" s="1119">
        <v>23</v>
      </c>
      <c r="W79" s="1145">
        <v>36</v>
      </c>
      <c r="X79" s="1119">
        <v>0</v>
      </c>
      <c r="Y79" s="1145">
        <v>0</v>
      </c>
      <c r="Z79" s="913">
        <v>231</v>
      </c>
      <c r="AA79" s="917">
        <v>1002.38</v>
      </c>
      <c r="AB79" s="909"/>
      <c r="AC79" s="899"/>
      <c r="AD79" s="1490"/>
      <c r="AE79" s="1497"/>
      <c r="AF79" s="1565"/>
      <c r="AG79" s="1529"/>
      <c r="AH79" s="1529"/>
      <c r="AI79" s="1529"/>
      <c r="AJ79" s="1534"/>
      <c r="AK79" s="1534"/>
      <c r="AL79" s="1529"/>
      <c r="AM79" s="1480"/>
      <c r="AN79" s="1515"/>
      <c r="AO79" s="1616"/>
      <c r="AP79" s="1616"/>
      <c r="AR79" s="442"/>
    </row>
    <row r="80" spans="1:44" ht="13.8">
      <c r="A80" s="722"/>
      <c r="B80" s="1119" t="s">
        <v>37</v>
      </c>
      <c r="C80" s="1145">
        <v>94</v>
      </c>
      <c r="D80" s="1145">
        <v>44</v>
      </c>
      <c r="E80" s="1145">
        <v>44</v>
      </c>
      <c r="F80" s="1145">
        <v>59</v>
      </c>
      <c r="G80" s="1145">
        <v>56</v>
      </c>
      <c r="H80" s="1145">
        <v>166</v>
      </c>
      <c r="I80" s="1145">
        <v>172</v>
      </c>
      <c r="J80" s="1145">
        <v>77</v>
      </c>
      <c r="K80" s="1145">
        <v>59</v>
      </c>
      <c r="L80" s="1145">
        <v>87</v>
      </c>
      <c r="M80" s="1145">
        <v>55</v>
      </c>
      <c r="N80" s="1145">
        <v>60</v>
      </c>
      <c r="O80" s="1145">
        <v>134</v>
      </c>
      <c r="P80" s="1145">
        <v>126</v>
      </c>
      <c r="Q80" s="1145">
        <v>111</v>
      </c>
      <c r="R80" s="1145"/>
      <c r="S80" s="1145">
        <v>91</v>
      </c>
      <c r="T80" s="1145">
        <v>137</v>
      </c>
      <c r="U80" s="1145">
        <v>404</v>
      </c>
      <c r="V80" s="1720">
        <v>433</v>
      </c>
      <c r="W80" s="1721">
        <v>433</v>
      </c>
      <c r="X80" s="1721">
        <v>398</v>
      </c>
      <c r="Y80" s="1721">
        <v>54</v>
      </c>
      <c r="Z80" s="913">
        <v>180.21</v>
      </c>
      <c r="AA80" s="1722">
        <v>1002.38</v>
      </c>
      <c r="AB80" s="1723">
        <v>1638.2</v>
      </c>
      <c r="AC80" s="901">
        <v>1703.6</v>
      </c>
      <c r="AD80" s="1490"/>
      <c r="AE80" s="1497"/>
      <c r="AF80" s="1565"/>
      <c r="AG80" s="1529"/>
      <c r="AH80" s="1529"/>
      <c r="AI80" s="1529"/>
      <c r="AJ80" s="1534"/>
      <c r="AK80" s="1534"/>
      <c r="AL80" s="1529"/>
      <c r="AM80" s="1480"/>
      <c r="AN80" s="1515"/>
      <c r="AO80" s="1616"/>
      <c r="AP80" s="1616"/>
    </row>
    <row r="81" spans="1:169" s="13" customFormat="1" ht="13.8">
      <c r="A81" s="728"/>
      <c r="B81" s="716" t="s">
        <v>41</v>
      </c>
      <c r="C81" s="718">
        <f>SUM(C79:C80)</f>
        <v>177</v>
      </c>
      <c r="D81" s="718">
        <f t="shared" ref="D81:AC81" si="42">SUM(D79:D80)</f>
        <v>44</v>
      </c>
      <c r="E81" s="718">
        <f t="shared" si="42"/>
        <v>205</v>
      </c>
      <c r="F81" s="718">
        <f t="shared" si="42"/>
        <v>91</v>
      </c>
      <c r="G81" s="718">
        <f t="shared" si="42"/>
        <v>65</v>
      </c>
      <c r="H81" s="718">
        <f t="shared" si="42"/>
        <v>173</v>
      </c>
      <c r="I81" s="718">
        <f t="shared" si="42"/>
        <v>176</v>
      </c>
      <c r="J81" s="718">
        <f t="shared" si="42"/>
        <v>134</v>
      </c>
      <c r="K81" s="718">
        <f t="shared" si="42"/>
        <v>60</v>
      </c>
      <c r="L81" s="718">
        <f t="shared" si="42"/>
        <v>185</v>
      </c>
      <c r="M81" s="718">
        <f t="shared" si="42"/>
        <v>136</v>
      </c>
      <c r="N81" s="718">
        <f t="shared" si="42"/>
        <v>169</v>
      </c>
      <c r="O81" s="718">
        <f t="shared" si="42"/>
        <v>249</v>
      </c>
      <c r="P81" s="718">
        <f t="shared" si="42"/>
        <v>202</v>
      </c>
      <c r="Q81" s="718">
        <f t="shared" si="42"/>
        <v>200</v>
      </c>
      <c r="R81" s="718">
        <f t="shared" si="42"/>
        <v>0</v>
      </c>
      <c r="S81" s="718">
        <f t="shared" si="42"/>
        <v>124</v>
      </c>
      <c r="T81" s="718">
        <f t="shared" si="42"/>
        <v>153</v>
      </c>
      <c r="U81" s="718">
        <f t="shared" si="42"/>
        <v>432</v>
      </c>
      <c r="V81" s="718">
        <f t="shared" si="42"/>
        <v>456</v>
      </c>
      <c r="W81" s="718">
        <f t="shared" si="42"/>
        <v>469</v>
      </c>
      <c r="X81" s="718">
        <f t="shared" si="42"/>
        <v>398</v>
      </c>
      <c r="Y81" s="718">
        <f t="shared" si="42"/>
        <v>54</v>
      </c>
      <c r="Z81" s="726">
        <f t="shared" si="42"/>
        <v>411.21000000000004</v>
      </c>
      <c r="AA81" s="726">
        <f t="shared" si="42"/>
        <v>2004.76</v>
      </c>
      <c r="AB81" s="729">
        <f t="shared" si="42"/>
        <v>1638.2</v>
      </c>
      <c r="AC81" s="730">
        <f t="shared" si="42"/>
        <v>1703.6</v>
      </c>
      <c r="AD81" s="1490"/>
      <c r="AE81" s="1497"/>
      <c r="AF81" s="1566"/>
      <c r="AG81" s="1534"/>
      <c r="AH81" s="1534"/>
      <c r="AI81" s="1534"/>
      <c r="AJ81" s="1534"/>
      <c r="AK81" s="1534"/>
      <c r="AL81" s="1529"/>
      <c r="AM81" s="1480"/>
      <c r="AN81" s="1515"/>
      <c r="AO81" s="1616"/>
      <c r="AP81" s="1616"/>
    </row>
    <row r="82" spans="1:169" ht="14.4" thickBot="1">
      <c r="A82" s="53" t="s">
        <v>70</v>
      </c>
      <c r="B82" s="49" t="s">
        <v>44</v>
      </c>
      <c r="C82" s="50">
        <f>SUM(C69,C74,C78,C81)</f>
        <v>26908</v>
      </c>
      <c r="D82" s="50">
        <f t="shared" ref="D82:AJ82" si="43">SUM(D69,D74,D78,D81)</f>
        <v>9438</v>
      </c>
      <c r="E82" s="50">
        <f t="shared" si="43"/>
        <v>15848</v>
      </c>
      <c r="F82" s="50">
        <f t="shared" si="43"/>
        <v>14416</v>
      </c>
      <c r="G82" s="50">
        <f t="shared" si="43"/>
        <v>9454</v>
      </c>
      <c r="H82" s="50">
        <f t="shared" si="43"/>
        <v>4693</v>
      </c>
      <c r="I82" s="50">
        <f t="shared" si="43"/>
        <v>4074</v>
      </c>
      <c r="J82" s="50">
        <f t="shared" si="43"/>
        <v>6793</v>
      </c>
      <c r="K82" s="50">
        <f t="shared" si="43"/>
        <v>5553</v>
      </c>
      <c r="L82" s="50">
        <f t="shared" si="43"/>
        <v>20141</v>
      </c>
      <c r="M82" s="50">
        <f t="shared" si="43"/>
        <v>47455</v>
      </c>
      <c r="N82" s="50">
        <f t="shared" si="43"/>
        <v>24223</v>
      </c>
      <c r="O82" s="50">
        <f t="shared" si="43"/>
        <v>72158</v>
      </c>
      <c r="P82" s="50">
        <f t="shared" si="43"/>
        <v>35427.749453051496</v>
      </c>
      <c r="Q82" s="50">
        <f t="shared" si="43"/>
        <v>43048.581912655289</v>
      </c>
      <c r="R82" s="50">
        <f t="shared" si="43"/>
        <v>21515.029740000002</v>
      </c>
      <c r="S82" s="50">
        <f t="shared" si="43"/>
        <v>46948.972622589878</v>
      </c>
      <c r="T82" s="50">
        <f t="shared" si="43"/>
        <v>25648.75</v>
      </c>
      <c r="U82" s="50">
        <f t="shared" si="43"/>
        <v>35622.5</v>
      </c>
      <c r="V82" s="50">
        <f t="shared" si="43"/>
        <v>42761</v>
      </c>
      <c r="W82" s="50">
        <f t="shared" si="43"/>
        <v>62041.779549999992</v>
      </c>
      <c r="X82" s="50">
        <f t="shared" si="43"/>
        <v>27782</v>
      </c>
      <c r="Y82" s="50">
        <f t="shared" si="43"/>
        <v>23443.184534860346</v>
      </c>
      <c r="Z82" s="500">
        <f t="shared" si="43"/>
        <v>11233.21</v>
      </c>
      <c r="AA82" s="500">
        <f t="shared" si="43"/>
        <v>18136.645291031818</v>
      </c>
      <c r="AB82" s="585">
        <f t="shared" si="43"/>
        <v>17521.538229999998</v>
      </c>
      <c r="AC82" s="586">
        <f t="shared" si="43"/>
        <v>14648.212100000001</v>
      </c>
      <c r="AD82" s="1490">
        <f t="shared" si="43"/>
        <v>13888.59078</v>
      </c>
      <c r="AE82" s="1497">
        <f t="shared" si="43"/>
        <v>11653</v>
      </c>
      <c r="AF82" s="1545">
        <f t="shared" si="43"/>
        <v>12526</v>
      </c>
      <c r="AG82" s="1533">
        <f t="shared" si="43"/>
        <v>24506.5102185549</v>
      </c>
      <c r="AH82" s="1533">
        <f t="shared" si="43"/>
        <v>12823.287111959493</v>
      </c>
      <c r="AI82" s="1533">
        <f t="shared" si="43"/>
        <v>20638.185650391126</v>
      </c>
      <c r="AJ82" s="1534">
        <f t="shared" si="43"/>
        <v>15898.111575763462</v>
      </c>
      <c r="AK82" s="1534">
        <f>SUM(AK69,AK74,AK77,AK81)</f>
        <v>21346.043959871069</v>
      </c>
      <c r="AL82" s="1529">
        <f t="shared" ref="AL82" si="44">SUM(AL69,AL74,AL78,AL81)</f>
        <v>30932.077084616118</v>
      </c>
      <c r="AM82" s="1480"/>
      <c r="AN82" s="1889">
        <f t="shared" si="35"/>
        <v>20327.541076520254</v>
      </c>
      <c r="AO82" s="1890">
        <f t="shared" si="36"/>
        <v>0.44907773743772184</v>
      </c>
      <c r="AP82" s="1890">
        <f t="shared" si="37"/>
        <v>1.5216831670971189</v>
      </c>
    </row>
    <row r="83" spans="1:169" ht="14.4" thickTop="1">
      <c r="W83" s="30"/>
      <c r="X83" s="30"/>
      <c r="Z83" s="57">
        <f>SUM(Z79:Z80)</f>
        <v>411.21000000000004</v>
      </c>
      <c r="AF83" s="1535"/>
      <c r="AG83" s="1536"/>
      <c r="AH83" s="1536"/>
      <c r="AI83" s="1536"/>
      <c r="AJ83" s="1492"/>
      <c r="AK83" s="1492"/>
      <c r="AL83" s="1536"/>
      <c r="AM83" s="1475"/>
      <c r="AN83" s="1475"/>
      <c r="AO83" s="1475"/>
      <c r="AP83" s="1475"/>
    </row>
    <row r="84" spans="1:169" ht="13.8">
      <c r="A84" s="1724" t="s">
        <v>71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564"/>
      <c r="Y84" s="564"/>
      <c r="Z84" s="564"/>
      <c r="AA84" s="564"/>
      <c r="AB84" s="580"/>
      <c r="AC84" s="580"/>
      <c r="AD84" s="580"/>
      <c r="AE84" s="826"/>
      <c r="AF84" s="1569"/>
      <c r="AG84" s="1570"/>
      <c r="AH84" s="1570"/>
      <c r="AI84" s="1570"/>
      <c r="AJ84" s="1571"/>
      <c r="AK84" s="1571"/>
      <c r="AL84" s="1570"/>
      <c r="AM84" s="594"/>
      <c r="AN84" s="594"/>
      <c r="AO84" s="594"/>
      <c r="AP84" s="594"/>
    </row>
    <row r="85" spans="1:169">
      <c r="C85" s="1493">
        <v>1990</v>
      </c>
      <c r="D85" s="1493">
        <v>1991</v>
      </c>
      <c r="E85" s="1493">
        <v>1992</v>
      </c>
      <c r="F85" s="1493">
        <v>1993</v>
      </c>
      <c r="G85" s="1493">
        <v>1994</v>
      </c>
      <c r="H85" s="1493">
        <v>1995</v>
      </c>
      <c r="I85" s="1493">
        <v>1996</v>
      </c>
      <c r="J85" s="1493">
        <v>1997</v>
      </c>
      <c r="K85" s="1493">
        <v>1998</v>
      </c>
      <c r="L85" s="1493">
        <v>1999</v>
      </c>
      <c r="M85" s="1493">
        <v>2000</v>
      </c>
      <c r="N85" s="1493">
        <v>2001</v>
      </c>
      <c r="O85" s="1493">
        <v>2002</v>
      </c>
      <c r="P85" s="1493">
        <v>2003</v>
      </c>
      <c r="Q85" s="1493">
        <v>2004</v>
      </c>
      <c r="R85" s="1493">
        <v>2005</v>
      </c>
      <c r="S85" s="1493">
        <v>2006</v>
      </c>
      <c r="T85" s="1493">
        <v>2007</v>
      </c>
      <c r="U85" s="1493">
        <v>2008</v>
      </c>
      <c r="V85" s="1493">
        <v>2009</v>
      </c>
      <c r="W85" s="1493">
        <v>2010</v>
      </c>
      <c r="X85" s="1493">
        <v>2011</v>
      </c>
      <c r="Y85" s="1493">
        <v>2012</v>
      </c>
      <c r="Z85" s="1494">
        <v>2013</v>
      </c>
      <c r="AA85" s="1495">
        <v>2014</v>
      </c>
      <c r="AB85" s="1490">
        <v>2015</v>
      </c>
      <c r="AC85" s="1496">
        <v>2016</v>
      </c>
      <c r="AD85" s="1490">
        <v>2017</v>
      </c>
      <c r="AE85" s="1497">
        <v>2018</v>
      </c>
      <c r="AF85" s="1572">
        <v>2019</v>
      </c>
      <c r="AG85" s="1534">
        <v>2020</v>
      </c>
      <c r="AH85" s="1534">
        <v>2021</v>
      </c>
      <c r="AI85" s="1534">
        <v>2022</v>
      </c>
      <c r="AJ85" s="1534">
        <v>2023</v>
      </c>
      <c r="AK85" s="1534">
        <v>2024</v>
      </c>
      <c r="AL85" s="1529">
        <v>2025</v>
      </c>
      <c r="AM85" s="363"/>
      <c r="AN85" s="1515">
        <f t="shared" si="35"/>
        <v>2023</v>
      </c>
      <c r="AO85" s="1616">
        <f t="shared" si="36"/>
        <v>4.9407114624505926E-4</v>
      </c>
      <c r="AP85" s="1616">
        <f t="shared" si="37"/>
        <v>1.0009886307464162</v>
      </c>
    </row>
    <row r="86" spans="1:169" ht="14.4">
      <c r="A86" s="13" t="s">
        <v>72</v>
      </c>
      <c r="C86" s="718"/>
      <c r="D86" s="718"/>
      <c r="E86" s="718"/>
      <c r="F86" s="718"/>
      <c r="G86" s="718"/>
      <c r="H86" s="718"/>
      <c r="I86" s="718"/>
      <c r="J86" s="718"/>
      <c r="K86" s="718"/>
      <c r="L86" s="718"/>
      <c r="M86" s="718"/>
      <c r="N86" s="718"/>
      <c r="O86" s="718"/>
      <c r="P86" s="718"/>
      <c r="Q86" s="718"/>
      <c r="R86" s="718"/>
      <c r="S86" s="718"/>
      <c r="T86" s="718"/>
      <c r="U86" s="718"/>
      <c r="V86" s="718"/>
      <c r="W86" s="718"/>
      <c r="X86" s="718"/>
      <c r="Y86" s="718"/>
      <c r="Z86" s="726">
        <v>557</v>
      </c>
      <c r="AA86" s="726">
        <v>431</v>
      </c>
      <c r="AB86" s="729">
        <v>630</v>
      </c>
      <c r="AC86" s="729">
        <v>713</v>
      </c>
      <c r="AD86" s="729">
        <v>710</v>
      </c>
      <c r="AE86" s="1498">
        <v>408</v>
      </c>
      <c r="AF86" s="1573">
        <v>494.5</v>
      </c>
      <c r="AG86" s="1579">
        <v>628</v>
      </c>
      <c r="AH86" s="1598">
        <v>274.7</v>
      </c>
      <c r="AI86" s="1520">
        <v>239.00514000000001</v>
      </c>
      <c r="AJ86" s="1520">
        <v>120.08450999999999</v>
      </c>
      <c r="AK86" s="1888">
        <v>40.586299999999994</v>
      </c>
      <c r="AL86" s="1574">
        <v>21.68178</v>
      </c>
      <c r="AM86" s="1482"/>
      <c r="AN86" s="1889">
        <f t="shared" si="35"/>
        <v>139.21154600000003</v>
      </c>
      <c r="AO86" s="1890">
        <f t="shared" si="36"/>
        <v>-0.46578574543626783</v>
      </c>
      <c r="AP86" s="1890">
        <f t="shared" si="37"/>
        <v>0.15574699529592176</v>
      </c>
    </row>
    <row r="87" spans="1:169" ht="13.8">
      <c r="A87" s="1499"/>
      <c r="B87" s="1500"/>
      <c r="C87" s="1499"/>
      <c r="D87" s="1499"/>
      <c r="E87" s="1499"/>
      <c r="F87" s="1499"/>
      <c r="G87" s="1499"/>
      <c r="H87" s="1499"/>
      <c r="I87" s="1499"/>
      <c r="J87" s="1499"/>
      <c r="K87" s="1499"/>
      <c r="L87" s="1499"/>
      <c r="M87" s="1499"/>
      <c r="N87" s="1499"/>
      <c r="O87" s="1499"/>
      <c r="P87" s="1499"/>
      <c r="Q87" s="1499"/>
      <c r="R87" s="1499"/>
      <c r="S87" s="1499"/>
      <c r="T87" s="1499"/>
      <c r="U87" s="1499"/>
      <c r="V87" s="1499"/>
      <c r="W87" s="1499"/>
      <c r="X87" s="1499"/>
      <c r="Y87" s="1499"/>
      <c r="Z87" s="1501"/>
      <c r="AA87" s="1502"/>
      <c r="AB87" s="1503"/>
      <c r="AC87" s="1504"/>
      <c r="AD87" s="1503"/>
      <c r="AE87" s="1505"/>
      <c r="AF87" s="1575"/>
      <c r="AG87" s="1538"/>
      <c r="AH87" s="1538"/>
      <c r="AI87" s="1538"/>
      <c r="AJ87" s="1491"/>
      <c r="AK87" s="1491"/>
      <c r="AL87" s="1538"/>
      <c r="AM87" s="1480"/>
      <c r="AN87" s="211" t="s">
        <v>18</v>
      </c>
      <c r="AO87" s="414" t="s">
        <v>18</v>
      </c>
      <c r="AP87" s="414" t="s">
        <v>18</v>
      </c>
    </row>
    <row r="88" spans="1:169" ht="13.8">
      <c r="A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21"/>
      <c r="AA88" s="380"/>
      <c r="AB88" s="577"/>
      <c r="AC88" s="581"/>
      <c r="AD88" s="577"/>
      <c r="AE88" s="825"/>
      <c r="AF88" s="1537"/>
      <c r="AG88" s="1538"/>
      <c r="AH88" s="1538"/>
      <c r="AI88" s="1538"/>
      <c r="AJ88" s="1491"/>
      <c r="AK88" s="1491"/>
      <c r="AL88" s="1538"/>
      <c r="AM88" s="1480"/>
      <c r="AN88" s="211" t="s">
        <v>18</v>
      </c>
      <c r="AO88" s="414" t="s">
        <v>18</v>
      </c>
      <c r="AP88" s="414" t="s">
        <v>18</v>
      </c>
    </row>
    <row r="89" spans="1:169" ht="13.8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6"/>
      <c r="Z89" s="380"/>
      <c r="AA89" s="380"/>
      <c r="AB89" s="581"/>
      <c r="AF89" s="1535"/>
      <c r="AG89" s="1536"/>
      <c r="AH89" s="1536"/>
      <c r="AI89" s="1536"/>
      <c r="AJ89" s="1492"/>
      <c r="AK89" s="1492"/>
      <c r="AL89" s="1536"/>
      <c r="AM89" s="1475"/>
      <c r="AN89" s="211" t="s">
        <v>18</v>
      </c>
      <c r="AO89" s="414" t="s">
        <v>18</v>
      </c>
      <c r="AP89" s="414" t="s">
        <v>18</v>
      </c>
    </row>
    <row r="90" spans="1:169" ht="14.4" thickBot="1">
      <c r="B90" s="2" t="s">
        <v>73</v>
      </c>
      <c r="W90" s="90"/>
      <c r="X90" s="90"/>
      <c r="Y90" s="13"/>
      <c r="AF90" s="1535"/>
      <c r="AG90" s="1536"/>
      <c r="AH90" s="1536"/>
      <c r="AI90" s="1536"/>
      <c r="AJ90" s="1492"/>
      <c r="AK90" s="1492"/>
      <c r="AL90" s="1536"/>
      <c r="AM90" s="1475"/>
      <c r="AN90" s="1355" t="s">
        <v>1</v>
      </c>
      <c r="AO90" s="414" t="s">
        <v>74</v>
      </c>
      <c r="AP90" s="414" t="s">
        <v>75</v>
      </c>
    </row>
    <row r="91" spans="1:169" s="13" customFormat="1" ht="14.4" thickTop="1">
      <c r="A91" s="28"/>
      <c r="C91" s="28">
        <v>1990</v>
      </c>
      <c r="D91" s="28">
        <v>1991</v>
      </c>
      <c r="E91" s="28">
        <v>1992</v>
      </c>
      <c r="F91" s="28">
        <v>1993</v>
      </c>
      <c r="G91" s="28">
        <v>1994</v>
      </c>
      <c r="H91" s="28">
        <v>1995</v>
      </c>
      <c r="I91" s="28">
        <v>1996</v>
      </c>
      <c r="J91" s="28">
        <v>1997</v>
      </c>
      <c r="K91" s="28">
        <v>1998</v>
      </c>
      <c r="L91" s="28">
        <v>1999</v>
      </c>
      <c r="M91" s="28">
        <v>2000</v>
      </c>
      <c r="N91" s="28">
        <v>2001</v>
      </c>
      <c r="O91" s="28">
        <v>2002</v>
      </c>
      <c r="P91" s="28">
        <v>2003</v>
      </c>
      <c r="Q91" s="28">
        <v>2004</v>
      </c>
      <c r="R91" s="28">
        <v>2005</v>
      </c>
      <c r="S91" s="28">
        <v>2006</v>
      </c>
      <c r="T91" s="28">
        <v>2007</v>
      </c>
      <c r="U91" s="28">
        <v>2008</v>
      </c>
      <c r="V91" s="28">
        <v>2009</v>
      </c>
      <c r="W91" s="28">
        <v>2010</v>
      </c>
      <c r="X91" s="28">
        <v>2011</v>
      </c>
      <c r="Y91" s="28">
        <v>2012</v>
      </c>
      <c r="Z91" s="384">
        <v>2013</v>
      </c>
      <c r="AA91" s="381">
        <v>2014</v>
      </c>
      <c r="AB91" s="592">
        <v>2015</v>
      </c>
      <c r="AC91" s="584">
        <v>2016</v>
      </c>
      <c r="AD91" s="1490">
        <v>2017</v>
      </c>
      <c r="AE91" s="1497">
        <v>2018</v>
      </c>
      <c r="AF91" s="1572">
        <v>2019</v>
      </c>
      <c r="AG91" s="1534">
        <v>2020</v>
      </c>
      <c r="AH91" s="1534">
        <v>2021</v>
      </c>
      <c r="AI91" s="1534">
        <v>2022</v>
      </c>
      <c r="AJ91" s="1534">
        <v>2023</v>
      </c>
      <c r="AK91" s="1534">
        <v>2024</v>
      </c>
      <c r="AL91" s="1529">
        <v>2025</v>
      </c>
      <c r="AM91" s="363"/>
      <c r="AN91" s="1486" t="s">
        <v>18</v>
      </c>
      <c r="AO91" s="414" t="s">
        <v>18</v>
      </c>
      <c r="AP91" s="414" t="s">
        <v>18</v>
      </c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</row>
    <row r="92" spans="1:169" ht="13.8">
      <c r="A92" s="1493" t="s">
        <v>76</v>
      </c>
      <c r="C92" s="1145">
        <v>45069</v>
      </c>
      <c r="D92" s="1145">
        <v>22041</v>
      </c>
      <c r="E92" s="1145">
        <v>36501</v>
      </c>
      <c r="F92" s="1145">
        <v>48237</v>
      </c>
      <c r="G92" s="1145">
        <v>56172</v>
      </c>
      <c r="H92" s="1145">
        <v>71596</v>
      </c>
      <c r="I92" s="1145">
        <v>47766</v>
      </c>
      <c r="J92" s="1145">
        <v>50498</v>
      </c>
      <c r="K92" s="1145">
        <v>85010</v>
      </c>
      <c r="L92" s="1145">
        <v>83157</v>
      </c>
      <c r="M92" s="1145">
        <v>68180</v>
      </c>
      <c r="N92" s="1145">
        <v>69949</v>
      </c>
      <c r="O92" s="1145">
        <v>41362</v>
      </c>
      <c r="P92" s="1145">
        <v>64056.992969353691</v>
      </c>
      <c r="Q92" s="1145">
        <v>169350.40674216379</v>
      </c>
      <c r="R92" s="1145">
        <v>120810.37973799999</v>
      </c>
      <c r="S92" s="1145">
        <v>92390.844504144276</v>
      </c>
      <c r="T92" s="1145">
        <f t="shared" ref="T92:AK92" si="45">T27</f>
        <v>63382.891000000003</v>
      </c>
      <c r="U92" s="1145">
        <f t="shared" si="45"/>
        <v>119679.23699999999</v>
      </c>
      <c r="V92" s="1145">
        <f t="shared" si="45"/>
        <v>119564.69500000001</v>
      </c>
      <c r="W92" s="1493">
        <f t="shared" si="45"/>
        <v>110483</v>
      </c>
      <c r="X92" s="1145">
        <f t="shared" si="45"/>
        <v>67619.957629999975</v>
      </c>
      <c r="Y92" s="1145">
        <f t="shared" si="45"/>
        <v>58559.971318141135</v>
      </c>
      <c r="Z92" s="1146">
        <f t="shared" si="45"/>
        <v>86376.52900000001</v>
      </c>
      <c r="AA92" s="1146">
        <f t="shared" si="45"/>
        <v>105251.61996634172</v>
      </c>
      <c r="AB92" s="1144">
        <f t="shared" si="45"/>
        <v>114969.69578958541</v>
      </c>
      <c r="AC92" s="901">
        <f t="shared" si="45"/>
        <v>160228.81875599996</v>
      </c>
      <c r="AD92" s="1144">
        <f t="shared" si="45"/>
        <v>111654.76164839999</v>
      </c>
      <c r="AE92" s="1635">
        <f t="shared" si="45"/>
        <v>99272.529340000008</v>
      </c>
      <c r="AF92" s="1725">
        <f t="shared" si="45"/>
        <v>75508.67007280972</v>
      </c>
      <c r="AG92" s="1649">
        <f t="shared" si="45"/>
        <v>237626.12519709766</v>
      </c>
      <c r="AH92" s="1649">
        <f t="shared" si="45"/>
        <v>266867.87756267068</v>
      </c>
      <c r="AI92" s="1649">
        <f t="shared" si="45"/>
        <v>55800.288054632299</v>
      </c>
      <c r="AJ92" s="1530">
        <f t="shared" si="45"/>
        <v>145179.35487298231</v>
      </c>
      <c r="AK92" s="1530">
        <f t="shared" si="45"/>
        <v>89444.353637926106</v>
      </c>
      <c r="AL92" s="1517">
        <f t="shared" ref="AL92" si="46">AL27</f>
        <v>117632.87926311046</v>
      </c>
      <c r="AM92" s="1475"/>
      <c r="AN92" s="1515">
        <f>AVERAGE(AH92:AL92)</f>
        <v>134984.95067826437</v>
      </c>
      <c r="AO92" s="1616">
        <f>(AL92-AK92)/AK92</f>
        <v>0.31515153812047764</v>
      </c>
      <c r="AP92" s="1616">
        <f>AL92/AN92</f>
        <v>0.87145180756844187</v>
      </c>
    </row>
    <row r="93" spans="1:169" ht="13.8">
      <c r="A93" s="1493" t="s">
        <v>77</v>
      </c>
      <c r="C93" s="1145">
        <v>59040</v>
      </c>
      <c r="D93" s="1145">
        <v>99396</v>
      </c>
      <c r="E93" s="1145">
        <v>120131</v>
      </c>
      <c r="F93" s="1145">
        <v>105902</v>
      </c>
      <c r="G93" s="1145">
        <v>73291</v>
      </c>
      <c r="H93" s="1145">
        <v>121697</v>
      </c>
      <c r="I93" s="1145">
        <v>90619</v>
      </c>
      <c r="J93" s="1145">
        <v>72813</v>
      </c>
      <c r="K93" s="1145">
        <v>122632</v>
      </c>
      <c r="L93" s="1145">
        <v>83845</v>
      </c>
      <c r="M93" s="1145">
        <v>172113</v>
      </c>
      <c r="N93" s="1145">
        <v>211983</v>
      </c>
      <c r="O93" s="1145">
        <v>153849</v>
      </c>
      <c r="P93" s="1145">
        <v>101375.25757759484</v>
      </c>
      <c r="Q93" s="1145">
        <v>181620.68434518093</v>
      </c>
      <c r="R93" s="1145">
        <v>272334.31854736165</v>
      </c>
      <c r="S93" s="1145">
        <v>256698.18287326588</v>
      </c>
      <c r="T93" s="1145">
        <f t="shared" ref="T93:AD93" si="47">T56</f>
        <v>307041.5</v>
      </c>
      <c r="U93" s="1145">
        <f t="shared" si="47"/>
        <v>401397.02</v>
      </c>
      <c r="V93" s="1145">
        <f t="shared" si="47"/>
        <v>346996</v>
      </c>
      <c r="W93" s="1493">
        <f t="shared" si="47"/>
        <v>352344</v>
      </c>
      <c r="X93" s="1145">
        <f t="shared" si="47"/>
        <v>257200</v>
      </c>
      <c r="Y93" s="1145">
        <f t="shared" si="47"/>
        <v>173484.08404699809</v>
      </c>
      <c r="Z93" s="1146">
        <f t="shared" si="47"/>
        <v>139663.5</v>
      </c>
      <c r="AA93" s="1146">
        <f t="shared" si="47"/>
        <v>223014.43212262643</v>
      </c>
      <c r="AB93" s="1144">
        <f t="shared" si="47"/>
        <v>207364.69373852108</v>
      </c>
      <c r="AC93" s="901">
        <f t="shared" si="47"/>
        <v>235845.42578400002</v>
      </c>
      <c r="AD93" s="1144">
        <f t="shared" si="47"/>
        <v>234736.76780159998</v>
      </c>
      <c r="AE93" s="1635">
        <f t="shared" ref="AE93:AK93" si="48">AE56</f>
        <v>204882.50534000003</v>
      </c>
      <c r="AF93" s="1725">
        <f t="shared" si="48"/>
        <v>245224.37228000001</v>
      </c>
      <c r="AG93" s="1649">
        <f t="shared" si="48"/>
        <v>226458.89181257371</v>
      </c>
      <c r="AH93" s="1649">
        <f t="shared" si="48"/>
        <v>155859.96599070966</v>
      </c>
      <c r="AI93" s="1649">
        <f t="shared" si="48"/>
        <v>197669.52289788151</v>
      </c>
      <c r="AJ93" s="1530">
        <f t="shared" si="48"/>
        <v>152978.74915935253</v>
      </c>
      <c r="AK93" s="1530">
        <f t="shared" si="48"/>
        <v>348116.21024871984</v>
      </c>
      <c r="AL93" s="1517">
        <f t="shared" ref="AL93" si="49">AL56</f>
        <v>384572.69416174496</v>
      </c>
      <c r="AM93" s="1475"/>
      <c r="AN93" s="1515">
        <f t="shared" ref="AN93:AN99" si="50">AVERAGE(AH93:AL93)</f>
        <v>247839.42849168173</v>
      </c>
      <c r="AO93" s="1616">
        <f t="shared" ref="AO93:AO99" si="51">(AL93-AK93)/AK93</f>
        <v>0.10472503962678993</v>
      </c>
      <c r="AP93" s="1616">
        <f t="shared" ref="AP93:AP99" si="52">AL93/AN93</f>
        <v>1.5517010207060433</v>
      </c>
    </row>
    <row r="94" spans="1:169" ht="13.8">
      <c r="A94" s="1493" t="s">
        <v>78</v>
      </c>
      <c r="C94" s="1145">
        <v>26908</v>
      </c>
      <c r="D94" s="1145">
        <v>9438</v>
      </c>
      <c r="E94" s="1145">
        <v>15848</v>
      </c>
      <c r="F94" s="1145">
        <v>14416</v>
      </c>
      <c r="G94" s="1145">
        <v>9454</v>
      </c>
      <c r="H94" s="1145">
        <v>4693</v>
      </c>
      <c r="I94" s="1145">
        <v>4074</v>
      </c>
      <c r="J94" s="1145">
        <v>6793</v>
      </c>
      <c r="K94" s="1145">
        <v>5553</v>
      </c>
      <c r="L94" s="1145">
        <v>20141</v>
      </c>
      <c r="M94" s="1145">
        <v>47455</v>
      </c>
      <c r="N94" s="1145">
        <v>24223</v>
      </c>
      <c r="O94" s="1145">
        <v>72158</v>
      </c>
      <c r="P94" s="1145">
        <v>35427.749453051496</v>
      </c>
      <c r="Q94" s="1145">
        <v>43048.581912655289</v>
      </c>
      <c r="R94" s="1145">
        <v>21515.029740000002</v>
      </c>
      <c r="S94" s="1145">
        <v>46948.972622589878</v>
      </c>
      <c r="T94" s="1145">
        <f t="shared" ref="T94:AD94" si="53">T82</f>
        <v>25648.75</v>
      </c>
      <c r="U94" s="1145">
        <f t="shared" si="53"/>
        <v>35622.5</v>
      </c>
      <c r="V94" s="1145">
        <f t="shared" si="53"/>
        <v>42761</v>
      </c>
      <c r="W94" s="1493">
        <f t="shared" si="53"/>
        <v>62041.779549999992</v>
      </c>
      <c r="X94" s="1145">
        <f t="shared" si="53"/>
        <v>27782</v>
      </c>
      <c r="Y94" s="1145">
        <f t="shared" si="53"/>
        <v>23443.184534860346</v>
      </c>
      <c r="Z94" s="1146">
        <f t="shared" si="53"/>
        <v>11233.21</v>
      </c>
      <c r="AA94" s="1146">
        <f t="shared" si="53"/>
        <v>18136.645291031818</v>
      </c>
      <c r="AB94" s="1146">
        <f t="shared" si="53"/>
        <v>17521.538229999998</v>
      </c>
      <c r="AC94" s="913">
        <f t="shared" si="53"/>
        <v>14648.212100000001</v>
      </c>
      <c r="AD94" s="1146">
        <f t="shared" si="53"/>
        <v>13888.59078</v>
      </c>
      <c r="AE94" s="1146">
        <f t="shared" ref="AE94:AK94" si="54">AE82</f>
        <v>11653</v>
      </c>
      <c r="AF94" s="1530">
        <f t="shared" si="54"/>
        <v>12526</v>
      </c>
      <c r="AG94" s="1530">
        <f t="shared" si="54"/>
        <v>24506.5102185549</v>
      </c>
      <c r="AH94" s="1530">
        <f t="shared" si="54"/>
        <v>12823.287111959493</v>
      </c>
      <c r="AI94" s="1530">
        <f t="shared" si="54"/>
        <v>20638.185650391126</v>
      </c>
      <c r="AJ94" s="1530">
        <f t="shared" si="54"/>
        <v>15898.111575763462</v>
      </c>
      <c r="AK94" s="1530">
        <f t="shared" si="54"/>
        <v>21346.043959871069</v>
      </c>
      <c r="AL94" s="1517">
        <f t="shared" ref="AL94" si="55">AL82</f>
        <v>30932.077084616118</v>
      </c>
      <c r="AM94" s="1475"/>
      <c r="AN94" s="1515">
        <f t="shared" si="50"/>
        <v>20327.541076520254</v>
      </c>
      <c r="AO94" s="1616">
        <f t="shared" si="51"/>
        <v>0.44907773743772184</v>
      </c>
      <c r="AP94" s="1616">
        <f t="shared" si="52"/>
        <v>1.5216831670971189</v>
      </c>
    </row>
    <row r="95" spans="1:169" ht="18">
      <c r="A95" s="1493" t="s">
        <v>79</v>
      </c>
      <c r="C95" s="1145"/>
      <c r="D95" s="1145"/>
      <c r="E95" s="1145"/>
      <c r="F95" s="1145"/>
      <c r="G95" s="1145"/>
      <c r="H95" s="1145"/>
      <c r="I95" s="1145"/>
      <c r="J95" s="1145"/>
      <c r="K95" s="1145"/>
      <c r="L95" s="1145"/>
      <c r="M95" s="1145"/>
      <c r="N95" s="1145"/>
      <c r="O95" s="1145"/>
      <c r="P95" s="1145"/>
      <c r="Q95" s="1145"/>
      <c r="R95" s="1145"/>
      <c r="S95" s="1145"/>
      <c r="T95" s="1601">
        <v>137.91613000000001</v>
      </c>
      <c r="U95" s="1601">
        <v>350.80793000000006</v>
      </c>
      <c r="V95" s="1601">
        <v>276.42574999999999</v>
      </c>
      <c r="W95" s="1601">
        <v>170.96911999999998</v>
      </c>
      <c r="X95" s="1601">
        <v>182.82208999999997</v>
      </c>
      <c r="Y95" s="1601">
        <v>296.36908000000005</v>
      </c>
      <c r="Z95" s="1601">
        <v>582.32308000000023</v>
      </c>
      <c r="AA95" s="1601">
        <v>490.83922000000001</v>
      </c>
      <c r="AB95" s="1601">
        <v>658.04948000000002</v>
      </c>
      <c r="AC95" s="1601">
        <v>726.39735999999982</v>
      </c>
      <c r="AD95" s="1601">
        <v>705.68835999999999</v>
      </c>
      <c r="AE95" s="1601">
        <v>441.31545999999997</v>
      </c>
      <c r="AF95" s="1602">
        <v>491.95770999999996</v>
      </c>
      <c r="AG95" s="1603">
        <v>635.5915399999999</v>
      </c>
      <c r="AH95" s="1603">
        <v>279.51451999999995</v>
      </c>
      <c r="AI95" s="1603">
        <v>239.00514000000001</v>
      </c>
      <c r="AJ95" s="1603">
        <v>120.08450999999999</v>
      </c>
      <c r="AK95" s="1888">
        <v>40.586299999999994</v>
      </c>
      <c r="AL95" s="1574">
        <v>21.68178</v>
      </c>
      <c r="AM95" s="1599"/>
      <c r="AN95" s="1515">
        <f t="shared" si="50"/>
        <v>140.17445000000001</v>
      </c>
      <c r="AO95" s="1616">
        <f t="shared" si="51"/>
        <v>-0.46578574543626783</v>
      </c>
      <c r="AP95" s="1616">
        <f t="shared" si="52"/>
        <v>0.15467711840495896</v>
      </c>
    </row>
    <row r="96" spans="1:169" ht="13.8">
      <c r="A96" s="1493" t="s">
        <v>80</v>
      </c>
      <c r="C96" s="1493">
        <f t="shared" ref="C96:O96" si="56">SUM(C92:C94)</f>
        <v>131017</v>
      </c>
      <c r="D96" s="1493">
        <f t="shared" si="56"/>
        <v>130875</v>
      </c>
      <c r="E96" s="1493">
        <f t="shared" si="56"/>
        <v>172480</v>
      </c>
      <c r="F96" s="1493">
        <f t="shared" si="56"/>
        <v>168555</v>
      </c>
      <c r="G96" s="1493">
        <f t="shared" si="56"/>
        <v>138917</v>
      </c>
      <c r="H96" s="1493">
        <f t="shared" si="56"/>
        <v>197986</v>
      </c>
      <c r="I96" s="1493">
        <f t="shared" si="56"/>
        <v>142459</v>
      </c>
      <c r="J96" s="1493">
        <f t="shared" si="56"/>
        <v>130104</v>
      </c>
      <c r="K96" s="1493">
        <f t="shared" si="56"/>
        <v>213195</v>
      </c>
      <c r="L96" s="1493">
        <f t="shared" si="56"/>
        <v>187143</v>
      </c>
      <c r="M96" s="1493">
        <f t="shared" si="56"/>
        <v>287748</v>
      </c>
      <c r="N96" s="1493">
        <f t="shared" si="56"/>
        <v>306155</v>
      </c>
      <c r="O96" s="1493">
        <f t="shared" si="56"/>
        <v>267369</v>
      </c>
      <c r="P96" s="1493">
        <f>SUM(P92:P94)</f>
        <v>200860</v>
      </c>
      <c r="Q96" s="916">
        <f t="shared" ref="Q96:AA96" si="57">SUM(Q92:Q95)</f>
        <v>394019.67299999995</v>
      </c>
      <c r="R96" s="916">
        <f t="shared" si="57"/>
        <v>414659.72802536166</v>
      </c>
      <c r="S96" s="916">
        <f t="shared" si="57"/>
        <v>396038</v>
      </c>
      <c r="T96" s="916">
        <f t="shared" si="57"/>
        <v>396211.05713000003</v>
      </c>
      <c r="U96" s="916">
        <f t="shared" si="57"/>
        <v>557049.56492999999</v>
      </c>
      <c r="V96" s="916">
        <f t="shared" si="57"/>
        <v>509598.12075</v>
      </c>
      <c r="W96" s="916">
        <f t="shared" si="57"/>
        <v>525039.74867</v>
      </c>
      <c r="X96" s="916">
        <f t="shared" si="57"/>
        <v>352784.77971999993</v>
      </c>
      <c r="Y96" s="916">
        <f t="shared" si="57"/>
        <v>255783.60897999955</v>
      </c>
      <c r="Z96" s="916">
        <f t="shared" si="57"/>
        <v>237855.56208</v>
      </c>
      <c r="AA96" s="916">
        <f t="shared" si="57"/>
        <v>346893.53659999999</v>
      </c>
      <c r="AB96" s="916">
        <f t="shared" ref="AB96:AK96" si="58">SUM(AB92:AB95)</f>
        <v>340513.97723810648</v>
      </c>
      <c r="AC96" s="916">
        <f t="shared" si="58"/>
        <v>411448.85399999999</v>
      </c>
      <c r="AD96" s="1494">
        <f t="shared" si="58"/>
        <v>360985.80858999997</v>
      </c>
      <c r="AE96" s="1494">
        <f t="shared" si="58"/>
        <v>316249.35014000005</v>
      </c>
      <c r="AF96" s="1534">
        <f t="shared" si="58"/>
        <v>333751.00006280973</v>
      </c>
      <c r="AG96" s="1534">
        <f t="shared" si="58"/>
        <v>489227.11876822624</v>
      </c>
      <c r="AH96" s="1534">
        <f t="shared" si="58"/>
        <v>435830.64518533985</v>
      </c>
      <c r="AI96" s="1534">
        <f t="shared" si="58"/>
        <v>274347.00174290501</v>
      </c>
      <c r="AJ96" s="1534">
        <f t="shared" si="58"/>
        <v>314176.30011809833</v>
      </c>
      <c r="AK96" s="1534">
        <f t="shared" si="58"/>
        <v>458947.19414651702</v>
      </c>
      <c r="AL96" s="1529">
        <f t="shared" ref="AL96" si="59">SUM(AL92:AL95)</f>
        <v>533159.33228947152</v>
      </c>
      <c r="AM96" s="1480"/>
      <c r="AN96" s="1889">
        <f t="shared" si="50"/>
        <v>403292.09469646635</v>
      </c>
      <c r="AO96" s="1890">
        <f t="shared" si="51"/>
        <v>0.16170082111726033</v>
      </c>
      <c r="AP96" s="1890">
        <f t="shared" si="52"/>
        <v>1.3220178111617795</v>
      </c>
      <c r="AR96" s="2" t="s">
        <v>18</v>
      </c>
    </row>
    <row r="97" spans="1:43" ht="13.8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6"/>
      <c r="Z97" s="380"/>
      <c r="AA97" s="380"/>
      <c r="AC97" s="581"/>
      <c r="AD97" s="581"/>
      <c r="AE97" s="826"/>
      <c r="AF97" s="1569"/>
      <c r="AG97" s="1570"/>
      <c r="AH97" s="1570"/>
      <c r="AI97" s="1570"/>
      <c r="AJ97" s="1571"/>
      <c r="AK97" s="1571"/>
      <c r="AL97" s="1570"/>
      <c r="AM97" s="594"/>
      <c r="AN97" s="594"/>
      <c r="AO97" s="594"/>
      <c r="AP97" s="594"/>
      <c r="AQ97" s="594"/>
    </row>
    <row r="98" spans="1:43" ht="13.8">
      <c r="A98" s="13" t="s">
        <v>81</v>
      </c>
      <c r="B98" s="13"/>
      <c r="C98" s="1493"/>
      <c r="D98" s="1493"/>
      <c r="E98" s="1493"/>
      <c r="F98" s="1493"/>
      <c r="G98" s="1493"/>
      <c r="H98" s="1493"/>
      <c r="I98" s="1493"/>
      <c r="J98" s="1493"/>
      <c r="K98" s="1493"/>
      <c r="L98" s="1493"/>
      <c r="M98" s="1493"/>
      <c r="N98" s="1493"/>
      <c r="O98" s="1493"/>
      <c r="P98" s="1493"/>
      <c r="Q98" s="1493"/>
      <c r="R98" s="1493"/>
      <c r="S98" s="1493"/>
      <c r="T98" s="1493"/>
      <c r="U98" s="1493"/>
      <c r="V98" s="1604">
        <f t="shared" ref="V98:AA98" si="60">V92+V93</f>
        <v>466560.69500000001</v>
      </c>
      <c r="W98" s="1604">
        <f t="shared" si="60"/>
        <v>462827</v>
      </c>
      <c r="X98" s="1604">
        <f t="shared" si="60"/>
        <v>324819.95762999996</v>
      </c>
      <c r="Y98" s="1604">
        <f t="shared" si="60"/>
        <v>232044.05536513921</v>
      </c>
      <c r="Z98" s="1604">
        <f t="shared" si="60"/>
        <v>226040.02900000001</v>
      </c>
      <c r="AA98" s="1604">
        <f t="shared" si="60"/>
        <v>328266.05208896816</v>
      </c>
      <c r="AB98" s="1605">
        <f t="shared" ref="AB98:AK98" si="61">AB92+AB93</f>
        <v>322334.38952810649</v>
      </c>
      <c r="AC98" s="1605">
        <f t="shared" si="61"/>
        <v>396074.24453999999</v>
      </c>
      <c r="AD98" s="1605">
        <f t="shared" si="61"/>
        <v>346391.52944999997</v>
      </c>
      <c r="AE98" s="1606">
        <f t="shared" si="61"/>
        <v>304155.03468000004</v>
      </c>
      <c r="AF98" s="1607">
        <f t="shared" si="61"/>
        <v>320733.04235280975</v>
      </c>
      <c r="AG98" s="1608">
        <f t="shared" si="61"/>
        <v>464085.01700967137</v>
      </c>
      <c r="AH98" s="1608">
        <f t="shared" si="61"/>
        <v>422727.84355338034</v>
      </c>
      <c r="AI98" s="1608">
        <f t="shared" si="61"/>
        <v>253469.81095251383</v>
      </c>
      <c r="AJ98" s="1609">
        <f t="shared" si="61"/>
        <v>298158.10403233487</v>
      </c>
      <c r="AK98" s="1609">
        <f t="shared" si="61"/>
        <v>437560.56388664595</v>
      </c>
      <c r="AL98" s="1610">
        <f t="shared" ref="AL98" si="62">AL92+AL93</f>
        <v>502205.57342485542</v>
      </c>
      <c r="AM98" s="594"/>
      <c r="AN98" s="1515">
        <f t="shared" si="50"/>
        <v>382824.37916994613</v>
      </c>
      <c r="AO98" s="1616">
        <f t="shared" si="51"/>
        <v>0.14773956995575213</v>
      </c>
      <c r="AP98" s="1616">
        <f t="shared" si="52"/>
        <v>1.3118432387032299</v>
      </c>
    </row>
    <row r="99" spans="1:43" ht="13.8">
      <c r="C99" s="1145"/>
      <c r="D99" s="1145"/>
      <c r="E99" s="1145"/>
      <c r="F99" s="1145"/>
      <c r="G99" s="1145"/>
      <c r="H99" s="1145"/>
      <c r="I99" s="1145"/>
      <c r="J99" s="1145"/>
      <c r="K99" s="1145"/>
      <c r="L99" s="1145"/>
      <c r="M99" s="1145"/>
      <c r="N99" s="1145"/>
      <c r="O99" s="1145"/>
      <c r="P99" s="1145"/>
      <c r="Q99" s="1145"/>
      <c r="R99" s="1145"/>
      <c r="S99" s="1145"/>
      <c r="T99" s="1145"/>
      <c r="U99" s="1145"/>
      <c r="V99" s="1145"/>
      <c r="W99" s="1611" t="s">
        <v>18</v>
      </c>
      <c r="X99" s="1611" t="s">
        <v>18</v>
      </c>
      <c r="Y99" s="1611" t="s">
        <v>18</v>
      </c>
      <c r="Z99" s="1611" t="s">
        <v>18</v>
      </c>
      <c r="AA99" s="1611">
        <f>(AD95-Z95)/Z95</f>
        <v>0.21185023269213321</v>
      </c>
      <c r="AB99" s="1506">
        <f t="shared" ref="AB99:AG99" si="63">AB98/AB96</f>
        <v>0.94661133191226454</v>
      </c>
      <c r="AC99" s="1506">
        <f t="shared" si="63"/>
        <v>0.96263299967776794</v>
      </c>
      <c r="AD99" s="1506">
        <f t="shared" si="63"/>
        <v>0.95957104464298792</v>
      </c>
      <c r="AE99" s="1612">
        <f t="shared" si="63"/>
        <v>0.96175702667959317</v>
      </c>
      <c r="AF99" s="1613">
        <f t="shared" si="63"/>
        <v>0.96099500014217154</v>
      </c>
      <c r="AG99" s="1614">
        <f t="shared" si="63"/>
        <v>0.9486085280352865</v>
      </c>
      <c r="AH99" s="1614">
        <f>AH98/AH96</f>
        <v>0.96993602497505094</v>
      </c>
      <c r="AI99" s="1614">
        <f>AI98/AI96</f>
        <v>0.92390224548560762</v>
      </c>
      <c r="AJ99" s="1615">
        <f>AJ98/AJ96</f>
        <v>0.949015262832549</v>
      </c>
      <c r="AK99" s="1615">
        <f>AK98/AK96</f>
        <v>0.95340067325252353</v>
      </c>
      <c r="AL99" s="1616">
        <f>AL98/AL96</f>
        <v>0.9419427608409372</v>
      </c>
      <c r="AM99" s="1483"/>
      <c r="AN99" s="1889">
        <f t="shared" si="50"/>
        <v>0.94763939347733361</v>
      </c>
      <c r="AO99" s="1890">
        <f t="shared" si="51"/>
        <v>-1.2017940340337397E-2</v>
      </c>
      <c r="AP99" s="1890">
        <f t="shared" si="52"/>
        <v>0.99398860719002746</v>
      </c>
    </row>
    <row r="100" spans="1:43" ht="13.8">
      <c r="AB100" s="575">
        <v>4</v>
      </c>
      <c r="AF100" s="1535"/>
      <c r="AG100" s="1536"/>
      <c r="AH100" s="1536"/>
      <c r="AI100" s="1536"/>
      <c r="AJ100" s="1492"/>
      <c r="AK100" s="1536"/>
      <c r="AL100" s="1536"/>
      <c r="AM100" s="1475"/>
      <c r="AO100" s="414" t="s">
        <v>18</v>
      </c>
      <c r="AP100" s="414" t="s">
        <v>18</v>
      </c>
    </row>
    <row r="101" spans="1:43" ht="13.8">
      <c r="AF101" s="1535"/>
      <c r="AG101" s="1536"/>
      <c r="AH101" s="1536"/>
      <c r="AI101" s="1536"/>
      <c r="AJ101" s="1492"/>
      <c r="AK101" s="1536"/>
      <c r="AL101" s="1536"/>
      <c r="AM101" s="1475"/>
      <c r="AO101" s="57"/>
      <c r="AP101" s="57"/>
    </row>
    <row r="102" spans="1:43" ht="13.8">
      <c r="AF102" s="1535"/>
      <c r="AG102" s="1536"/>
      <c r="AH102" s="1536"/>
      <c r="AI102" s="1536"/>
      <c r="AJ102" s="1492"/>
      <c r="AK102" s="1536"/>
      <c r="AL102" s="1536"/>
      <c r="AM102" s="1475"/>
      <c r="AO102" s="57"/>
      <c r="AP102" s="57"/>
    </row>
    <row r="103" spans="1:43" ht="13.8">
      <c r="AF103" s="1535"/>
      <c r="AG103" s="1536"/>
      <c r="AH103" s="1536"/>
      <c r="AI103" s="1536"/>
      <c r="AJ103" s="1492"/>
      <c r="AK103" s="1536"/>
      <c r="AL103" s="1536"/>
      <c r="AM103" s="1475"/>
      <c r="AO103" s="57"/>
      <c r="AP103" s="57"/>
    </row>
    <row r="104" spans="1:43" ht="13.8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6"/>
      <c r="Z104" s="380"/>
      <c r="AA104" s="380"/>
      <c r="AC104" s="581"/>
      <c r="AD104" s="581"/>
      <c r="AE104" s="832"/>
      <c r="AF104" s="1569"/>
      <c r="AG104" s="1570"/>
      <c r="AH104" s="1570"/>
      <c r="AI104" s="1570"/>
      <c r="AJ104" s="1571"/>
      <c r="AK104" s="1570"/>
      <c r="AL104" s="1570"/>
      <c r="AM104" s="594"/>
      <c r="AN104" s="594"/>
      <c r="AO104" s="1640"/>
      <c r="AP104" s="414"/>
    </row>
    <row r="105" spans="1:43" ht="25.2">
      <c r="A105" s="93"/>
      <c r="T105" s="30"/>
      <c r="U105" s="30"/>
      <c r="W105" s="131"/>
      <c r="X105" s="131"/>
      <c r="Y105" s="30"/>
      <c r="AF105" s="1535"/>
      <c r="AG105" s="1536"/>
      <c r="AH105" s="1536"/>
      <c r="AI105" s="1536"/>
      <c r="AJ105" s="1492"/>
      <c r="AK105" s="1536"/>
      <c r="AL105" s="1536"/>
      <c r="AM105" s="1475"/>
      <c r="AO105" s="57"/>
      <c r="AP105" s="57"/>
    </row>
    <row r="106" spans="1:43" ht="13.8">
      <c r="T106" s="91"/>
      <c r="U106" s="30"/>
      <c r="V106" s="30"/>
      <c r="W106" s="131"/>
      <c r="X106" s="131"/>
      <c r="AF106" s="1535"/>
      <c r="AG106" s="1536"/>
      <c r="AH106" s="1536"/>
      <c r="AI106" s="1536"/>
      <c r="AJ106" s="1492"/>
      <c r="AK106" s="1536"/>
      <c r="AL106" s="1536"/>
      <c r="AM106" s="1475"/>
      <c r="AO106" s="57"/>
      <c r="AP106" s="57"/>
    </row>
    <row r="107" spans="1:43" ht="13.8">
      <c r="B107" s="399" t="s">
        <v>82</v>
      </c>
      <c r="C107" s="450"/>
      <c r="D107" s="450"/>
      <c r="E107" s="450"/>
      <c r="F107" s="450"/>
      <c r="G107" s="450"/>
      <c r="H107" s="92"/>
      <c r="I107" s="92"/>
      <c r="J107" s="92"/>
      <c r="K107" s="92"/>
      <c r="AF107" s="1535"/>
      <c r="AG107" s="1536"/>
      <c r="AH107" s="1536"/>
      <c r="AI107" s="1536"/>
      <c r="AJ107" s="1492"/>
      <c r="AK107" s="1536"/>
      <c r="AL107" s="1536"/>
      <c r="AM107" s="1475"/>
    </row>
    <row r="108" spans="1:43" ht="14.4" thickBot="1">
      <c r="B108" s="450"/>
      <c r="C108" s="450"/>
      <c r="D108" s="450"/>
      <c r="E108" s="450"/>
      <c r="F108" s="450"/>
      <c r="G108" s="450"/>
      <c r="U108" s="91"/>
      <c r="X108" s="30"/>
      <c r="Y108" s="30"/>
      <c r="AF108" s="1535"/>
      <c r="AG108" s="1536"/>
      <c r="AH108" s="1536"/>
      <c r="AI108" s="1536"/>
      <c r="AJ108" s="1492"/>
      <c r="AK108" s="1536"/>
      <c r="AL108" s="1536"/>
      <c r="AM108" s="1475"/>
    </row>
    <row r="109" spans="1:43" ht="14.4" thickTop="1">
      <c r="B109" s="400" t="s">
        <v>83</v>
      </c>
      <c r="C109" s="401" t="s">
        <v>5</v>
      </c>
      <c r="D109" s="401">
        <v>2013</v>
      </c>
      <c r="E109" s="401">
        <v>2014</v>
      </c>
      <c r="F109" s="401">
        <v>2015</v>
      </c>
      <c r="G109" s="401">
        <v>2016</v>
      </c>
      <c r="AF109" s="1535"/>
      <c r="AG109" s="1536"/>
      <c r="AH109" s="1536"/>
      <c r="AI109" s="1536"/>
      <c r="AJ109" s="1492"/>
      <c r="AK109" s="1536"/>
      <c r="AL109" s="1536"/>
      <c r="AM109" s="1475"/>
    </row>
    <row r="110" spans="1:43" ht="13.8">
      <c r="B110" s="1724" t="s">
        <v>71</v>
      </c>
      <c r="C110" s="1724" t="s">
        <v>84</v>
      </c>
      <c r="D110" s="1724">
        <v>557</v>
      </c>
      <c r="E110" s="1724">
        <v>431</v>
      </c>
      <c r="F110" s="1724">
        <v>630</v>
      </c>
      <c r="G110" s="1724">
        <v>713</v>
      </c>
      <c r="AA110" s="383"/>
      <c r="AB110" s="582"/>
      <c r="AC110" s="582"/>
      <c r="AD110" s="582"/>
      <c r="AE110" s="827"/>
      <c r="AF110" s="1577"/>
      <c r="AG110" s="1556"/>
      <c r="AH110" s="1556"/>
      <c r="AI110" s="1556"/>
      <c r="AJ110" s="1576"/>
      <c r="AK110" s="1556"/>
      <c r="AL110" s="1556"/>
      <c r="AM110" s="1483"/>
      <c r="AN110" s="595"/>
    </row>
    <row r="111" spans="1:43" ht="13.8">
      <c r="B111" s="450"/>
      <c r="C111" s="450"/>
      <c r="D111" s="450"/>
      <c r="E111" s="450"/>
      <c r="F111" s="450"/>
      <c r="G111" s="450"/>
      <c r="S111" s="91"/>
      <c r="V111" s="91"/>
      <c r="W111" s="91"/>
      <c r="X111" s="91"/>
      <c r="Y111" s="91"/>
      <c r="AF111" s="1535"/>
      <c r="AG111" s="1536"/>
      <c r="AH111" s="1536"/>
      <c r="AI111" s="1536"/>
      <c r="AJ111" s="1492"/>
      <c r="AK111" s="1536"/>
      <c r="AL111" s="1536"/>
      <c r="AM111" s="1475"/>
    </row>
    <row r="112" spans="1:43" ht="13.8">
      <c r="B112" s="450"/>
      <c r="C112" s="450"/>
      <c r="D112" s="450"/>
      <c r="E112" s="450"/>
      <c r="F112" s="450"/>
      <c r="G112" s="450"/>
      <c r="S112" s="91"/>
      <c r="AF112" s="1535"/>
      <c r="AG112" s="1536"/>
      <c r="AH112" s="1536"/>
      <c r="AI112" s="1536"/>
      <c r="AJ112" s="1492"/>
      <c r="AK112" s="1536"/>
      <c r="AL112" s="1536"/>
      <c r="AM112" s="1475"/>
    </row>
    <row r="113" spans="1:39" ht="13.8">
      <c r="B113" s="399" t="s">
        <v>85</v>
      </c>
      <c r="C113" s="450"/>
      <c r="D113" s="450"/>
      <c r="E113" s="450"/>
      <c r="F113" s="450"/>
      <c r="G113" s="450"/>
      <c r="S113" s="91"/>
      <c r="AF113" s="1535"/>
      <c r="AG113" s="1536"/>
      <c r="AH113" s="1536"/>
      <c r="AI113" s="1536"/>
      <c r="AJ113" s="1492"/>
      <c r="AK113" s="1536"/>
      <c r="AL113" s="1536"/>
      <c r="AM113" s="1475"/>
    </row>
    <row r="114" spans="1:39" ht="14.4" thickBot="1">
      <c r="B114" s="450"/>
      <c r="C114" s="450"/>
      <c r="D114" s="450"/>
      <c r="E114" s="450"/>
      <c r="F114" s="450"/>
      <c r="G114" s="450"/>
      <c r="AF114" s="1535"/>
      <c r="AG114" s="1536"/>
      <c r="AH114" s="1536"/>
      <c r="AI114" s="1536"/>
      <c r="AJ114" s="1492"/>
      <c r="AK114" s="1536"/>
      <c r="AL114" s="1536"/>
      <c r="AM114" s="1475"/>
    </row>
    <row r="115" spans="1:39" ht="14.4" thickTop="1">
      <c r="B115" s="400" t="s">
        <v>83</v>
      </c>
      <c r="C115" s="401" t="s">
        <v>5</v>
      </c>
      <c r="D115" s="401">
        <v>2013</v>
      </c>
      <c r="E115" s="401">
        <v>2014</v>
      </c>
      <c r="F115" s="401">
        <v>2015</v>
      </c>
      <c r="G115" s="401">
        <v>2016</v>
      </c>
      <c r="AJ115" s="1131"/>
      <c r="AK115" s="1475"/>
      <c r="AL115" s="1475"/>
      <c r="AM115" s="1475"/>
    </row>
    <row r="116" spans="1:39" ht="13.8">
      <c r="A116" s="13"/>
      <c r="B116" s="1724" t="s">
        <v>71</v>
      </c>
      <c r="C116" s="1724" t="s">
        <v>84</v>
      </c>
      <c r="D116" s="1724">
        <v>2155</v>
      </c>
      <c r="E116" s="1724">
        <v>1295</v>
      </c>
      <c r="F116" s="1724">
        <v>1667</v>
      </c>
      <c r="G116" s="1724">
        <v>1565</v>
      </c>
      <c r="AJ116" s="1131"/>
      <c r="AK116" s="1475"/>
      <c r="AL116" s="1475"/>
      <c r="AM116" s="1475"/>
    </row>
    <row r="117" spans="1:39" ht="13.8">
      <c r="B117" s="450"/>
      <c r="C117" s="450"/>
      <c r="D117" s="450"/>
      <c r="E117" s="450"/>
      <c r="F117" s="450"/>
      <c r="G117" s="450"/>
      <c r="AJ117" s="1131"/>
      <c r="AK117" s="1475"/>
      <c r="AL117" s="1475"/>
      <c r="AM117" s="1475"/>
    </row>
    <row r="118" spans="1:39" ht="13.8">
      <c r="AJ118" s="1131"/>
      <c r="AK118" s="1475"/>
      <c r="AL118" s="1475"/>
      <c r="AM118" s="1475"/>
    </row>
    <row r="119" spans="1:39" ht="13.8">
      <c r="AJ119" s="1131"/>
      <c r="AK119" s="1475"/>
      <c r="AL119" s="1475"/>
      <c r="AM119" s="1475"/>
    </row>
    <row r="120" spans="1:39" ht="13.8">
      <c r="AJ120" s="1131"/>
      <c r="AK120" s="1475"/>
      <c r="AL120" s="1475"/>
      <c r="AM120" s="1475"/>
    </row>
    <row r="121" spans="1:39" ht="13.8">
      <c r="AJ121" s="1131"/>
      <c r="AK121" s="1475"/>
      <c r="AL121" s="1475"/>
      <c r="AM121" s="1475"/>
    </row>
    <row r="122" spans="1:39" ht="13.8">
      <c r="AJ122" s="1131"/>
      <c r="AK122" s="1475"/>
      <c r="AL122" s="1475"/>
      <c r="AM122" s="1475"/>
    </row>
    <row r="123" spans="1:39" ht="13.8">
      <c r="AJ123" s="1131"/>
      <c r="AK123" s="1475"/>
      <c r="AL123" s="1475"/>
      <c r="AM123" s="1475"/>
    </row>
    <row r="124" spans="1:39" ht="13.8">
      <c r="AJ124" s="1131"/>
      <c r="AK124" s="1475"/>
      <c r="AL124" s="1475"/>
      <c r="AM124" s="1475"/>
    </row>
    <row r="125" spans="1:39" ht="13.8">
      <c r="AJ125" s="1131"/>
      <c r="AK125" s="1475"/>
      <c r="AL125" s="1475"/>
      <c r="AM125" s="1475"/>
    </row>
    <row r="126" spans="1:39" ht="13.8">
      <c r="AJ126" s="1131"/>
      <c r="AK126" s="1475"/>
      <c r="AL126" s="1475"/>
      <c r="AM126" s="1475"/>
    </row>
    <row r="127" spans="1:39">
      <c r="S127" s="13" t="s">
        <v>86</v>
      </c>
    </row>
    <row r="129" spans="1:32">
      <c r="AE129" s="575"/>
      <c r="AF129" s="593"/>
    </row>
    <row r="130" spans="1:32">
      <c r="N130" s="2" t="s">
        <v>87</v>
      </c>
      <c r="AE130" s="575"/>
      <c r="AF130" s="593"/>
    </row>
    <row r="131" spans="1:32">
      <c r="AE131" s="575"/>
      <c r="AF131" s="593"/>
    </row>
    <row r="132" spans="1:32">
      <c r="AE132" s="575"/>
      <c r="AF132" s="593"/>
    </row>
    <row r="133" spans="1:32">
      <c r="AE133" s="575"/>
      <c r="AF133" s="593"/>
    </row>
    <row r="134" spans="1:32">
      <c r="AE134" s="575"/>
      <c r="AF134" s="593"/>
    </row>
    <row r="135" spans="1:32">
      <c r="AE135" s="575"/>
      <c r="AF135" s="593"/>
    </row>
    <row r="136" spans="1:32">
      <c r="Y136" s="380"/>
      <c r="Z136" s="380"/>
      <c r="AA136" s="380"/>
      <c r="AB136" s="577"/>
      <c r="AC136" s="577"/>
      <c r="AE136" s="575"/>
      <c r="AF136" s="593"/>
    </row>
    <row r="137" spans="1:32">
      <c r="A137" s="13"/>
      <c r="AE137" s="575"/>
      <c r="AF137" s="593"/>
    </row>
    <row r="138" spans="1:32">
      <c r="Z138" s="2"/>
      <c r="AA138" s="2"/>
      <c r="AB138" s="576"/>
      <c r="AC138" s="576"/>
      <c r="AE138" s="575"/>
      <c r="AF138" s="593"/>
    </row>
    <row r="139" spans="1:32">
      <c r="AE139" s="575"/>
      <c r="AF139" s="593"/>
    </row>
    <row r="140" spans="1:32">
      <c r="AE140" s="575"/>
      <c r="AF140" s="593"/>
    </row>
    <row r="141" spans="1:32">
      <c r="Y141" s="360"/>
      <c r="Z141" s="360"/>
      <c r="AA141" s="360"/>
      <c r="AB141" s="1600"/>
      <c r="AC141" s="1600"/>
      <c r="AE141" s="575"/>
      <c r="AF141" s="593"/>
    </row>
    <row r="142" spans="1:32">
      <c r="AE142" s="575"/>
      <c r="AF142" s="593"/>
    </row>
    <row r="143" spans="1:32">
      <c r="AE143" s="575"/>
      <c r="AF143" s="593"/>
    </row>
    <row r="144" spans="1:32">
      <c r="AE144" s="575"/>
      <c r="AF144" s="593"/>
    </row>
    <row r="145" spans="29:32" ht="13.8">
      <c r="AE145" s="575"/>
      <c r="AF145" s="414"/>
    </row>
    <row r="146" spans="29:32" ht="13.8">
      <c r="AC146" s="2"/>
      <c r="AD146" s="2"/>
      <c r="AE146" s="1486"/>
      <c r="AF146" s="414"/>
    </row>
    <row r="147" spans="29:32">
      <c r="AE147" s="575"/>
      <c r="AF147" s="1479"/>
    </row>
    <row r="148" spans="29:32">
      <c r="AE148" s="575"/>
      <c r="AF148" s="593"/>
    </row>
    <row r="149" spans="29:32">
      <c r="AE149" s="575"/>
      <c r="AF149" s="593"/>
    </row>
    <row r="150" spans="29:32">
      <c r="AE150" s="575"/>
      <c r="AF150" s="593"/>
    </row>
    <row r="151" spans="29:32">
      <c r="AE151" s="575"/>
      <c r="AF151" s="593"/>
    </row>
    <row r="152" spans="29:32">
      <c r="AE152" s="575"/>
      <c r="AF152" s="593"/>
    </row>
    <row r="153" spans="29:32">
      <c r="AE153" s="575"/>
      <c r="AF153" s="593"/>
    </row>
    <row r="154" spans="29:32">
      <c r="AE154" s="575"/>
      <c r="AF154" s="593"/>
    </row>
    <row r="155" spans="29:32">
      <c r="AE155" s="575"/>
      <c r="AF155" s="593"/>
    </row>
    <row r="156" spans="29:32">
      <c r="AE156" s="575"/>
      <c r="AF156" s="593"/>
    </row>
    <row r="157" spans="29:32">
      <c r="AE157" s="575"/>
      <c r="AF157" s="593"/>
    </row>
    <row r="158" spans="29:32">
      <c r="AE158" s="575"/>
      <c r="AF158" s="593"/>
    </row>
    <row r="159" spans="29:32">
      <c r="AE159" s="575"/>
      <c r="AF159" s="593"/>
    </row>
    <row r="160" spans="29:32">
      <c r="AE160" s="575"/>
      <c r="AF160" s="593"/>
    </row>
    <row r="161" spans="31:32">
      <c r="AE161" s="575"/>
      <c r="AF161" s="593"/>
    </row>
    <row r="162" spans="31:32">
      <c r="AE162" s="575"/>
      <c r="AF162" s="593"/>
    </row>
    <row r="163" spans="31:32">
      <c r="AE163" s="575"/>
      <c r="AF163" s="593"/>
    </row>
    <row r="164" spans="31:32">
      <c r="AE164" s="575"/>
      <c r="AF164" s="593"/>
    </row>
    <row r="165" spans="31:32">
      <c r="AE165" s="575"/>
      <c r="AF165" s="593"/>
    </row>
    <row r="166" spans="31:32">
      <c r="AE166" s="575"/>
      <c r="AF166" s="593"/>
    </row>
    <row r="167" spans="31:32">
      <c r="AE167" s="575"/>
      <c r="AF167" s="593"/>
    </row>
    <row r="168" spans="31:32">
      <c r="AE168" s="575"/>
      <c r="AF168" s="593"/>
    </row>
    <row r="169" spans="31:32">
      <c r="AE169" s="575"/>
      <c r="AF169" s="593"/>
    </row>
    <row r="170" spans="31:32">
      <c r="AE170" s="575"/>
      <c r="AF170" s="593"/>
    </row>
    <row r="171" spans="31:32">
      <c r="AE171" s="575"/>
      <c r="AF171" s="593"/>
    </row>
    <row r="172" spans="31:32">
      <c r="AE172" s="575"/>
      <c r="AF172" s="593"/>
    </row>
    <row r="173" spans="31:32">
      <c r="AE173" s="575"/>
      <c r="AF173" s="593"/>
    </row>
    <row r="174" spans="31:32">
      <c r="AE174" s="575"/>
      <c r="AF174" s="593"/>
    </row>
    <row r="175" spans="31:32">
      <c r="AE175" s="575"/>
      <c r="AF175" s="593"/>
    </row>
    <row r="176" spans="31:32">
      <c r="AE176" s="575"/>
      <c r="AF176" s="593"/>
    </row>
    <row r="177" spans="31:32">
      <c r="AE177" s="575"/>
      <c r="AF177" s="593"/>
    </row>
    <row r="178" spans="31:32">
      <c r="AE178" s="575"/>
      <c r="AF178" s="593"/>
    </row>
    <row r="179" spans="31:32">
      <c r="AE179" s="575"/>
      <c r="AF179" s="593"/>
    </row>
    <row r="180" spans="31:32">
      <c r="AE180" s="575"/>
      <c r="AF180" s="593"/>
    </row>
    <row r="181" spans="31:32">
      <c r="AE181" s="575"/>
      <c r="AF181" s="593"/>
    </row>
    <row r="182" spans="31:32">
      <c r="AE182" s="575"/>
      <c r="AF182" s="593"/>
    </row>
    <row r="183" spans="31:32">
      <c r="AE183" s="575"/>
      <c r="AF183" s="593"/>
    </row>
    <row r="184" spans="31:32">
      <c r="AE184" s="575"/>
      <c r="AF184" s="593"/>
    </row>
    <row r="185" spans="31:32">
      <c r="AE185" s="575"/>
      <c r="AF185" s="593"/>
    </row>
    <row r="186" spans="31:32">
      <c r="AE186" s="575"/>
      <c r="AF186" s="593"/>
    </row>
    <row r="187" spans="31:32">
      <c r="AE187" s="575"/>
      <c r="AF187" s="593"/>
    </row>
    <row r="188" spans="31:32">
      <c r="AE188" s="575"/>
      <c r="AF188" s="593"/>
    </row>
    <row r="189" spans="31:32">
      <c r="AE189" s="575"/>
      <c r="AF189" s="593"/>
    </row>
    <row r="190" spans="31:32">
      <c r="AE190" s="575"/>
      <c r="AF190" s="593"/>
    </row>
    <row r="191" spans="31:32">
      <c r="AE191" s="575"/>
      <c r="AF191" s="593"/>
    </row>
    <row r="192" spans="31:32">
      <c r="AE192" s="575"/>
      <c r="AF192" s="593"/>
    </row>
    <row r="193" spans="31:32">
      <c r="AE193" s="575"/>
      <c r="AF193" s="593"/>
    </row>
    <row r="194" spans="31:32">
      <c r="AE194" s="575"/>
      <c r="AF194" s="593"/>
    </row>
    <row r="195" spans="31:32">
      <c r="AE195" s="575"/>
      <c r="AF195" s="593"/>
    </row>
    <row r="196" spans="31:32">
      <c r="AE196" s="575"/>
      <c r="AF196" s="593"/>
    </row>
    <row r="197" spans="31:32">
      <c r="AE197" s="575"/>
      <c r="AF197" s="593"/>
    </row>
    <row r="198" spans="31:32">
      <c r="AE198" s="575"/>
      <c r="AF198" s="593"/>
    </row>
    <row r="199" spans="31:32">
      <c r="AE199" s="575"/>
      <c r="AF199" s="593"/>
    </row>
    <row r="200" spans="31:32">
      <c r="AE200" s="575"/>
      <c r="AF200" s="593"/>
    </row>
    <row r="201" spans="31:32">
      <c r="AE201" s="575"/>
      <c r="AF201" s="593"/>
    </row>
    <row r="202" spans="31:32">
      <c r="AE202" s="575"/>
      <c r="AF202" s="593"/>
    </row>
    <row r="203" spans="31:32">
      <c r="AE203" s="575"/>
      <c r="AF203" s="593"/>
    </row>
    <row r="204" spans="31:32">
      <c r="AE204" s="575"/>
      <c r="AF204" s="593"/>
    </row>
    <row r="205" spans="31:32">
      <c r="AE205" s="575"/>
      <c r="AF205" s="593"/>
    </row>
    <row r="206" spans="31:32">
      <c r="AE206" s="575"/>
      <c r="AF206" s="593"/>
    </row>
    <row r="207" spans="31:32">
      <c r="AE207" s="575"/>
      <c r="AF207" s="593"/>
    </row>
    <row r="208" spans="31:32">
      <c r="AE208" s="575"/>
      <c r="AF208" s="593"/>
    </row>
    <row r="209" spans="31:32">
      <c r="AE209" s="575"/>
      <c r="AF209" s="593"/>
    </row>
    <row r="210" spans="31:32">
      <c r="AE210" s="575"/>
      <c r="AF210" s="593"/>
    </row>
    <row r="211" spans="31:32">
      <c r="AE211" s="575"/>
      <c r="AF211" s="593"/>
    </row>
    <row r="212" spans="31:32">
      <c r="AE212" s="575"/>
      <c r="AF212" s="593"/>
    </row>
    <row r="213" spans="31:32">
      <c r="AE213" s="575"/>
      <c r="AF213" s="593"/>
    </row>
    <row r="214" spans="31:32">
      <c r="AE214" s="575"/>
      <c r="AF214" s="593"/>
    </row>
    <row r="215" spans="31:32">
      <c r="AE215" s="575"/>
      <c r="AF215" s="593"/>
    </row>
    <row r="216" spans="31:32">
      <c r="AE216" s="575"/>
      <c r="AF216" s="593"/>
    </row>
    <row r="217" spans="31:32">
      <c r="AE217" s="575"/>
      <c r="AF217" s="593"/>
    </row>
    <row r="218" spans="31:32">
      <c r="AE218" s="575"/>
      <c r="AF218" s="593"/>
    </row>
    <row r="219" spans="31:32">
      <c r="AE219" s="575"/>
      <c r="AF219" s="593"/>
    </row>
    <row r="220" spans="31:32">
      <c r="AE220" s="575"/>
      <c r="AF220" s="593"/>
    </row>
    <row r="221" spans="31:32">
      <c r="AE221" s="575"/>
      <c r="AF221" s="593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horizontalDpi="4294967295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W55"/>
  <sheetViews>
    <sheetView zoomScale="106" zoomScaleNormal="106" workbookViewId="0">
      <pane xSplit="4" topLeftCell="AN1" activePane="topRight" state="frozen"/>
      <selection pane="topRight" activeCell="AO23" sqref="AO23"/>
    </sheetView>
  </sheetViews>
  <sheetFormatPr defaultColWidth="9.109375" defaultRowHeight="13.2"/>
  <cols>
    <col min="1" max="1" width="9.109375" style="1" customWidth="1"/>
    <col min="2" max="2" width="16.5546875" style="1" customWidth="1"/>
    <col min="3" max="3" width="28.109375" style="1" customWidth="1"/>
    <col min="4" max="4" width="18.88671875" style="1" customWidth="1"/>
    <col min="5" max="5" width="10.88671875" style="1" bestFit="1" customWidth="1"/>
    <col min="6" max="6" width="9" style="1" customWidth="1"/>
    <col min="7" max="7" width="6.6640625" style="1" customWidth="1"/>
    <col min="8" max="8" width="6.44140625" style="1" customWidth="1"/>
    <col min="9" max="9" width="9" style="1" customWidth="1"/>
    <col min="10" max="10" width="7.33203125" style="1" customWidth="1"/>
    <col min="11" max="11" width="6.33203125" style="1" customWidth="1"/>
    <col min="12" max="12" width="7.6640625" style="1" customWidth="1"/>
    <col min="13" max="14" width="7.33203125" style="1" customWidth="1"/>
    <col min="15" max="15" width="11.109375" style="1" customWidth="1"/>
    <col min="16" max="16" width="6.33203125" style="1" customWidth="1"/>
    <col min="17" max="17" width="6.44140625" style="1" customWidth="1"/>
    <col min="18" max="18" width="6.33203125" style="1" customWidth="1"/>
    <col min="19" max="19" width="6.109375" style="1" customWidth="1"/>
    <col min="20" max="20" width="6.33203125" style="1" customWidth="1"/>
    <col min="21" max="21" width="6.6640625" style="1" customWidth="1"/>
    <col min="22" max="22" width="7.33203125" style="1" customWidth="1"/>
    <col min="23" max="23" width="6.33203125" style="1" customWidth="1"/>
    <col min="24" max="24" width="7.33203125" style="1" customWidth="1"/>
    <col min="25" max="25" width="7" style="1" customWidth="1"/>
    <col min="26" max="26" width="6.88671875" style="1" customWidth="1"/>
    <col min="27" max="27" width="9.109375" style="1"/>
    <col min="28" max="30" width="6" style="29" bestFit="1" customWidth="1"/>
    <col min="31" max="31" width="6" style="29" customWidth="1"/>
    <col min="32" max="32" width="11.44140625" style="29" customWidth="1"/>
    <col min="33" max="36" width="14.6640625" style="29" customWidth="1"/>
    <col min="37" max="37" width="14.6640625" style="1643" customWidth="1"/>
    <col min="38" max="39" width="20.6640625" style="1" customWidth="1"/>
    <col min="40" max="40" width="9.109375" style="1"/>
    <col min="41" max="41" width="17" style="1" customWidth="1"/>
    <col min="42" max="16384" width="9.109375" style="1"/>
  </cols>
  <sheetData>
    <row r="1" spans="1:49" ht="22.8">
      <c r="A1" s="6" t="s">
        <v>88</v>
      </c>
      <c r="B1" s="6"/>
      <c r="C1" s="6"/>
      <c r="D1" s="6"/>
      <c r="E1" s="6"/>
      <c r="F1" s="6"/>
      <c r="G1" s="6"/>
      <c r="H1" s="6"/>
      <c r="I1" s="6"/>
      <c r="J1" s="6" t="s">
        <v>89</v>
      </c>
      <c r="Q1" s="259"/>
    </row>
    <row r="2" spans="1:49">
      <c r="A2" s="6"/>
      <c r="B2" s="6" t="s">
        <v>90</v>
      </c>
      <c r="C2" s="6"/>
      <c r="D2" s="6"/>
      <c r="E2" s="6"/>
      <c r="F2" s="6"/>
      <c r="G2" s="6"/>
      <c r="H2" s="6"/>
      <c r="I2" s="6"/>
    </row>
    <row r="3" spans="1:49" ht="13.8" thickBot="1">
      <c r="A3" s="6"/>
      <c r="B3" s="6" t="s">
        <v>91</v>
      </c>
      <c r="C3" s="6"/>
      <c r="D3" s="6"/>
      <c r="E3" s="6"/>
      <c r="F3" s="6"/>
      <c r="G3" s="6"/>
      <c r="H3" s="6"/>
      <c r="I3" s="6"/>
    </row>
    <row r="4" spans="1:49" ht="27" thickTop="1">
      <c r="A4" s="453" t="s">
        <v>92</v>
      </c>
      <c r="B4" s="454" t="s">
        <v>93</v>
      </c>
      <c r="C4" s="454" t="s">
        <v>94</v>
      </c>
      <c r="D4" s="454"/>
      <c r="E4" s="454">
        <v>1991</v>
      </c>
      <c r="F4" s="454">
        <v>1992</v>
      </c>
      <c r="G4" s="454">
        <v>1993</v>
      </c>
      <c r="H4" s="454">
        <v>1994</v>
      </c>
      <c r="I4" s="454">
        <v>1995</v>
      </c>
      <c r="J4" s="454">
        <v>1996</v>
      </c>
      <c r="K4" s="454">
        <v>1997</v>
      </c>
      <c r="L4" s="454">
        <v>1998</v>
      </c>
      <c r="M4" s="454">
        <v>1999</v>
      </c>
      <c r="N4" s="454">
        <v>2000</v>
      </c>
      <c r="O4" s="454">
        <v>2001</v>
      </c>
      <c r="P4" s="454">
        <v>2002</v>
      </c>
      <c r="Q4" s="483">
        <v>2003</v>
      </c>
      <c r="R4" s="483">
        <v>2004</v>
      </c>
      <c r="S4" s="483">
        <v>2005</v>
      </c>
      <c r="T4" s="483">
        <v>2006</v>
      </c>
      <c r="U4" s="483">
        <v>2007</v>
      </c>
      <c r="V4" s="483">
        <v>2008</v>
      </c>
      <c r="W4" s="483">
        <v>2009</v>
      </c>
      <c r="X4" s="483">
        <v>2010</v>
      </c>
      <c r="Y4" s="483">
        <v>2011</v>
      </c>
      <c r="Z4" s="483">
        <v>2012</v>
      </c>
      <c r="AA4" s="484">
        <v>2013</v>
      </c>
      <c r="AB4" s="496">
        <v>2014</v>
      </c>
      <c r="AC4" s="485">
        <v>2015</v>
      </c>
      <c r="AD4" s="484">
        <v>2016</v>
      </c>
      <c r="AE4" s="496">
        <v>2017</v>
      </c>
      <c r="AF4" s="485">
        <v>2018</v>
      </c>
      <c r="AG4" s="484">
        <v>2019</v>
      </c>
      <c r="AH4" s="496">
        <v>2020</v>
      </c>
      <c r="AI4" s="485">
        <v>2021</v>
      </c>
      <c r="AJ4" s="484">
        <v>2022</v>
      </c>
      <c r="AK4" s="496">
        <v>2023</v>
      </c>
      <c r="AL4" s="485">
        <v>2024</v>
      </c>
      <c r="AM4" s="1892">
        <v>2025</v>
      </c>
      <c r="AO4" s="1658" t="s">
        <v>95</v>
      </c>
      <c r="AP4" s="1659" t="s">
        <v>96</v>
      </c>
    </row>
    <row r="5" spans="1:49" ht="15" customHeight="1">
      <c r="A5" s="722"/>
      <c r="B5" s="1119" t="s">
        <v>29</v>
      </c>
      <c r="C5" s="1119" t="s">
        <v>97</v>
      </c>
      <c r="D5" s="1726" t="s">
        <v>98</v>
      </c>
      <c r="E5" s="1119">
        <v>7865</v>
      </c>
      <c r="F5" s="1119">
        <v>8415</v>
      </c>
      <c r="G5" s="1119">
        <v>7317</v>
      </c>
      <c r="H5" s="1119">
        <v>3893</v>
      </c>
      <c r="I5" s="1119">
        <v>6272</v>
      </c>
      <c r="J5" s="1119">
        <v>9318</v>
      </c>
      <c r="K5" s="1119">
        <v>6879</v>
      </c>
      <c r="L5" s="1119">
        <v>8100</v>
      </c>
      <c r="M5" s="1119">
        <v>7340</v>
      </c>
      <c r="N5" s="1119">
        <v>8147</v>
      </c>
      <c r="O5" s="1119">
        <v>8337</v>
      </c>
      <c r="P5" s="1119">
        <v>7833</v>
      </c>
      <c r="Q5" s="1120">
        <v>8158</v>
      </c>
      <c r="R5" s="1120">
        <v>14036</v>
      </c>
      <c r="S5" s="1120">
        <v>9159</v>
      </c>
      <c r="T5" s="1120">
        <v>8706</v>
      </c>
      <c r="U5" s="1120">
        <v>7488</v>
      </c>
      <c r="V5" s="1120">
        <v>7494</v>
      </c>
      <c r="W5" s="1120">
        <v>12899</v>
      </c>
      <c r="X5" s="1120">
        <v>9637</v>
      </c>
      <c r="Y5" s="1121">
        <v>11589</v>
      </c>
      <c r="Z5" s="1636">
        <v>8691</v>
      </c>
      <c r="AA5" s="918">
        <v>2700</v>
      </c>
      <c r="AB5" s="919">
        <v>2417</v>
      </c>
      <c r="AC5" s="1122">
        <v>2022</v>
      </c>
      <c r="AD5" s="731">
        <v>3064</v>
      </c>
      <c r="AE5" s="919">
        <v>3897</v>
      </c>
      <c r="AF5" s="919">
        <v>3465</v>
      </c>
      <c r="AG5" s="1144">
        <v>1239.3599999999999</v>
      </c>
      <c r="AH5" s="1530">
        <v>799.00013097576948</v>
      </c>
      <c r="AI5" s="1530">
        <f>AR11*$AW$12</f>
        <v>0</v>
      </c>
      <c r="AJ5" s="1530">
        <v>1006.8800000000001</v>
      </c>
      <c r="AK5" s="1644">
        <v>4909</v>
      </c>
      <c r="AL5" s="1544">
        <v>7150</v>
      </c>
      <c r="AM5" s="1543">
        <v>6876</v>
      </c>
      <c r="AO5" s="1145">
        <f>AVERAGE(AG5:AM5)</f>
        <v>3140.0343044251099</v>
      </c>
      <c r="AP5" s="1615">
        <f>(AM5-AL5)/AL5</f>
        <v>-3.8321678321678321E-2</v>
      </c>
    </row>
    <row r="6" spans="1:49">
      <c r="A6" s="722"/>
      <c r="B6" s="1119" t="s">
        <v>29</v>
      </c>
      <c r="C6" s="1119" t="s">
        <v>99</v>
      </c>
      <c r="D6" s="1119" t="s">
        <v>98</v>
      </c>
      <c r="E6" s="1119"/>
      <c r="F6" s="1119"/>
      <c r="G6" s="1119"/>
      <c r="H6" s="1119"/>
      <c r="I6" s="1119"/>
      <c r="J6" s="1119"/>
      <c r="K6" s="1119"/>
      <c r="L6" s="1119"/>
      <c r="M6" s="1119"/>
      <c r="N6" s="1119"/>
      <c r="O6" s="1119"/>
      <c r="P6" s="1119"/>
      <c r="Q6" s="1120"/>
      <c r="R6" s="1120"/>
      <c r="S6" s="1120"/>
      <c r="T6" s="1120">
        <v>2911</v>
      </c>
      <c r="U6" s="1120">
        <v>2266</v>
      </c>
      <c r="V6" s="1120">
        <v>2298</v>
      </c>
      <c r="W6" s="1120">
        <v>3526</v>
      </c>
      <c r="X6" s="1120">
        <v>3905</v>
      </c>
      <c r="Y6" s="1121">
        <v>3532</v>
      </c>
      <c r="Z6" s="1120">
        <v>1454</v>
      </c>
      <c r="AA6" s="918">
        <v>2609</v>
      </c>
      <c r="AB6" s="919">
        <v>1810</v>
      </c>
      <c r="AC6" s="1122">
        <v>96</v>
      </c>
      <c r="AD6" s="731">
        <v>955</v>
      </c>
      <c r="AE6" s="919">
        <v>797</v>
      </c>
      <c r="AF6" s="919">
        <v>912</v>
      </c>
      <c r="AG6" s="1122"/>
      <c r="AH6" s="1647"/>
      <c r="AI6" s="1647"/>
      <c r="AJ6" s="1647"/>
      <c r="AK6" s="1544"/>
      <c r="AL6" s="1544"/>
      <c r="AM6" s="1543"/>
      <c r="AO6" s="1145" t="e">
        <f>AVERAGE(AG6:AM6)</f>
        <v>#DIV/0!</v>
      </c>
      <c r="AP6" s="1615" t="s">
        <v>18</v>
      </c>
      <c r="AR6"/>
    </row>
    <row r="7" spans="1:49">
      <c r="A7" s="722"/>
      <c r="B7" s="1119"/>
      <c r="C7" s="1119" t="s">
        <v>100</v>
      </c>
      <c r="D7" s="1119"/>
      <c r="E7" s="1119"/>
      <c r="F7" s="1119"/>
      <c r="G7" s="1119"/>
      <c r="H7" s="1119"/>
      <c r="I7" s="1119"/>
      <c r="J7" s="1119"/>
      <c r="K7" s="1119"/>
      <c r="L7" s="1119"/>
      <c r="M7" s="1119"/>
      <c r="N7" s="1119"/>
      <c r="O7" s="1119"/>
      <c r="P7" s="1119"/>
      <c r="Q7" s="1120"/>
      <c r="R7" s="1120"/>
      <c r="S7" s="1120"/>
      <c r="T7" s="1120"/>
      <c r="U7" s="1120"/>
      <c r="V7" s="1120"/>
      <c r="W7" s="1120"/>
      <c r="X7" s="1120"/>
      <c r="Y7" s="1121"/>
      <c r="Z7" s="1120"/>
      <c r="AA7" s="918"/>
      <c r="AB7" s="919"/>
      <c r="AC7" s="1122"/>
      <c r="AD7" s="731"/>
      <c r="AE7" s="919"/>
      <c r="AF7" s="919"/>
      <c r="AG7" s="1122"/>
      <c r="AH7" s="1647"/>
      <c r="AI7" s="1647"/>
      <c r="AJ7" s="1647"/>
      <c r="AK7" s="1544"/>
      <c r="AL7" s="1544"/>
      <c r="AM7" s="1543"/>
      <c r="AO7" s="1145" t="s">
        <v>18</v>
      </c>
      <c r="AP7" s="1615" t="s">
        <v>18</v>
      </c>
      <c r="AR7"/>
    </row>
    <row r="8" spans="1:49">
      <c r="A8" s="722"/>
      <c r="B8" s="1119" t="s">
        <v>101</v>
      </c>
      <c r="C8" s="1119" t="s">
        <v>97</v>
      </c>
      <c r="D8" s="1119" t="s">
        <v>102</v>
      </c>
      <c r="E8" s="1119"/>
      <c r="F8" s="1119"/>
      <c r="G8" s="1119"/>
      <c r="H8" s="1119"/>
      <c r="I8" s="1119"/>
      <c r="J8" s="1119"/>
      <c r="K8" s="1119"/>
      <c r="L8" s="1119"/>
      <c r="M8" s="1119"/>
      <c r="N8" s="1119"/>
      <c r="O8" s="1119"/>
      <c r="P8" s="1119"/>
      <c r="Q8" s="1120"/>
      <c r="R8" s="1120">
        <v>1945</v>
      </c>
      <c r="S8" s="1120">
        <v>3200</v>
      </c>
      <c r="T8" s="1120">
        <v>3197</v>
      </c>
      <c r="U8" s="1120">
        <v>2257</v>
      </c>
      <c r="V8" s="1120">
        <v>1881</v>
      </c>
      <c r="W8" s="1120">
        <v>2120</v>
      </c>
      <c r="X8" s="1121"/>
      <c r="Y8" s="1121"/>
      <c r="Z8" s="1121">
        <v>92</v>
      </c>
      <c r="AA8" s="918">
        <v>1764</v>
      </c>
      <c r="AB8" s="919">
        <v>932</v>
      </c>
      <c r="AC8" s="1122">
        <v>1236</v>
      </c>
      <c r="AD8" s="731">
        <v>1190</v>
      </c>
      <c r="AE8" s="919"/>
      <c r="AF8" s="919"/>
      <c r="AG8" s="1147">
        <v>1360</v>
      </c>
      <c r="AH8" s="1544"/>
      <c r="AI8" s="1544"/>
      <c r="AJ8" s="1644">
        <v>3087</v>
      </c>
      <c r="AK8" s="1644">
        <v>2526</v>
      </c>
      <c r="AL8" s="1544"/>
      <c r="AM8" s="1543"/>
      <c r="AO8" s="1145">
        <f>AVERAGE(AG8:AM8)</f>
        <v>2324.3333333333335</v>
      </c>
      <c r="AP8" s="1615" t="e">
        <f t="shared" ref="AP8:AP9" si="0">(AM8-AL8)/AL8</f>
        <v>#DIV/0!</v>
      </c>
      <c r="AR8"/>
    </row>
    <row r="9" spans="1:49">
      <c r="A9" s="722"/>
      <c r="B9" s="1119" t="s">
        <v>103</v>
      </c>
      <c r="C9" s="1119"/>
      <c r="D9" s="1119"/>
      <c r="E9" s="1119"/>
      <c r="F9" s="1119"/>
      <c r="G9" s="1119"/>
      <c r="H9" s="1119"/>
      <c r="I9" s="1119"/>
      <c r="J9" s="1119"/>
      <c r="K9" s="1119"/>
      <c r="L9" s="1119"/>
      <c r="M9" s="1119"/>
      <c r="N9" s="1119"/>
      <c r="O9" s="1119"/>
      <c r="P9" s="1119"/>
      <c r="Q9" s="1120"/>
      <c r="R9" s="1120"/>
      <c r="S9" s="1120"/>
      <c r="T9" s="1120"/>
      <c r="U9" s="1120"/>
      <c r="V9" s="1120"/>
      <c r="W9" s="1120"/>
      <c r="X9" s="1121"/>
      <c r="Y9" s="1121"/>
      <c r="Z9" s="1121"/>
      <c r="AA9" s="918"/>
      <c r="AB9" s="919"/>
      <c r="AC9" s="1122"/>
      <c r="AD9" s="731"/>
      <c r="AE9" s="919"/>
      <c r="AF9" s="919"/>
      <c r="AG9" s="1147"/>
      <c r="AH9" s="1544"/>
      <c r="AI9" s="1544"/>
      <c r="AJ9" s="1644">
        <v>6321</v>
      </c>
      <c r="AK9" s="1644">
        <v>6195</v>
      </c>
      <c r="AL9" s="1544"/>
      <c r="AM9" s="1543"/>
      <c r="AO9" s="1145">
        <f>AVERAGE(AG9:AM9)</f>
        <v>6258</v>
      </c>
      <c r="AP9" s="1615" t="e">
        <f t="shared" si="0"/>
        <v>#DIV/0!</v>
      </c>
      <c r="AR9"/>
    </row>
    <row r="10" spans="1:49">
      <c r="A10" s="722" t="s">
        <v>104</v>
      </c>
      <c r="B10" s="1119" t="s">
        <v>93</v>
      </c>
      <c r="C10" s="1119" t="s">
        <v>94</v>
      </c>
      <c r="D10" s="1119"/>
      <c r="E10" s="1119"/>
      <c r="F10" s="1119"/>
      <c r="G10" s="1119"/>
      <c r="H10" s="1119"/>
      <c r="I10" s="1119"/>
      <c r="J10" s="1119"/>
      <c r="K10" s="1119"/>
      <c r="L10" s="1119"/>
      <c r="M10" s="1119"/>
      <c r="N10" s="1119"/>
      <c r="O10" s="1119"/>
      <c r="P10" s="1119"/>
      <c r="Q10" s="1120"/>
      <c r="R10" s="1120"/>
      <c r="S10" s="1120"/>
      <c r="T10" s="1120"/>
      <c r="U10" s="1120"/>
      <c r="V10" s="1120"/>
      <c r="W10" s="1120"/>
      <c r="X10" s="1120"/>
      <c r="Y10" s="1120"/>
      <c r="Z10" s="1120"/>
      <c r="AA10" s="918"/>
      <c r="AB10" s="919"/>
      <c r="AC10" s="1122"/>
      <c r="AD10" s="731"/>
      <c r="AE10" s="919"/>
      <c r="AF10" s="919"/>
      <c r="AG10" s="1122"/>
      <c r="AH10" s="1647"/>
      <c r="AI10" s="1647"/>
      <c r="AJ10" s="1544"/>
      <c r="AK10" s="1544"/>
      <c r="AL10" s="1544"/>
      <c r="AM10" s="1543"/>
      <c r="AO10" s="1145" t="s">
        <v>18</v>
      </c>
      <c r="AP10" s="1615" t="s">
        <v>18</v>
      </c>
      <c r="AW10" s="897"/>
    </row>
    <row r="11" spans="1:49">
      <c r="A11" s="722"/>
      <c r="B11" s="1119" t="s">
        <v>105</v>
      </c>
      <c r="C11" s="1119" t="s">
        <v>97</v>
      </c>
      <c r="D11" s="1119"/>
      <c r="E11" s="1145">
        <v>11949</v>
      </c>
      <c r="F11" s="1145">
        <v>20316</v>
      </c>
      <c r="G11" s="1145">
        <v>23250</v>
      </c>
      <c r="H11" s="1145">
        <v>15172</v>
      </c>
      <c r="I11" s="1145">
        <v>22492</v>
      </c>
      <c r="J11" s="1145">
        <v>15638.181910851636</v>
      </c>
      <c r="K11" s="1145">
        <v>10885.99380068255</v>
      </c>
      <c r="L11" s="1145">
        <v>19620.551536731633</v>
      </c>
      <c r="M11" s="1145">
        <v>14437.385337104552</v>
      </c>
      <c r="N11" s="1145">
        <v>4827.739253816053</v>
      </c>
      <c r="O11" s="1145">
        <v>13478.450940951307</v>
      </c>
      <c r="P11" s="1145">
        <v>21356.803357326775</v>
      </c>
      <c r="Q11" s="1636">
        <v>48624.655253183962</v>
      </c>
      <c r="R11" s="1636">
        <v>75295.09997443913</v>
      </c>
      <c r="S11" s="1636">
        <v>23953.379737999989</v>
      </c>
      <c r="T11" s="1636">
        <v>23094.143613831402</v>
      </c>
      <c r="U11" s="1636">
        <f>'Tab&amp;Fig4.2.1'!T14</f>
        <v>32040</v>
      </c>
      <c r="V11" s="1636">
        <f>'Tab&amp;Fig4.2.1'!U14</f>
        <v>48961</v>
      </c>
      <c r="W11" s="1636">
        <f>'Tab&amp;Fig4.2.1'!V14</f>
        <v>39384</v>
      </c>
      <c r="X11" s="1120">
        <v>77033</v>
      </c>
      <c r="Y11" s="1636">
        <v>27601</v>
      </c>
      <c r="Z11" s="1636">
        <v>19754.568504842377</v>
      </c>
      <c r="AA11" s="918">
        <v>8511</v>
      </c>
      <c r="AB11" s="901">
        <v>40159</v>
      </c>
      <c r="AC11" s="1686">
        <v>52436.964440000003</v>
      </c>
      <c r="AD11" s="899">
        <v>65538.680479999995</v>
      </c>
      <c r="AE11" s="899">
        <v>57799.649879999997</v>
      </c>
      <c r="AF11" s="1641">
        <v>62830.784240000008</v>
      </c>
      <c r="AG11" s="1642">
        <v>29886</v>
      </c>
      <c r="AH11" s="1648">
        <v>28368.750840000001</v>
      </c>
      <c r="AI11" s="1530">
        <v>16583.963592656131</v>
      </c>
      <c r="AJ11" s="1511">
        <v>18850.877835407118</v>
      </c>
      <c r="AK11" s="1511">
        <v>75659.206767222742</v>
      </c>
      <c r="AL11" s="1530">
        <v>24006.580655367732</v>
      </c>
      <c r="AM11" s="1517"/>
      <c r="AO11" s="1145">
        <f>AVERAGE(AG11:AM11)</f>
        <v>32225.896615108955</v>
      </c>
      <c r="AP11" s="1615">
        <f>(AM11-AL11)/AL11</f>
        <v>-1</v>
      </c>
      <c r="AR11" s="355"/>
    </row>
    <row r="12" spans="1:49">
      <c r="A12" s="722"/>
      <c r="B12" s="1119" t="s">
        <v>106</v>
      </c>
      <c r="C12" s="1119" t="s">
        <v>107</v>
      </c>
      <c r="D12" s="1119"/>
      <c r="E12" s="1119"/>
      <c r="F12" s="1119"/>
      <c r="G12" s="1119"/>
      <c r="H12" s="1119"/>
      <c r="I12" s="1119"/>
      <c r="J12" s="1119"/>
      <c r="K12" s="1119"/>
      <c r="L12" s="1119"/>
      <c r="M12" s="1119"/>
      <c r="N12" s="1119"/>
      <c r="O12" s="1119"/>
      <c r="P12" s="1119"/>
      <c r="Q12" s="1120"/>
      <c r="R12" s="1120">
        <v>79149</v>
      </c>
      <c r="S12" s="1120"/>
      <c r="T12" s="1120"/>
      <c r="U12" s="1120">
        <v>41859</v>
      </c>
      <c r="V12" s="1120">
        <v>38875</v>
      </c>
      <c r="W12" s="1120">
        <v>41367</v>
      </c>
      <c r="X12" s="1120">
        <v>17791</v>
      </c>
      <c r="Y12" s="486">
        <v>7707</v>
      </c>
      <c r="Z12" s="486">
        <v>3598</v>
      </c>
      <c r="AA12" s="486">
        <v>27027</v>
      </c>
      <c r="AB12" s="901">
        <v>4795.2039336001208</v>
      </c>
      <c r="AC12" s="1727">
        <v>24564.28163649594</v>
      </c>
      <c r="AD12" s="900">
        <v>24245</v>
      </c>
      <c r="AE12" s="1146">
        <v>9008.2773200000011</v>
      </c>
      <c r="AF12" s="211">
        <v>10674.368</v>
      </c>
      <c r="AG12" s="1122">
        <v>13783</v>
      </c>
      <c r="AH12" s="1649">
        <v>3498.5769999999998</v>
      </c>
      <c r="AI12" s="1649"/>
      <c r="AJ12" s="1649"/>
      <c r="AK12" s="1530"/>
      <c r="AL12" s="1544"/>
      <c r="AM12" s="1543"/>
      <c r="AO12" s="1145">
        <f>AVERAGE(AG12:AM12)</f>
        <v>8640.7885000000006</v>
      </c>
      <c r="AP12" s="1615" t="s">
        <v>18</v>
      </c>
      <c r="AR12"/>
    </row>
    <row r="13" spans="1:49">
      <c r="A13" s="722" t="s">
        <v>108</v>
      </c>
      <c r="B13" s="1119" t="s">
        <v>93</v>
      </c>
      <c r="C13" s="1119" t="s">
        <v>94</v>
      </c>
      <c r="D13" s="1119"/>
      <c r="E13" s="1119"/>
      <c r="F13" s="1119"/>
      <c r="G13" s="1119"/>
      <c r="H13" s="1119"/>
      <c r="I13" s="1119"/>
      <c r="J13" s="1119"/>
      <c r="K13" s="1119"/>
      <c r="L13" s="1119"/>
      <c r="M13" s="1119"/>
      <c r="N13" s="1119"/>
      <c r="O13" s="1119"/>
      <c r="P13" s="1119"/>
      <c r="Q13" s="1120"/>
      <c r="R13" s="1120"/>
      <c r="S13" s="1120"/>
      <c r="T13" s="1120"/>
      <c r="U13" s="1120"/>
      <c r="V13" s="1120"/>
      <c r="W13" s="1636"/>
      <c r="X13" s="1120"/>
      <c r="Y13" s="1120"/>
      <c r="Z13" s="1120"/>
      <c r="AA13" s="918"/>
      <c r="AB13" s="919"/>
      <c r="AC13" s="1122"/>
      <c r="AD13" s="731"/>
      <c r="AE13" s="919"/>
      <c r="AF13" s="919"/>
      <c r="AG13" s="1122"/>
      <c r="AH13" s="1647"/>
      <c r="AI13" s="1647"/>
      <c r="AJ13" s="1647"/>
      <c r="AK13" s="1544"/>
      <c r="AL13" s="1544"/>
      <c r="AM13" s="1543"/>
      <c r="AO13" s="1145" t="s">
        <v>18</v>
      </c>
      <c r="AP13" s="1615" t="s">
        <v>18</v>
      </c>
      <c r="AR13" s="355"/>
    </row>
    <row r="14" spans="1:49">
      <c r="A14" s="722"/>
      <c r="B14" s="1119" t="s">
        <v>109</v>
      </c>
      <c r="C14" s="1119" t="s">
        <v>110</v>
      </c>
      <c r="D14" s="1119" t="s">
        <v>111</v>
      </c>
      <c r="E14" s="1302">
        <f t="shared" ref="E14:AE14" si="1">E11/E5</f>
        <v>1.5192625556261921</v>
      </c>
      <c r="F14" s="1302">
        <f t="shared" si="1"/>
        <v>2.414260249554367</v>
      </c>
      <c r="G14" s="1302">
        <f t="shared" si="1"/>
        <v>3.1775317753177532</v>
      </c>
      <c r="H14" s="1302">
        <f>H11/H5</f>
        <v>3.897251477010018</v>
      </c>
      <c r="I14" s="1302">
        <f t="shared" si="1"/>
        <v>3.5860969387755102</v>
      </c>
      <c r="J14" s="1302">
        <f t="shared" si="1"/>
        <v>1.6782766592457219</v>
      </c>
      <c r="K14" s="1302">
        <f t="shared" si="1"/>
        <v>1.5824965548310148</v>
      </c>
      <c r="L14" s="1302">
        <f t="shared" si="1"/>
        <v>2.4222903131767448</v>
      </c>
      <c r="M14" s="1302">
        <f t="shared" si="1"/>
        <v>1.9669462312131543</v>
      </c>
      <c r="N14" s="1302">
        <f t="shared" si="1"/>
        <v>0.59257877179526852</v>
      </c>
      <c r="O14" s="1302">
        <f t="shared" si="1"/>
        <v>1.6167027636981297</v>
      </c>
      <c r="P14" s="1302">
        <f t="shared" si="1"/>
        <v>2.7265164505715274</v>
      </c>
      <c r="Q14" s="1288">
        <f t="shared" si="1"/>
        <v>5.9603647037489536</v>
      </c>
      <c r="R14" s="1288">
        <f t="shared" si="1"/>
        <v>5.3644271854117367</v>
      </c>
      <c r="S14" s="1288">
        <f t="shared" si="1"/>
        <v>2.6152832992684778</v>
      </c>
      <c r="T14" s="1288">
        <f t="shared" si="1"/>
        <v>2.6526698384828169</v>
      </c>
      <c r="U14" s="1288">
        <f t="shared" si="1"/>
        <v>4.2788461538461542</v>
      </c>
      <c r="V14" s="1288">
        <f t="shared" si="1"/>
        <v>6.5333600213504139</v>
      </c>
      <c r="W14" s="1288">
        <f t="shared" si="1"/>
        <v>3.0532599426312119</v>
      </c>
      <c r="X14" s="1288">
        <f t="shared" si="1"/>
        <v>7.9934626958597077</v>
      </c>
      <c r="Y14" s="1288">
        <f t="shared" si="1"/>
        <v>2.3816550176891882</v>
      </c>
      <c r="Z14" s="1288">
        <f t="shared" si="1"/>
        <v>2.2729914284711055</v>
      </c>
      <c r="AA14" s="920">
        <f t="shared" si="1"/>
        <v>3.152222222222222</v>
      </c>
      <c r="AB14" s="921">
        <f t="shared" si="1"/>
        <v>16.615225486139842</v>
      </c>
      <c r="AC14" s="1289">
        <f t="shared" si="1"/>
        <v>25.933216834817014</v>
      </c>
      <c r="AD14" s="1289">
        <f t="shared" si="1"/>
        <v>21.389908772845953</v>
      </c>
      <c r="AE14" s="921">
        <f t="shared" si="1"/>
        <v>14.831832147806004</v>
      </c>
      <c r="AF14" s="921">
        <f t="shared" ref="AF14:AL14" si="2">AF11/AF5</f>
        <v>18.132982464646467</v>
      </c>
      <c r="AG14" s="1289">
        <f t="shared" si="2"/>
        <v>24.114058869093729</v>
      </c>
      <c r="AH14" s="1650">
        <f t="shared" si="2"/>
        <v>35.505314380055232</v>
      </c>
      <c r="AI14" s="1650" t="e">
        <f t="shared" si="2"/>
        <v>#DIV/0!</v>
      </c>
      <c r="AJ14" s="1650">
        <f t="shared" si="2"/>
        <v>18.722069993849431</v>
      </c>
      <c r="AK14" s="1645">
        <f t="shared" si="2"/>
        <v>15.412346051583366</v>
      </c>
      <c r="AL14" s="1650">
        <f t="shared" si="2"/>
        <v>3.3575637280234591</v>
      </c>
      <c r="AM14" s="1893">
        <f t="shared" ref="AM14" si="3">AM11/AM5</f>
        <v>0</v>
      </c>
      <c r="AO14" s="1145" t="s">
        <v>18</v>
      </c>
      <c r="AP14" s="1615">
        <f>(AM14-AL14)/AL14</f>
        <v>-1</v>
      </c>
    </row>
    <row r="15" spans="1:49" ht="14.4">
      <c r="A15" s="722"/>
      <c r="B15" s="1119" t="s">
        <v>112</v>
      </c>
      <c r="C15" s="1119" t="s">
        <v>113</v>
      </c>
      <c r="D15" s="1119" t="s">
        <v>114</v>
      </c>
      <c r="E15" s="1302">
        <v>11.7</v>
      </c>
      <c r="F15" s="1302">
        <v>18.100000000000001</v>
      </c>
      <c r="G15" s="1302">
        <v>22.6</v>
      </c>
      <c r="H15" s="1302">
        <v>15.3</v>
      </c>
      <c r="I15" s="1302">
        <v>13.1</v>
      </c>
      <c r="J15" s="1302">
        <v>13.5</v>
      </c>
      <c r="K15" s="1302">
        <v>11</v>
      </c>
      <c r="L15" s="1302">
        <v>6.4</v>
      </c>
      <c r="M15" s="1302">
        <v>9.6</v>
      </c>
      <c r="N15" s="1302">
        <v>11.4</v>
      </c>
      <c r="O15" s="1302">
        <v>6.4</v>
      </c>
      <c r="P15" s="1302">
        <v>7.6</v>
      </c>
      <c r="Q15" s="1288">
        <v>8.3000000000000007</v>
      </c>
      <c r="R15" s="1120">
        <v>13.2</v>
      </c>
      <c r="S15" s="1120">
        <v>11.7</v>
      </c>
      <c r="T15" s="1120">
        <v>19.899999999999999</v>
      </c>
      <c r="U15" s="1120">
        <v>12</v>
      </c>
      <c r="V15" s="1120">
        <v>16.100000000000001</v>
      </c>
      <c r="W15" s="1120">
        <v>19.5</v>
      </c>
      <c r="X15" s="1120">
        <v>20.399999999999999</v>
      </c>
      <c r="Y15" s="1120">
        <v>17.399999999999999</v>
      </c>
      <c r="Z15" s="1288">
        <v>20.6</v>
      </c>
      <c r="AA15" s="487">
        <v>17.100000000000001</v>
      </c>
      <c r="AB15" s="497">
        <v>16.100000000000001</v>
      </c>
      <c r="AC15" s="497">
        <v>20.7</v>
      </c>
      <c r="AD15" s="497">
        <v>21.7</v>
      </c>
      <c r="AE15" s="921">
        <v>24.5</v>
      </c>
      <c r="AF15" s="501">
        <v>18.38</v>
      </c>
      <c r="AG15" s="1302">
        <v>23.2</v>
      </c>
      <c r="AH15" s="1645">
        <v>21.8</v>
      </c>
      <c r="AI15" s="1645">
        <v>23.5</v>
      </c>
      <c r="AJ15" s="1645">
        <v>21.1</v>
      </c>
      <c r="AK15" s="1645">
        <v>31.1</v>
      </c>
      <c r="AL15" s="1544">
        <v>26.7</v>
      </c>
      <c r="AM15" s="1543"/>
      <c r="AO15" s="1145">
        <f>AVERAGE(AF15:AL15)</f>
        <v>23.682857142857138</v>
      </c>
      <c r="AP15" s="1615">
        <f>(AM15-AL15)/AL15</f>
        <v>-1</v>
      </c>
    </row>
    <row r="16" spans="1:49">
      <c r="A16" s="722"/>
      <c r="B16" s="1119"/>
      <c r="C16" s="1119"/>
      <c r="D16" s="1119"/>
      <c r="E16" s="1119"/>
      <c r="F16" s="1119"/>
      <c r="G16" s="1119"/>
      <c r="H16" s="1119"/>
      <c r="I16" s="1119"/>
      <c r="J16" s="1119"/>
      <c r="K16" s="1119"/>
      <c r="L16" s="1119"/>
      <c r="M16" s="1119"/>
      <c r="N16" s="1119"/>
      <c r="O16" s="1119"/>
      <c r="P16" s="1119"/>
      <c r="Q16" s="1119"/>
      <c r="R16" s="1119"/>
      <c r="S16" s="1119"/>
      <c r="T16" s="1119"/>
      <c r="U16" s="1119"/>
      <c r="V16" s="1119"/>
      <c r="W16" s="1119"/>
      <c r="X16" s="1119"/>
      <c r="Y16" s="1119"/>
      <c r="Z16" s="1119"/>
      <c r="AA16" s="922"/>
      <c r="AB16" s="923"/>
      <c r="AC16" s="1147"/>
      <c r="AD16" s="690"/>
      <c r="AE16" s="923"/>
      <c r="AF16" s="923"/>
      <c r="AG16" s="1147"/>
      <c r="AH16" s="1544"/>
      <c r="AI16" s="1544"/>
      <c r="AJ16" s="1544"/>
      <c r="AK16" s="1544"/>
      <c r="AL16" s="1544"/>
      <c r="AM16" s="1543"/>
      <c r="AO16" s="1145" t="s">
        <v>18</v>
      </c>
      <c r="AP16" s="1615" t="s">
        <v>18</v>
      </c>
      <c r="AR16" s="1651"/>
      <c r="AS16" s="1651"/>
    </row>
    <row r="17" spans="3:48">
      <c r="W17" s="1">
        <f>W12/W8</f>
        <v>19.512735849056604</v>
      </c>
      <c r="AN17" s="2" t="s">
        <v>18</v>
      </c>
      <c r="AQ17" s="897"/>
      <c r="AR17" s="1652"/>
      <c r="AS17" s="1653"/>
      <c r="AT17" s="92"/>
    </row>
    <row r="19" spans="3:48">
      <c r="AO19" s="1" t="s">
        <v>18</v>
      </c>
    </row>
    <row r="20" spans="3:48" ht="13.8">
      <c r="C20" s="1728" t="s">
        <v>71</v>
      </c>
      <c r="Q20" s="29"/>
      <c r="R20" s="29"/>
      <c r="S20" s="29"/>
      <c r="T20" s="29"/>
      <c r="U20" s="29"/>
    </row>
    <row r="21" spans="3:48" ht="17.399999999999999">
      <c r="C21" s="22" t="s">
        <v>85</v>
      </c>
      <c r="D21" s="73"/>
      <c r="E21" s="73"/>
      <c r="F21" s="73"/>
      <c r="G21" s="73"/>
      <c r="H21" s="73"/>
      <c r="Q21" s="29"/>
      <c r="R21" s="29"/>
      <c r="S21" s="29"/>
      <c r="T21" s="29"/>
      <c r="U21" s="29"/>
      <c r="X21" s="6"/>
      <c r="Y21" s="6"/>
      <c r="Z21" s="6"/>
      <c r="AA21" s="6"/>
      <c r="AB21" s="121"/>
      <c r="AC21" s="498"/>
      <c r="AD21" s="498"/>
      <c r="AE21" s="498"/>
      <c r="AF21" s="498"/>
      <c r="AG21" s="498"/>
      <c r="AH21" s="498"/>
      <c r="AI21" s="498"/>
      <c r="AJ21" s="498"/>
      <c r="AK21" s="1646"/>
      <c r="AL21" s="97"/>
      <c r="AM21" s="97"/>
    </row>
    <row r="22" spans="3:48" ht="18.600000000000001" thickBot="1">
      <c r="C22" s="73"/>
      <c r="D22" s="73"/>
      <c r="E22" s="73"/>
      <c r="F22" s="73"/>
      <c r="G22" s="73"/>
      <c r="H22" s="73"/>
      <c r="Q22" s="29"/>
      <c r="R22" s="29"/>
      <c r="S22" s="29"/>
      <c r="T22" s="29"/>
      <c r="U22" s="29"/>
      <c r="X22" s="6"/>
      <c r="Y22" s="6"/>
      <c r="AA22" s="261"/>
      <c r="AB22" s="499"/>
      <c r="AC22" s="499"/>
      <c r="AD22" s="499"/>
      <c r="AE22" s="499"/>
      <c r="AF22" s="499"/>
      <c r="AG22" s="499"/>
      <c r="AH22" s="499"/>
      <c r="AI22" s="499"/>
      <c r="AJ22" s="499"/>
      <c r="AL22" s="261"/>
      <c r="AM22" s="261"/>
    </row>
    <row r="23" spans="3:48" ht="18.600000000000001" thickTop="1">
      <c r="C23" s="1655" t="s">
        <v>83</v>
      </c>
      <c r="D23" s="1656" t="s">
        <v>5</v>
      </c>
      <c r="E23" s="1657">
        <v>2007</v>
      </c>
      <c r="F23" s="1657">
        <v>2008</v>
      </c>
      <c r="G23" s="1657">
        <v>2009</v>
      </c>
      <c r="H23" s="1657">
        <v>2010</v>
      </c>
      <c r="I23" s="1657">
        <v>2011</v>
      </c>
      <c r="J23" s="1657">
        <v>2012</v>
      </c>
      <c r="K23" s="1657">
        <v>2013</v>
      </c>
      <c r="L23" s="1657">
        <v>2014</v>
      </c>
      <c r="M23" s="1657">
        <v>2015</v>
      </c>
      <c r="N23" s="1657">
        <v>2016</v>
      </c>
      <c r="O23" s="1657">
        <v>2017</v>
      </c>
      <c r="P23" s="1657">
        <v>2018</v>
      </c>
      <c r="Q23" s="1657">
        <v>2019</v>
      </c>
      <c r="R23" s="1657">
        <v>2020</v>
      </c>
      <c r="S23" s="1657">
        <v>2021</v>
      </c>
      <c r="T23" s="1657">
        <v>2022</v>
      </c>
      <c r="U23" s="1657">
        <v>2023</v>
      </c>
      <c r="V23" s="1657">
        <v>2024</v>
      </c>
      <c r="W23" s="1894">
        <v>2025</v>
      </c>
      <c r="X23" s="2"/>
      <c r="Z23" s="964"/>
      <c r="AA23" s="261"/>
      <c r="AB23" s="499"/>
      <c r="AC23" s="499"/>
      <c r="AD23" s="499"/>
      <c r="AE23" s="499"/>
      <c r="AF23" s="499"/>
      <c r="AG23" s="499"/>
      <c r="AH23" s="499"/>
      <c r="AI23" s="499"/>
      <c r="AJ23" s="499"/>
      <c r="AL23" s="261"/>
      <c r="AM23" s="261"/>
    </row>
    <row r="24" spans="3:48">
      <c r="C24" s="1669" t="s">
        <v>115</v>
      </c>
      <c r="D24" s="922" t="s">
        <v>84</v>
      </c>
      <c r="E24" s="1660">
        <v>3206</v>
      </c>
      <c r="F24" s="1660">
        <v>3707</v>
      </c>
      <c r="G24" s="1660">
        <v>4634</v>
      </c>
      <c r="H24" s="1660">
        <v>4150</v>
      </c>
      <c r="I24" s="1660">
        <v>4732</v>
      </c>
      <c r="J24" s="1660">
        <v>4612</v>
      </c>
      <c r="K24" s="1660">
        <v>5016</v>
      </c>
      <c r="L24" s="1660">
        <v>4784</v>
      </c>
      <c r="M24" s="1660">
        <v>4848</v>
      </c>
      <c r="N24" s="1660">
        <v>4871</v>
      </c>
      <c r="O24" s="1660">
        <v>4402</v>
      </c>
      <c r="P24" s="1660">
        <v>4235</v>
      </c>
      <c r="Q24" s="1660">
        <v>3622</v>
      </c>
      <c r="R24" s="1660">
        <v>3107</v>
      </c>
      <c r="S24" s="1660">
        <v>2819</v>
      </c>
      <c r="T24" s="1660">
        <v>2554</v>
      </c>
      <c r="U24" s="1660">
        <v>3069</v>
      </c>
      <c r="V24" s="1520">
        <v>2227</v>
      </c>
      <c r="W24" s="1521">
        <v>2637</v>
      </c>
      <c r="X24" s="1615">
        <f>(W24-V24)/V24</f>
        <v>0.18410417602155366</v>
      </c>
      <c r="Y24" s="1654"/>
      <c r="Z24" s="1654"/>
    </row>
    <row r="25" spans="3:48" ht="13.8">
      <c r="C25" s="1728" t="s">
        <v>116</v>
      </c>
      <c r="D25" s="922"/>
      <c r="E25" s="1661">
        <v>137.91613000000001</v>
      </c>
      <c r="F25" s="1661">
        <v>350.80793000000006</v>
      </c>
      <c r="G25" s="1661">
        <v>276.42574999999999</v>
      </c>
      <c r="H25" s="1661">
        <v>170.96911999999998</v>
      </c>
      <c r="I25" s="1661">
        <v>182.82208999999997</v>
      </c>
      <c r="J25" s="1661">
        <v>296.36908000000005</v>
      </c>
      <c r="K25" s="1661">
        <v>582.32308000000023</v>
      </c>
      <c r="L25" s="1661">
        <v>490.83922000000001</v>
      </c>
      <c r="M25" s="1661">
        <v>658.04948000000002</v>
      </c>
      <c r="N25" s="1661">
        <v>726.39735999999982</v>
      </c>
      <c r="O25" s="1661">
        <v>705.68835999999999</v>
      </c>
      <c r="P25" s="1661">
        <v>441.31545999999997</v>
      </c>
      <c r="Q25" s="1661">
        <v>491.95770999999996</v>
      </c>
      <c r="R25" s="1661">
        <v>635.5915399999999</v>
      </c>
      <c r="S25" s="1661">
        <v>279.51451999999995</v>
      </c>
      <c r="T25" s="1661">
        <v>239.00514000000001</v>
      </c>
      <c r="U25" s="1661">
        <v>120.08450999999999</v>
      </c>
      <c r="V25" s="1544">
        <v>40.586299999999994</v>
      </c>
      <c r="W25" s="1574">
        <v>21.68178</v>
      </c>
      <c r="X25" s="1615">
        <f t="shared" ref="X25:X26" si="4">(W25-V25)/V25</f>
        <v>-0.46578574543626783</v>
      </c>
      <c r="AN25" s="1" t="s">
        <v>18</v>
      </c>
      <c r="AO25" s="1" t="s">
        <v>18</v>
      </c>
      <c r="AP25" s="1" t="s">
        <v>18</v>
      </c>
      <c r="AQ25" s="1" t="s">
        <v>18</v>
      </c>
      <c r="AR25" s="1" t="s">
        <v>18</v>
      </c>
      <c r="AS25" s="1" t="s">
        <v>117</v>
      </c>
      <c r="AT25" s="1" t="s">
        <v>18</v>
      </c>
      <c r="AU25" s="1" t="s">
        <v>18</v>
      </c>
      <c r="AV25" s="1" t="s">
        <v>117</v>
      </c>
    </row>
    <row r="26" spans="3:48" ht="13.8">
      <c r="C26" s="1728" t="s">
        <v>118</v>
      </c>
      <c r="D26" s="922"/>
      <c r="E26" s="1662">
        <v>4.3018131628197134E-2</v>
      </c>
      <c r="F26" s="1662">
        <v>9.4633916913946597E-2</v>
      </c>
      <c r="G26" s="1662">
        <v>5.9651650841605522E-2</v>
      </c>
      <c r="H26" s="1662">
        <v>4.1197378313253007E-2</v>
      </c>
      <c r="I26" s="1662">
        <v>3.8635268385460685E-2</v>
      </c>
      <c r="J26" s="1662">
        <v>6.4260424978317437E-2</v>
      </c>
      <c r="K26" s="1662">
        <v>0.11609311802232859</v>
      </c>
      <c r="L26" s="1662">
        <v>0.10260017140468228</v>
      </c>
      <c r="M26" s="1662">
        <v>0.13573627887788781</v>
      </c>
      <c r="N26" s="1662">
        <v>0.14912694723875997</v>
      </c>
      <c r="O26" s="1662">
        <v>0.1603108496138119</v>
      </c>
      <c r="P26" s="1662">
        <v>0.10420672018890199</v>
      </c>
      <c r="Q26" s="1662">
        <v>0.1358248785201546</v>
      </c>
      <c r="R26" s="1662">
        <v>0.20456760218860634</v>
      </c>
      <c r="S26" s="1662">
        <v>9.9153785030152514E-2</v>
      </c>
      <c r="T26" s="1662">
        <v>9.3580712607674241E-2</v>
      </c>
      <c r="U26" s="1662">
        <v>3.9128220918866079E-2</v>
      </c>
      <c r="V26" s="1544">
        <f>V25/V24</f>
        <v>1.8224651998203858E-2</v>
      </c>
      <c r="W26" s="1543">
        <f>W25/W24</f>
        <v>8.2221387940841859E-3</v>
      </c>
      <c r="X26" s="1615">
        <f t="shared" si="4"/>
        <v>-0.54884522377192579</v>
      </c>
      <c r="Y26" s="1654"/>
      <c r="Z26" s="1654"/>
      <c r="AN26" s="1" t="s">
        <v>18</v>
      </c>
      <c r="AO26" s="1" t="s">
        <v>18</v>
      </c>
      <c r="AP26" s="1" t="s">
        <v>18</v>
      </c>
      <c r="AQ26" s="1" t="s">
        <v>18</v>
      </c>
      <c r="AR26" s="1" t="s">
        <v>18</v>
      </c>
      <c r="AS26" s="1" t="s">
        <v>18</v>
      </c>
      <c r="AT26" s="1" t="s">
        <v>18</v>
      </c>
      <c r="AU26" s="1" t="s">
        <v>18</v>
      </c>
      <c r="AV26" s="1" t="s">
        <v>18</v>
      </c>
    </row>
    <row r="29" spans="3:48">
      <c r="Z29" s="78"/>
    </row>
    <row r="34" spans="38:39" ht="22.8">
      <c r="AL34" s="259"/>
      <c r="AM34" s="259"/>
    </row>
    <row r="54" spans="3:16">
      <c r="C54" s="121" t="s">
        <v>119</v>
      </c>
      <c r="D54" s="137" t="s">
        <v>120</v>
      </c>
    </row>
    <row r="55" spans="3:16">
      <c r="D55" s="1" t="s">
        <v>121</v>
      </c>
      <c r="P55" s="6" t="s">
        <v>122</v>
      </c>
    </row>
  </sheetData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140"/>
  <sheetViews>
    <sheetView topLeftCell="A15" zoomScale="95" zoomScaleNormal="98" workbookViewId="0">
      <pane xSplit="3" topLeftCell="F1" activePane="topRight" state="frozen"/>
      <selection activeCell="A2" sqref="A2"/>
      <selection pane="topRight" activeCell="G36" sqref="G36"/>
    </sheetView>
  </sheetViews>
  <sheetFormatPr defaultColWidth="9.109375" defaultRowHeight="13.2"/>
  <cols>
    <col min="1" max="1" width="9.109375" style="1" customWidth="1"/>
    <col min="2" max="2" width="9.88671875" style="1" customWidth="1"/>
    <col min="3" max="3" width="44.33203125" style="1" customWidth="1"/>
    <col min="4" max="4" width="8.33203125" style="1" bestFit="1" customWidth="1"/>
    <col min="5" max="6" width="7.6640625" style="1" bestFit="1" customWidth="1"/>
    <col min="7" max="7" width="6.44140625" style="1" customWidth="1"/>
    <col min="8" max="12" width="7.6640625" style="1" bestFit="1" customWidth="1"/>
    <col min="13" max="13" width="8.33203125" style="1" bestFit="1" customWidth="1"/>
    <col min="14" max="14" width="7.6640625" style="1" bestFit="1" customWidth="1"/>
    <col min="15" max="15" width="8.44140625" style="1" bestFit="1" customWidth="1"/>
    <col min="16" max="16" width="7.6640625" style="1" bestFit="1" customWidth="1"/>
    <col min="17" max="17" width="8.33203125" style="1" bestFit="1" customWidth="1"/>
    <col min="18" max="18" width="7.6640625" style="1" bestFit="1" customWidth="1"/>
    <col min="19" max="19" width="8.44140625" style="1" bestFit="1" customWidth="1"/>
    <col min="20" max="21" width="8.6640625" style="1" bestFit="1" customWidth="1"/>
    <col min="22" max="22" width="8.44140625" style="1" bestFit="1" customWidth="1"/>
    <col min="23" max="23" width="8.6640625" style="1" bestFit="1" customWidth="1"/>
    <col min="24" max="24" width="8" style="1" bestFit="1" customWidth="1"/>
    <col min="25" max="25" width="8.5546875" style="1" bestFit="1" customWidth="1"/>
    <col min="26" max="26" width="7.88671875" style="1" bestFit="1" customWidth="1"/>
    <col min="27" max="27" width="8.88671875" style="1" bestFit="1" customWidth="1"/>
    <col min="28" max="28" width="19.88671875" style="1" customWidth="1"/>
    <col min="29" max="30" width="9.109375" style="1"/>
    <col min="31" max="31" width="7.5546875" style="1" bestFit="1" customWidth="1"/>
    <col min="32" max="32" width="9.44140625" style="1" customWidth="1"/>
    <col min="33" max="33" width="11.44140625" style="1" customWidth="1"/>
    <col min="34" max="35" width="12" style="1" customWidth="1"/>
    <col min="36" max="36" width="12" style="75" customWidth="1"/>
    <col min="37" max="38" width="12" style="1" customWidth="1"/>
    <col min="39" max="16384" width="9.109375" style="1"/>
  </cols>
  <sheetData>
    <row r="1" spans="1:39">
      <c r="AJ1" s="1"/>
    </row>
    <row r="2" spans="1:39">
      <c r="A2" s="6" t="s">
        <v>123</v>
      </c>
      <c r="AJ2" s="1"/>
    </row>
    <row r="3" spans="1:39" ht="13.8" thickBot="1">
      <c r="A3" s="6"/>
      <c r="AJ3" s="1"/>
    </row>
    <row r="4" spans="1:39" ht="26.4" customHeight="1" thickTop="1">
      <c r="A4" s="19" t="s">
        <v>92</v>
      </c>
      <c r="B4" s="48" t="s">
        <v>93</v>
      </c>
      <c r="C4" s="48" t="s">
        <v>94</v>
      </c>
      <c r="D4" s="48">
        <v>1991</v>
      </c>
      <c r="E4" s="48">
        <v>1992</v>
      </c>
      <c r="F4" s="48">
        <v>1993</v>
      </c>
      <c r="G4" s="48">
        <v>1994</v>
      </c>
      <c r="H4" s="48">
        <v>1995</v>
      </c>
      <c r="I4" s="48">
        <v>1996</v>
      </c>
      <c r="J4" s="48">
        <v>1997</v>
      </c>
      <c r="K4" s="48">
        <v>1998</v>
      </c>
      <c r="L4" s="48">
        <v>1999</v>
      </c>
      <c r="M4" s="488">
        <v>2000</v>
      </c>
      <c r="N4" s="488">
        <v>2001</v>
      </c>
      <c r="O4" s="488">
        <v>2002</v>
      </c>
      <c r="P4" s="488">
        <v>2003</v>
      </c>
      <c r="Q4" s="488">
        <v>2004</v>
      </c>
      <c r="R4" s="488">
        <v>2005</v>
      </c>
      <c r="S4" s="488">
        <v>2006</v>
      </c>
      <c r="T4" s="488">
        <v>2007</v>
      </c>
      <c r="U4" s="488">
        <v>2008</v>
      </c>
      <c r="V4" s="488">
        <v>2009</v>
      </c>
      <c r="W4" s="488">
        <v>2010</v>
      </c>
      <c r="X4" s="488">
        <v>2011</v>
      </c>
      <c r="Y4" s="488">
        <v>2012</v>
      </c>
      <c r="Z4" s="488">
        <v>2013</v>
      </c>
      <c r="AA4" s="490">
        <v>2014</v>
      </c>
      <c r="AB4" s="488">
        <v>2015</v>
      </c>
      <c r="AC4" s="489">
        <v>2016</v>
      </c>
      <c r="AD4" s="962">
        <v>2017</v>
      </c>
      <c r="AE4" s="962">
        <v>2018</v>
      </c>
      <c r="AF4" s="962">
        <v>2019</v>
      </c>
      <c r="AG4" s="962">
        <v>2020</v>
      </c>
      <c r="AH4" s="962">
        <v>2021</v>
      </c>
      <c r="AI4" s="962">
        <v>2022</v>
      </c>
      <c r="AJ4" s="962">
        <v>2023</v>
      </c>
      <c r="AK4" s="962">
        <v>2024</v>
      </c>
      <c r="AL4" s="1895">
        <v>2025</v>
      </c>
      <c r="AM4" s="354" t="s">
        <v>124</v>
      </c>
    </row>
    <row r="5" spans="1:39">
      <c r="A5" s="722"/>
      <c r="B5" s="1119" t="s">
        <v>125</v>
      </c>
      <c r="C5" s="1119" t="s">
        <v>126</v>
      </c>
      <c r="D5" s="1119">
        <v>7865</v>
      </c>
      <c r="E5" s="1119">
        <v>8415</v>
      </c>
      <c r="F5" s="1119">
        <v>7317</v>
      </c>
      <c r="G5" s="1119">
        <v>3893</v>
      </c>
      <c r="H5" s="1119">
        <v>6272</v>
      </c>
      <c r="I5" s="1119">
        <v>9318</v>
      </c>
      <c r="J5" s="1119">
        <v>6879</v>
      </c>
      <c r="K5" s="1119">
        <v>8100</v>
      </c>
      <c r="L5" s="1119">
        <v>7340</v>
      </c>
      <c r="M5" s="1120">
        <v>8147</v>
      </c>
      <c r="N5" s="1120">
        <v>8337</v>
      </c>
      <c r="O5" s="1120">
        <v>7833</v>
      </c>
      <c r="P5" s="1120">
        <v>5813</v>
      </c>
      <c r="Q5" s="1120">
        <v>14036</v>
      </c>
      <c r="R5" s="1120">
        <v>9159</v>
      </c>
      <c r="S5" s="1120">
        <v>8706</v>
      </c>
      <c r="T5" s="1120">
        <v>7488</v>
      </c>
      <c r="U5" s="1120">
        <v>7494</v>
      </c>
      <c r="V5" s="1120">
        <v>12899</v>
      </c>
      <c r="W5" s="1120">
        <v>9637</v>
      </c>
      <c r="X5" s="1636">
        <v>11589</v>
      </c>
      <c r="Y5" s="1120">
        <v>7911</v>
      </c>
      <c r="Z5" s="1120">
        <v>1728</v>
      </c>
      <c r="AA5" s="918">
        <v>2417</v>
      </c>
      <c r="AB5" s="1122">
        <v>2022</v>
      </c>
      <c r="AC5" s="919">
        <v>3064</v>
      </c>
      <c r="AD5" s="1144">
        <v>3897</v>
      </c>
      <c r="AE5" s="1144">
        <v>5814</v>
      </c>
      <c r="AF5" s="1144">
        <f>AF7-AF6</f>
        <v>8391</v>
      </c>
      <c r="AG5" s="1134">
        <v>7512</v>
      </c>
      <c r="AH5" s="1134">
        <v>5673</v>
      </c>
      <c r="AI5" s="1729">
        <v>7192</v>
      </c>
      <c r="AJ5" s="1275">
        <v>6626.3</v>
      </c>
      <c r="AK5" s="1119">
        <v>7150</v>
      </c>
      <c r="AL5" s="1673">
        <v>6876</v>
      </c>
      <c r="AM5" s="91">
        <f>(AL5-AK5)/AK5</f>
        <v>-3.8321678321678321E-2</v>
      </c>
    </row>
    <row r="6" spans="1:39">
      <c r="A6" s="722"/>
      <c r="B6" s="1119" t="s">
        <v>125</v>
      </c>
      <c r="C6" s="1119" t="s">
        <v>10</v>
      </c>
      <c r="D6" s="1119"/>
      <c r="E6" s="1119"/>
      <c r="F6" s="1119"/>
      <c r="G6" s="1119"/>
      <c r="H6" s="1119"/>
      <c r="I6" s="1119"/>
      <c r="J6" s="1119"/>
      <c r="K6" s="1119"/>
      <c r="L6" s="1119"/>
      <c r="M6" s="1120"/>
      <c r="N6" s="1120"/>
      <c r="O6" s="1120"/>
      <c r="P6" s="1120"/>
      <c r="Q6" s="1120"/>
      <c r="R6" s="1120"/>
      <c r="S6" s="1120">
        <v>2911</v>
      </c>
      <c r="T6" s="1120">
        <v>2266</v>
      </c>
      <c r="U6" s="1120">
        <v>2298</v>
      </c>
      <c r="V6" s="1120">
        <v>3526</v>
      </c>
      <c r="W6" s="1120">
        <v>3905</v>
      </c>
      <c r="X6" s="1120">
        <v>2543</v>
      </c>
      <c r="Y6" s="1120">
        <v>2234</v>
      </c>
      <c r="Z6" s="1120">
        <v>185</v>
      </c>
      <c r="AA6" s="918">
        <v>1810</v>
      </c>
      <c r="AB6" s="1122">
        <v>96</v>
      </c>
      <c r="AC6" s="919">
        <v>955</v>
      </c>
      <c r="AD6" s="1144">
        <v>797</v>
      </c>
      <c r="AE6" s="1144">
        <v>1651</v>
      </c>
      <c r="AF6" s="1144">
        <v>1937</v>
      </c>
      <c r="AG6" s="1119"/>
      <c r="AH6" s="1119"/>
      <c r="AI6" s="1666"/>
      <c r="AJ6" s="4"/>
      <c r="AK6" s="1119"/>
      <c r="AL6" s="1673"/>
      <c r="AM6" s="91" t="s">
        <v>18</v>
      </c>
    </row>
    <row r="7" spans="1:39">
      <c r="A7" s="722"/>
      <c r="B7" s="1119" t="s">
        <v>125</v>
      </c>
      <c r="C7" s="1119" t="s">
        <v>45</v>
      </c>
      <c r="D7" s="1119">
        <f>D6+D5</f>
        <v>7865</v>
      </c>
      <c r="E7" s="1119">
        <f t="shared" ref="E7:N7" si="0">E6+E5</f>
        <v>8415</v>
      </c>
      <c r="F7" s="1119">
        <f t="shared" si="0"/>
        <v>7317</v>
      </c>
      <c r="G7" s="1119">
        <f t="shared" si="0"/>
        <v>3893</v>
      </c>
      <c r="H7" s="1119">
        <f t="shared" si="0"/>
        <v>6272</v>
      </c>
      <c r="I7" s="1119">
        <f t="shared" si="0"/>
        <v>9318</v>
      </c>
      <c r="J7" s="1119">
        <f t="shared" si="0"/>
        <v>6879</v>
      </c>
      <c r="K7" s="1119">
        <f t="shared" si="0"/>
        <v>8100</v>
      </c>
      <c r="L7" s="1119">
        <f t="shared" si="0"/>
        <v>7340</v>
      </c>
      <c r="M7" s="1120">
        <f t="shared" si="0"/>
        <v>8147</v>
      </c>
      <c r="N7" s="1120">
        <f t="shared" si="0"/>
        <v>8337</v>
      </c>
      <c r="O7" s="1120">
        <f t="shared" ref="O7:AB7" si="1">O6+O5</f>
        <v>7833</v>
      </c>
      <c r="P7" s="1120">
        <f t="shared" si="1"/>
        <v>5813</v>
      </c>
      <c r="Q7" s="1120">
        <f t="shared" si="1"/>
        <v>14036</v>
      </c>
      <c r="R7" s="1120">
        <f t="shared" si="1"/>
        <v>9159</v>
      </c>
      <c r="S7" s="1120">
        <f t="shared" si="1"/>
        <v>11617</v>
      </c>
      <c r="T7" s="1120">
        <f t="shared" si="1"/>
        <v>9754</v>
      </c>
      <c r="U7" s="1120">
        <f t="shared" si="1"/>
        <v>9792</v>
      </c>
      <c r="V7" s="1120">
        <f t="shared" si="1"/>
        <v>16425</v>
      </c>
      <c r="W7" s="1120">
        <f t="shared" si="1"/>
        <v>13542</v>
      </c>
      <c r="X7" s="1120">
        <f t="shared" si="1"/>
        <v>14132</v>
      </c>
      <c r="Y7" s="1120">
        <f t="shared" si="1"/>
        <v>10145</v>
      </c>
      <c r="Z7" s="1120">
        <f t="shared" si="1"/>
        <v>1913</v>
      </c>
      <c r="AA7" s="1120">
        <f t="shared" si="1"/>
        <v>4227</v>
      </c>
      <c r="AB7" s="1120">
        <f t="shared" si="1"/>
        <v>2118</v>
      </c>
      <c r="AC7" s="918">
        <f>AC6+AC5</f>
        <v>4019</v>
      </c>
      <c r="AD7" s="1144">
        <f>AD6+AD5</f>
        <v>4694</v>
      </c>
      <c r="AE7" s="1144">
        <f>AE6+AE5</f>
        <v>7465</v>
      </c>
      <c r="AF7" s="1144">
        <v>10328</v>
      </c>
      <c r="AG7" s="1134">
        <v>7512</v>
      </c>
      <c r="AH7" s="1134">
        <v>5673</v>
      </c>
      <c r="AI7" s="1729">
        <v>7192</v>
      </c>
      <c r="AJ7" s="1275">
        <v>6626.3</v>
      </c>
      <c r="AK7" s="1119">
        <v>7150</v>
      </c>
      <c r="AL7" s="1673">
        <f>SUM(AL5:AL6)</f>
        <v>6876</v>
      </c>
      <c r="AM7" s="91">
        <f>(AL7-AK7)/AK7</f>
        <v>-3.8321678321678321E-2</v>
      </c>
    </row>
    <row r="8" spans="1:39">
      <c r="A8" s="722"/>
      <c r="B8" s="1119" t="s">
        <v>102</v>
      </c>
      <c r="C8" s="1119" t="s">
        <v>127</v>
      </c>
      <c r="D8" s="1119"/>
      <c r="E8" s="1119"/>
      <c r="F8" s="1119"/>
      <c r="G8" s="1119"/>
      <c r="H8" s="1119"/>
      <c r="I8" s="1119"/>
      <c r="J8" s="1119"/>
      <c r="K8" s="1119"/>
      <c r="L8" s="1119"/>
      <c r="M8" s="1120"/>
      <c r="N8" s="1120"/>
      <c r="O8" s="1120"/>
      <c r="P8" s="1120"/>
      <c r="Q8" s="1120">
        <v>1945</v>
      </c>
      <c r="R8" s="1120">
        <v>3200</v>
      </c>
      <c r="S8" s="1120">
        <v>3197</v>
      </c>
      <c r="T8" s="1120">
        <v>2257</v>
      </c>
      <c r="U8" s="1120">
        <v>1881</v>
      </c>
      <c r="V8" s="1120">
        <v>2120</v>
      </c>
      <c r="W8" s="1120">
        <v>821</v>
      </c>
      <c r="X8" s="1120">
        <v>510</v>
      </c>
      <c r="Y8" s="1120"/>
      <c r="Z8" s="1120">
        <v>1764</v>
      </c>
      <c r="AA8" s="918"/>
      <c r="AB8" s="1120"/>
      <c r="AC8" s="918"/>
      <c r="AD8" s="1144"/>
      <c r="AE8" s="1144"/>
      <c r="AF8" s="1144"/>
      <c r="AG8" s="1144"/>
      <c r="AH8" s="1144"/>
      <c r="AI8" s="1276"/>
      <c r="AJ8" s="1206"/>
      <c r="AK8" s="1119"/>
      <c r="AL8" s="1673">
        <v>6372</v>
      </c>
      <c r="AM8" s="91" t="s">
        <v>18</v>
      </c>
    </row>
    <row r="9" spans="1:39" ht="14.4">
      <c r="A9" s="722"/>
      <c r="B9" s="1119"/>
      <c r="C9" s="1119" t="s">
        <v>128</v>
      </c>
      <c r="D9" s="1119"/>
      <c r="E9" s="1119"/>
      <c r="F9" s="1119"/>
      <c r="G9" s="1119"/>
      <c r="H9" s="1119"/>
      <c r="I9" s="1119"/>
      <c r="J9" s="1119"/>
      <c r="K9" s="1119"/>
      <c r="L9" s="1119"/>
      <c r="M9" s="1120"/>
      <c r="N9" s="1120"/>
      <c r="O9" s="1120"/>
      <c r="P9" s="1120"/>
      <c r="Q9" s="1120"/>
      <c r="R9" s="1120"/>
      <c r="S9" s="1120"/>
      <c r="T9" s="1120"/>
      <c r="U9" s="1120"/>
      <c r="V9" s="1120"/>
      <c r="W9" s="1120"/>
      <c r="X9" s="1120"/>
      <c r="Y9" s="1120"/>
      <c r="Z9" s="1120">
        <v>2155</v>
      </c>
      <c r="AA9" s="918">
        <v>1295</v>
      </c>
      <c r="AB9" s="1120">
        <v>1667</v>
      </c>
      <c r="AC9" s="918">
        <v>1565</v>
      </c>
      <c r="AD9" s="1144">
        <v>1617</v>
      </c>
      <c r="AE9" s="1144">
        <v>1250</v>
      </c>
      <c r="AF9" s="1144">
        <v>1365</v>
      </c>
      <c r="AG9" s="1144">
        <v>1516</v>
      </c>
      <c r="AH9" s="1144">
        <v>994</v>
      </c>
      <c r="AI9" s="1277">
        <v>882</v>
      </c>
      <c r="AJ9" s="1278">
        <v>751</v>
      </c>
      <c r="AK9" s="1119">
        <v>2227</v>
      </c>
      <c r="AL9" s="1673">
        <v>2637</v>
      </c>
      <c r="AM9" s="91">
        <f>(AL9-AK9)/AK9</f>
        <v>0.18410417602155366</v>
      </c>
    </row>
    <row r="10" spans="1:39">
      <c r="A10" s="722" t="s">
        <v>104</v>
      </c>
      <c r="B10" s="1119" t="s">
        <v>93</v>
      </c>
      <c r="C10" s="1119" t="s">
        <v>94</v>
      </c>
      <c r="D10" s="1119"/>
      <c r="E10" s="1119"/>
      <c r="F10" s="1119"/>
      <c r="G10" s="1119"/>
      <c r="H10" s="1119"/>
      <c r="I10" s="1119"/>
      <c r="J10" s="1119"/>
      <c r="K10" s="1119"/>
      <c r="L10" s="1119"/>
      <c r="M10" s="1120"/>
      <c r="N10" s="1120"/>
      <c r="O10" s="1120"/>
      <c r="P10" s="1120"/>
      <c r="Q10" s="1120"/>
      <c r="R10" s="1120"/>
      <c r="S10" s="1120"/>
      <c r="T10" s="1120"/>
      <c r="U10" s="1120"/>
      <c r="V10" s="1120"/>
      <c r="W10" s="1120"/>
      <c r="X10" s="1120"/>
      <c r="Y10" s="1120"/>
      <c r="Z10" s="1120"/>
      <c r="AA10" s="918"/>
      <c r="AB10" s="1120"/>
      <c r="AC10" s="918"/>
      <c r="AD10" s="1144"/>
      <c r="AE10" s="1144"/>
      <c r="AF10" s="1144"/>
      <c r="AG10" s="1144"/>
      <c r="AH10" s="1144"/>
      <c r="AI10" s="1276"/>
      <c r="AJ10" s="1206"/>
      <c r="AK10" s="1119"/>
      <c r="AL10" s="1673"/>
      <c r="AM10" s="91" t="s">
        <v>117</v>
      </c>
    </row>
    <row r="11" spans="1:39">
      <c r="A11" s="722"/>
      <c r="B11" s="1119" t="s">
        <v>125</v>
      </c>
      <c r="C11" s="1119" t="s">
        <v>129</v>
      </c>
      <c r="D11" s="1145">
        <v>94398</v>
      </c>
      <c r="E11" s="1145">
        <v>116995</v>
      </c>
      <c r="F11" s="1145">
        <v>86769</v>
      </c>
      <c r="G11" s="1145">
        <v>56850</v>
      </c>
      <c r="H11" s="1145">
        <v>97272</v>
      </c>
      <c r="I11" s="1145">
        <v>68453.818089148364</v>
      </c>
      <c r="J11" s="1145">
        <v>49278.006199317446</v>
      </c>
      <c r="K11" s="1145">
        <v>87102.44846326836</v>
      </c>
      <c r="L11" s="1145">
        <v>62547.614662895445</v>
      </c>
      <c r="M11" s="1636">
        <v>121141.26074618395</v>
      </c>
      <c r="N11" s="1636">
        <v>161516.5490590487</v>
      </c>
      <c r="O11" s="1636">
        <v>156871.19664267323</v>
      </c>
      <c r="P11" s="1636">
        <v>94076.731178117683</v>
      </c>
      <c r="Q11" s="1636">
        <v>159238.73184697828</v>
      </c>
      <c r="R11" s="1636">
        <v>175565.91288961883</v>
      </c>
      <c r="S11" s="1636">
        <v>165323.02076836696</v>
      </c>
      <c r="T11" s="1636">
        <v>200614</v>
      </c>
      <c r="U11" s="1636">
        <v>269287</v>
      </c>
      <c r="V11" s="1636">
        <v>216614</v>
      </c>
      <c r="W11" s="1636">
        <v>270316</v>
      </c>
      <c r="X11" s="1636">
        <v>158826</v>
      </c>
      <c r="Y11" s="1636">
        <v>113674.834149128</v>
      </c>
      <c r="Z11" s="1636">
        <v>21581</v>
      </c>
      <c r="AA11" s="486">
        <v>101831</v>
      </c>
      <c r="AB11" s="1490">
        <v>132965.15982999999</v>
      </c>
      <c r="AC11" s="899">
        <v>127961</v>
      </c>
      <c r="AD11" s="1144">
        <v>122177</v>
      </c>
      <c r="AE11" s="1144">
        <v>180102</v>
      </c>
      <c r="AF11" s="1119">
        <v>237308</v>
      </c>
      <c r="AG11" s="1119">
        <v>226864.978</v>
      </c>
      <c r="AH11" s="1119">
        <v>123016</v>
      </c>
      <c r="AI11" s="1206">
        <v>106180.81250687625</v>
      </c>
      <c r="AJ11" s="1179">
        <v>175074.55</v>
      </c>
      <c r="AK11" s="1119">
        <v>265950.27900000004</v>
      </c>
      <c r="AL11" s="1673"/>
      <c r="AM11" s="91">
        <f>(AL11-AK11)/AK11</f>
        <v>-1</v>
      </c>
    </row>
    <row r="12" spans="1:39">
      <c r="A12" s="722"/>
      <c r="B12" s="1119" t="s">
        <v>125</v>
      </c>
      <c r="C12" s="1119" t="s">
        <v>130</v>
      </c>
      <c r="D12" s="1145"/>
      <c r="E12" s="1145"/>
      <c r="F12" s="1145"/>
      <c r="G12" s="1145"/>
      <c r="H12" s="1145"/>
      <c r="I12" s="1145"/>
      <c r="J12" s="1145"/>
      <c r="K12" s="1145"/>
      <c r="L12" s="1145"/>
      <c r="M12" s="1636"/>
      <c r="N12" s="1636"/>
      <c r="O12" s="1636"/>
      <c r="P12" s="1636"/>
      <c r="Q12" s="1636"/>
      <c r="R12" s="1636"/>
      <c r="S12" s="1636"/>
      <c r="T12" s="1636"/>
      <c r="U12" s="1636"/>
      <c r="V12" s="1636"/>
      <c r="W12" s="1636"/>
      <c r="X12" s="1636"/>
      <c r="Y12" s="1636"/>
      <c r="Z12" s="1636"/>
      <c r="AA12" s="486"/>
      <c r="AB12" s="1490"/>
      <c r="AC12" s="899"/>
      <c r="AD12" s="1144"/>
      <c r="AE12" s="1144"/>
      <c r="AF12" s="1144"/>
      <c r="AG12" s="1144"/>
      <c r="AH12" s="1144"/>
      <c r="AI12" s="1276"/>
      <c r="AJ12" s="1206"/>
      <c r="AK12" s="1119"/>
      <c r="AL12" s="1673"/>
      <c r="AM12" s="91" t="s">
        <v>18</v>
      </c>
    </row>
    <row r="13" spans="1:39">
      <c r="A13" s="722"/>
      <c r="B13" s="1119" t="s">
        <v>131</v>
      </c>
      <c r="C13" s="1119"/>
      <c r="D13" s="1119"/>
      <c r="E13" s="1119"/>
      <c r="F13" s="1119"/>
      <c r="G13" s="1119"/>
      <c r="H13" s="1119"/>
      <c r="I13" s="1119"/>
      <c r="J13" s="1119"/>
      <c r="K13" s="1119"/>
      <c r="L13" s="1119"/>
      <c r="M13" s="1120"/>
      <c r="N13" s="1120"/>
      <c r="O13" s="1120"/>
      <c r="P13" s="1120"/>
      <c r="Q13" s="1120"/>
      <c r="R13" s="1120"/>
      <c r="S13" s="1120"/>
      <c r="T13" s="1120"/>
      <c r="U13" s="1120">
        <v>54464</v>
      </c>
      <c r="V13" s="1120">
        <v>74495</v>
      </c>
      <c r="W13" s="1120">
        <v>24295</v>
      </c>
      <c r="X13" s="1120"/>
      <c r="Y13" s="1120"/>
      <c r="Z13" s="1120"/>
      <c r="AA13" s="918"/>
      <c r="AB13" s="1120"/>
      <c r="AC13" s="918"/>
      <c r="AD13" s="1144"/>
      <c r="AE13" s="1144"/>
      <c r="AF13" s="1144"/>
      <c r="AG13" s="1144"/>
      <c r="AH13" s="1144"/>
      <c r="AI13" s="1276"/>
      <c r="AJ13" s="1206"/>
      <c r="AK13" s="1119"/>
      <c r="AL13" s="1673"/>
      <c r="AM13" s="91" t="s">
        <v>18</v>
      </c>
    </row>
    <row r="14" spans="1:39">
      <c r="A14" s="722" t="s">
        <v>108</v>
      </c>
      <c r="B14" s="1119" t="s">
        <v>93</v>
      </c>
      <c r="C14" s="1119" t="s">
        <v>94</v>
      </c>
      <c r="D14" s="1119"/>
      <c r="E14" s="1119"/>
      <c r="F14" s="1119"/>
      <c r="G14" s="1119"/>
      <c r="H14" s="1119"/>
      <c r="I14" s="1119"/>
      <c r="J14" s="1119"/>
      <c r="K14" s="1119"/>
      <c r="L14" s="1119"/>
      <c r="M14" s="1120"/>
      <c r="N14" s="1120"/>
      <c r="O14" s="1120"/>
      <c r="P14" s="1120"/>
      <c r="Q14" s="1120"/>
      <c r="R14" s="1120"/>
      <c r="S14" s="1120"/>
      <c r="T14" s="1120"/>
      <c r="U14" s="1120"/>
      <c r="V14" s="1120"/>
      <c r="W14" s="1120"/>
      <c r="X14" s="1120"/>
      <c r="Y14" s="1120"/>
      <c r="Z14" s="1120"/>
      <c r="AA14" s="918"/>
      <c r="AB14" s="1120"/>
      <c r="AC14" s="918"/>
      <c r="AD14" s="1144"/>
      <c r="AE14" s="1144"/>
      <c r="AF14" s="1144"/>
      <c r="AG14" s="1144"/>
      <c r="AH14" s="1144"/>
      <c r="AI14" s="1276"/>
      <c r="AJ14" s="1276"/>
      <c r="AK14" s="1119"/>
      <c r="AL14" s="1673"/>
    </row>
    <row r="15" spans="1:39">
      <c r="A15" s="722"/>
      <c r="B15" s="1119" t="s">
        <v>125</v>
      </c>
      <c r="C15" s="1119" t="s">
        <v>110</v>
      </c>
      <c r="D15" s="1302">
        <f>D11/D5</f>
        <v>12.00228862047044</v>
      </c>
      <c r="E15" s="1302">
        <f>E11/E5</f>
        <v>13.903149138443256</v>
      </c>
      <c r="F15" s="1302">
        <f t="shared" ref="F15:N15" si="2">F11/F5</f>
        <v>11.858548585485854</v>
      </c>
      <c r="G15" s="1302">
        <f t="shared" si="2"/>
        <v>14.603133829951194</v>
      </c>
      <c r="H15" s="1302">
        <f t="shared" si="2"/>
        <v>15.508928571428571</v>
      </c>
      <c r="I15" s="1302">
        <f t="shared" si="2"/>
        <v>7.3464067492110283</v>
      </c>
      <c r="J15" s="1302">
        <f t="shared" si="2"/>
        <v>7.1635421135800907</v>
      </c>
      <c r="K15" s="1302">
        <f t="shared" si="2"/>
        <v>10.753388699168934</v>
      </c>
      <c r="L15" s="1302">
        <f t="shared" si="2"/>
        <v>8.5214733873154564</v>
      </c>
      <c r="M15" s="1288">
        <f t="shared" si="2"/>
        <v>14.869431784237628</v>
      </c>
      <c r="N15" s="1288">
        <f t="shared" si="2"/>
        <v>19.373461563997687</v>
      </c>
      <c r="O15" s="1288">
        <f t="shared" ref="O15:Y15" si="3">O11/O5</f>
        <v>20.026962420869811</v>
      </c>
      <c r="P15" s="1288">
        <f t="shared" si="3"/>
        <v>16.183851914350196</v>
      </c>
      <c r="Q15" s="1288">
        <f t="shared" si="3"/>
        <v>11.345022217653055</v>
      </c>
      <c r="R15" s="1288">
        <f t="shared" si="3"/>
        <v>19.168677026926392</v>
      </c>
      <c r="S15" s="1288">
        <f t="shared" si="3"/>
        <v>18.989549824071556</v>
      </c>
      <c r="T15" s="1288">
        <f t="shared" si="3"/>
        <v>26.791399572649574</v>
      </c>
      <c r="U15" s="1288">
        <f t="shared" si="3"/>
        <v>35.933680277555375</v>
      </c>
      <c r="V15" s="1288">
        <f t="shared" si="3"/>
        <v>16.793084735250794</v>
      </c>
      <c r="W15" s="1288">
        <f t="shared" si="3"/>
        <v>28.049808031545087</v>
      </c>
      <c r="X15" s="1288">
        <f t="shared" si="3"/>
        <v>13.70489257054103</v>
      </c>
      <c r="Y15" s="1288">
        <f t="shared" si="3"/>
        <v>14.369211749352548</v>
      </c>
      <c r="Z15" s="1288">
        <f t="shared" ref="Z15:AF15" si="4">Z11/Z5</f>
        <v>12.48900462962963</v>
      </c>
      <c r="AA15" s="920">
        <f t="shared" si="4"/>
        <v>42.13115432354158</v>
      </c>
      <c r="AB15" s="1288">
        <f t="shared" si="4"/>
        <v>65.759228402571708</v>
      </c>
      <c r="AC15" s="920">
        <f t="shared" si="4"/>
        <v>41.762728459530024</v>
      </c>
      <c r="AD15" s="1288">
        <f t="shared" si="4"/>
        <v>31.351552476263791</v>
      </c>
      <c r="AE15" s="1288">
        <f t="shared" si="4"/>
        <v>30.977296181630546</v>
      </c>
      <c r="AF15" s="1288">
        <f t="shared" si="4"/>
        <v>28.281253724228339</v>
      </c>
      <c r="AG15" s="1288">
        <f>AG11/AG5</f>
        <v>30.200343184238552</v>
      </c>
      <c r="AH15" s="1288">
        <f>AH11/AH5</f>
        <v>21.684470297902344</v>
      </c>
      <c r="AI15" s="1279">
        <v>24.9</v>
      </c>
      <c r="AJ15" s="1279">
        <v>31.1</v>
      </c>
      <c r="AK15" s="1119">
        <v>26.7</v>
      </c>
      <c r="AL15" s="1673">
        <v>25.2</v>
      </c>
      <c r="AM15" s="91">
        <f>(AL15-AK15)/AK15</f>
        <v>-5.6179775280898875E-2</v>
      </c>
    </row>
    <row r="16" spans="1:39">
      <c r="A16" s="722"/>
      <c r="B16" s="1119" t="s">
        <v>125</v>
      </c>
      <c r="C16" s="1119" t="s">
        <v>132</v>
      </c>
      <c r="D16" s="1302">
        <v>24.94</v>
      </c>
      <c r="E16" s="1302">
        <v>36.99</v>
      </c>
      <c r="F16" s="1302">
        <v>29.62</v>
      </c>
      <c r="G16" s="1302">
        <v>26.89</v>
      </c>
      <c r="H16" s="1302">
        <v>26.85</v>
      </c>
      <c r="I16" s="1302">
        <v>29.26</v>
      </c>
      <c r="J16" s="1302">
        <v>21.64</v>
      </c>
      <c r="K16" s="1302">
        <v>29.26</v>
      </c>
      <c r="L16" s="1302">
        <v>21.68</v>
      </c>
      <c r="M16" s="1288">
        <v>24.4</v>
      </c>
      <c r="N16" s="1288">
        <v>27.72</v>
      </c>
      <c r="O16" s="1288">
        <v>26.16</v>
      </c>
      <c r="P16" s="1288">
        <v>25.1</v>
      </c>
      <c r="Q16" s="1288">
        <v>26.1</v>
      </c>
      <c r="R16" s="1288"/>
      <c r="S16" s="1288"/>
      <c r="T16" s="1288"/>
      <c r="U16" s="1120"/>
      <c r="V16" s="1120"/>
      <c r="W16" s="1120"/>
      <c r="X16" s="1120"/>
      <c r="Y16" s="1120"/>
      <c r="Z16" s="1120"/>
      <c r="AA16" s="918"/>
      <c r="AB16" s="1120"/>
      <c r="AC16" s="918"/>
      <c r="AD16" s="1144"/>
      <c r="AE16" s="1144"/>
      <c r="AF16" s="1144"/>
      <c r="AG16" s="1144"/>
      <c r="AH16" s="1144"/>
      <c r="AI16" s="1144"/>
      <c r="AJ16" s="1144"/>
      <c r="AK16" s="1119"/>
      <c r="AL16" s="1673"/>
    </row>
    <row r="17" spans="1:39">
      <c r="A17" s="1119"/>
      <c r="B17" s="1119" t="s">
        <v>125</v>
      </c>
      <c r="C17" s="1119" t="s">
        <v>133</v>
      </c>
      <c r="D17" s="1287">
        <f t="shared" ref="D17:L17" si="5">D11/D7</f>
        <v>12.00228862047044</v>
      </c>
      <c r="E17" s="1287">
        <f t="shared" si="5"/>
        <v>13.903149138443256</v>
      </c>
      <c r="F17" s="1287">
        <f t="shared" si="5"/>
        <v>11.858548585485854</v>
      </c>
      <c r="G17" s="1287">
        <f t="shared" si="5"/>
        <v>14.603133829951194</v>
      </c>
      <c r="H17" s="1287">
        <f t="shared" si="5"/>
        <v>15.508928571428571</v>
      </c>
      <c r="I17" s="1287">
        <f t="shared" si="5"/>
        <v>7.3464067492110283</v>
      </c>
      <c r="J17" s="1287">
        <f t="shared" si="5"/>
        <v>7.1635421135800907</v>
      </c>
      <c r="K17" s="1287">
        <f t="shared" si="5"/>
        <v>10.753388699168934</v>
      </c>
      <c r="L17" s="1287">
        <f t="shared" si="5"/>
        <v>8.5214733873154564</v>
      </c>
      <c r="M17" s="1288">
        <f t="shared" ref="M17:AF17" si="6">M11/M7</f>
        <v>14.869431784237628</v>
      </c>
      <c r="N17" s="1288">
        <f t="shared" si="6"/>
        <v>19.373461563997687</v>
      </c>
      <c r="O17" s="1288">
        <f t="shared" si="6"/>
        <v>20.026962420869811</v>
      </c>
      <c r="P17" s="1288">
        <f t="shared" si="6"/>
        <v>16.183851914350196</v>
      </c>
      <c r="Q17" s="1288">
        <f t="shared" si="6"/>
        <v>11.345022217653055</v>
      </c>
      <c r="R17" s="1288">
        <f t="shared" si="6"/>
        <v>19.168677026926392</v>
      </c>
      <c r="S17" s="1288">
        <f t="shared" si="6"/>
        <v>14.231128584692</v>
      </c>
      <c r="T17" s="1288">
        <f t="shared" si="6"/>
        <v>20.567356981751075</v>
      </c>
      <c r="U17" s="1288">
        <f t="shared" si="6"/>
        <v>27.500714869281047</v>
      </c>
      <c r="V17" s="1288">
        <f t="shared" si="6"/>
        <v>13.188066971080669</v>
      </c>
      <c r="W17" s="1288">
        <f t="shared" si="6"/>
        <v>19.961305567862944</v>
      </c>
      <c r="X17" s="1288">
        <f t="shared" si="6"/>
        <v>11.238748938579111</v>
      </c>
      <c r="Y17" s="1288">
        <f t="shared" si="6"/>
        <v>11.205010758908625</v>
      </c>
      <c r="Z17" s="1288">
        <f t="shared" si="6"/>
        <v>11.281233664401464</v>
      </c>
      <c r="AA17" s="1288">
        <f t="shared" si="6"/>
        <v>24.090607996214811</v>
      </c>
      <c r="AB17" s="1288">
        <f t="shared" si="6"/>
        <v>62.778640146364488</v>
      </c>
      <c r="AC17" s="1288">
        <f t="shared" si="6"/>
        <v>31.839014680268722</v>
      </c>
      <c r="AD17" s="1144">
        <f t="shared" si="6"/>
        <v>26.028334043459736</v>
      </c>
      <c r="AE17" s="1144">
        <f t="shared" si="6"/>
        <v>24.126188881446751</v>
      </c>
      <c r="AF17" s="1144">
        <f t="shared" si="6"/>
        <v>22.977149496514329</v>
      </c>
      <c r="AG17" s="1289">
        <f t="shared" ref="AG17:AL17" si="7">AG11/AG7</f>
        <v>30.200343184238552</v>
      </c>
      <c r="AH17" s="1289">
        <f t="shared" si="7"/>
        <v>21.684470297902344</v>
      </c>
      <c r="AI17" s="1289">
        <f t="shared" si="7"/>
        <v>14.763739225094028</v>
      </c>
      <c r="AJ17" s="1289">
        <f t="shared" si="7"/>
        <v>26.421162639783891</v>
      </c>
      <c r="AK17" s="1289">
        <f t="shared" si="7"/>
        <v>37.195843216783224</v>
      </c>
      <c r="AL17" s="1896">
        <f t="shared" si="7"/>
        <v>0</v>
      </c>
      <c r="AM17" s="91">
        <f>(AL17-AK17)/AK17</f>
        <v>-1</v>
      </c>
    </row>
    <row r="18" spans="1:39" s="75" customFormat="1">
      <c r="A18" s="1290"/>
      <c r="B18" s="1290"/>
      <c r="C18" s="1290" t="s">
        <v>134</v>
      </c>
      <c r="D18" s="1291">
        <v>24.94</v>
      </c>
      <c r="E18" s="1291">
        <v>36.99</v>
      </c>
      <c r="F18" s="1291">
        <v>29.62</v>
      </c>
      <c r="G18" s="1291">
        <v>26.89</v>
      </c>
      <c r="H18" s="1291">
        <v>26.85</v>
      </c>
      <c r="I18" s="1291">
        <v>29.26</v>
      </c>
      <c r="J18" s="1291">
        <v>21.64</v>
      </c>
      <c r="K18" s="1291">
        <v>29.26</v>
      </c>
      <c r="L18" s="1291">
        <v>23.5</v>
      </c>
      <c r="M18" s="1292">
        <v>24.2</v>
      </c>
      <c r="N18" s="1292">
        <v>24.2</v>
      </c>
      <c r="O18" s="1292">
        <v>23.1</v>
      </c>
      <c r="P18" s="1292">
        <v>23.3</v>
      </c>
      <c r="Q18" s="1292">
        <v>24.2</v>
      </c>
      <c r="R18" s="1292">
        <v>23.9</v>
      </c>
      <c r="S18" s="1292">
        <v>23.4</v>
      </c>
      <c r="T18" s="1292">
        <v>24.6</v>
      </c>
      <c r="U18" s="1293">
        <v>24.1</v>
      </c>
      <c r="V18" s="1293">
        <v>23.5</v>
      </c>
      <c r="W18" s="1293">
        <v>31.2</v>
      </c>
      <c r="X18" s="1293">
        <v>14.1</v>
      </c>
      <c r="Y18" s="1293">
        <v>18.5</v>
      </c>
      <c r="Z18" s="1294">
        <v>30.9</v>
      </c>
      <c r="AA18" s="1293">
        <v>23.1</v>
      </c>
      <c r="AB18" s="1293">
        <v>30.2</v>
      </c>
      <c r="AC18" s="1293">
        <v>22.1</v>
      </c>
      <c r="AD18" s="1295">
        <v>22.3</v>
      </c>
      <c r="AE18" s="1295">
        <v>24.9</v>
      </c>
      <c r="AF18" s="1296" t="s">
        <v>135</v>
      </c>
      <c r="AG18" s="1297" t="s">
        <v>136</v>
      </c>
      <c r="AH18" s="1297" t="s">
        <v>137</v>
      </c>
      <c r="AI18" s="1297" t="s">
        <v>138</v>
      </c>
      <c r="AJ18" s="1299" t="s">
        <v>139</v>
      </c>
      <c r="AK18" s="1290">
        <v>26.7</v>
      </c>
      <c r="AL18" s="1897">
        <v>25.2</v>
      </c>
      <c r="AM18" s="91">
        <f>(AL18-AK18)/AK18</f>
        <v>-5.6179775280898875E-2</v>
      </c>
    </row>
    <row r="19" spans="1:39" s="75" customFormat="1">
      <c r="A19" s="1290"/>
      <c r="B19" s="1290"/>
      <c r="C19" s="1290" t="s">
        <v>140</v>
      </c>
      <c r="D19" s="1291"/>
      <c r="E19" s="1291"/>
      <c r="F19" s="1291"/>
      <c r="G19" s="1291"/>
      <c r="H19" s="1291">
        <v>20.2</v>
      </c>
      <c r="I19" s="1291">
        <v>21</v>
      </c>
      <c r="J19" s="1291">
        <v>21.2</v>
      </c>
      <c r="K19" s="1291">
        <v>20.7</v>
      </c>
      <c r="L19" s="1291">
        <v>18.8</v>
      </c>
      <c r="M19" s="1292">
        <v>14.3</v>
      </c>
      <c r="N19" s="1292"/>
      <c r="O19" s="1292"/>
      <c r="P19" s="1292"/>
      <c r="Q19" s="1292">
        <v>32</v>
      </c>
      <c r="R19" s="1292">
        <v>28.3</v>
      </c>
      <c r="S19" s="1292">
        <v>24.1</v>
      </c>
      <c r="T19" s="1292">
        <v>23.9</v>
      </c>
      <c r="U19" s="1292">
        <v>29.2</v>
      </c>
      <c r="V19" s="1292">
        <v>26.3</v>
      </c>
      <c r="W19" s="1292">
        <v>21.6</v>
      </c>
      <c r="X19" s="1292">
        <v>19.3</v>
      </c>
      <c r="Y19" s="1292"/>
      <c r="Z19" s="1295">
        <v>30.9</v>
      </c>
      <c r="AA19" s="1292"/>
      <c r="AB19" s="1292">
        <v>32.200000000000003</v>
      </c>
      <c r="AC19" s="1292">
        <v>30.8</v>
      </c>
      <c r="AD19" s="1295">
        <v>28.3</v>
      </c>
      <c r="AE19" s="1298">
        <v>31</v>
      </c>
      <c r="AF19" s="1297">
        <v>28</v>
      </c>
      <c r="AG19" s="1297" t="s">
        <v>141</v>
      </c>
      <c r="AH19" s="1297" t="s">
        <v>142</v>
      </c>
      <c r="AI19" s="1297" t="s">
        <v>143</v>
      </c>
      <c r="AJ19" s="1299">
        <v>39</v>
      </c>
      <c r="AK19" s="1290">
        <v>38.5</v>
      </c>
      <c r="AL19" s="1897">
        <v>26</v>
      </c>
      <c r="AM19" s="91">
        <f>(AL19-AK19)/AK19</f>
        <v>-0.32467532467532467</v>
      </c>
    </row>
    <row r="20" spans="1:39" ht="13.8" thickBot="1">
      <c r="A20" s="1280"/>
      <c r="B20" s="1281"/>
      <c r="C20" s="1281" t="s">
        <v>144</v>
      </c>
      <c r="D20" s="1282">
        <v>2.1460021820739899</v>
      </c>
      <c r="E20" s="1282">
        <v>2.4875420663867298</v>
      </c>
      <c r="F20" s="1282">
        <v>2.4125409568459499</v>
      </c>
      <c r="G20" s="1282">
        <v>2.4698856178821202</v>
      </c>
      <c r="H20" s="1282">
        <v>2.0173686647342897</v>
      </c>
      <c r="I20" s="1282">
        <v>1.7666819645255163</v>
      </c>
      <c r="J20" s="1282">
        <v>1.6070448267050181</v>
      </c>
      <c r="K20" s="1282">
        <v>1.3781999187921756</v>
      </c>
      <c r="L20" s="1282">
        <v>0.90649414385223404</v>
      </c>
      <c r="M20" s="1283">
        <v>1.1833611493286564</v>
      </c>
      <c r="N20" s="1283">
        <v>1.5636713738415209</v>
      </c>
      <c r="O20" s="1283">
        <v>1.2234943806208891</v>
      </c>
      <c r="P20" s="1283">
        <v>1.1108845512791696</v>
      </c>
      <c r="Q20" s="1283">
        <v>1.5108413347869336</v>
      </c>
      <c r="R20" s="1283">
        <v>1.730295600090433</v>
      </c>
      <c r="S20" s="1283">
        <v>1.44</v>
      </c>
      <c r="T20" s="1283">
        <v>1.74</v>
      </c>
      <c r="U20" s="1284"/>
      <c r="V20" s="1284"/>
      <c r="W20" s="1284"/>
      <c r="X20" s="1284"/>
      <c r="Y20" s="1284"/>
      <c r="Z20" s="1284"/>
      <c r="AA20" s="1285"/>
      <c r="AB20" s="1284"/>
      <c r="AC20" s="1286"/>
      <c r="AD20" s="963"/>
      <c r="AE20" s="963"/>
      <c r="AF20" s="575"/>
      <c r="AG20" s="1300"/>
      <c r="AH20" s="1300"/>
      <c r="AI20" s="1300"/>
      <c r="AJ20" s="1301"/>
      <c r="AK20" s="76"/>
      <c r="AL20" s="1898"/>
    </row>
    <row r="21" spans="1:39" ht="13.8" thickTop="1">
      <c r="A21" s="1">
        <v>1</v>
      </c>
      <c r="B21" s="1" t="s">
        <v>145</v>
      </c>
      <c r="M21" s="486"/>
      <c r="N21" s="486"/>
      <c r="O21" s="486"/>
      <c r="P21" s="486"/>
      <c r="Q21" s="486"/>
      <c r="R21" s="486"/>
      <c r="S21" s="486"/>
      <c r="T21" s="486"/>
      <c r="U21" s="486"/>
      <c r="V21" s="486"/>
      <c r="W21" s="486"/>
      <c r="X21" s="486"/>
      <c r="Y21" s="486"/>
      <c r="Z21" s="486"/>
      <c r="AA21" s="486"/>
    </row>
    <row r="22" spans="1:39">
      <c r="A22" s="6" t="s">
        <v>146</v>
      </c>
      <c r="AI22" s="1428"/>
      <c r="AJ22" s="1428"/>
      <c r="AK22" s="1428"/>
      <c r="AL22" s="1428"/>
    </row>
    <row r="23" spans="1:39" ht="13.8" thickBot="1">
      <c r="M23" s="486"/>
      <c r="N23" s="486"/>
      <c r="O23" s="486"/>
      <c r="P23" s="486"/>
      <c r="Q23" s="486"/>
      <c r="R23" s="486"/>
      <c r="S23" s="486"/>
      <c r="T23" s="486"/>
      <c r="U23" s="486"/>
      <c r="V23" s="486"/>
      <c r="W23" s="486"/>
      <c r="X23" s="486"/>
      <c r="Y23" s="486"/>
      <c r="Z23" s="486"/>
      <c r="AA23" s="486"/>
      <c r="AI23" s="1428"/>
      <c r="AJ23" s="1428"/>
      <c r="AK23" s="1428"/>
      <c r="AL23" s="1428"/>
    </row>
    <row r="24" spans="1:39" ht="13.8" thickTop="1">
      <c r="D24" s="1429">
        <v>1991</v>
      </c>
      <c r="E24" s="1429">
        <v>1992</v>
      </c>
      <c r="F24" s="1429">
        <v>1993</v>
      </c>
      <c r="G24" s="1429">
        <v>1994</v>
      </c>
      <c r="H24" s="1429">
        <v>1995</v>
      </c>
      <c r="I24" s="1429">
        <v>1996</v>
      </c>
      <c r="J24" s="1429">
        <v>1997</v>
      </c>
      <c r="K24" s="1429">
        <v>1998</v>
      </c>
      <c r="L24" s="1429">
        <v>1999</v>
      </c>
      <c r="M24" s="1430">
        <v>2000</v>
      </c>
      <c r="N24" s="1430">
        <v>2001</v>
      </c>
      <c r="O24" s="1430">
        <v>2002</v>
      </c>
      <c r="P24" s="1430">
        <v>2003</v>
      </c>
      <c r="Q24" s="1430">
        <v>2004</v>
      </c>
      <c r="R24" s="1430">
        <v>2005</v>
      </c>
      <c r="S24" s="1430">
        <v>2006</v>
      </c>
      <c r="T24" s="1430">
        <v>2007</v>
      </c>
      <c r="U24" s="1430">
        <v>2008</v>
      </c>
      <c r="V24" s="1430">
        <v>2009</v>
      </c>
      <c r="W24" s="1430">
        <v>2010</v>
      </c>
      <c r="X24" s="1430">
        <v>2011</v>
      </c>
      <c r="Y24" s="1430">
        <v>2012</v>
      </c>
      <c r="Z24" s="1430">
        <v>2013</v>
      </c>
      <c r="AA24" s="1430">
        <v>2014</v>
      </c>
      <c r="AB24" s="1430">
        <v>2015</v>
      </c>
      <c r="AC24" s="1430">
        <v>2016</v>
      </c>
      <c r="AD24" s="1430">
        <v>2017</v>
      </c>
      <c r="AE24" s="1430">
        <v>2018</v>
      </c>
      <c r="AF24" s="1430">
        <v>2019</v>
      </c>
      <c r="AG24" s="1430">
        <v>2020</v>
      </c>
      <c r="AH24" s="1430">
        <v>2021</v>
      </c>
      <c r="AI24" s="1430">
        <v>2022</v>
      </c>
      <c r="AJ24" s="1430">
        <v>2023</v>
      </c>
      <c r="AK24" s="1431">
        <v>2024</v>
      </c>
      <c r="AL24" s="1431">
        <v>2025</v>
      </c>
    </row>
    <row r="25" spans="1:39">
      <c r="C25" s="1432" t="s">
        <v>147</v>
      </c>
      <c r="D25" s="1119"/>
      <c r="E25" s="1119"/>
      <c r="F25" s="1119"/>
      <c r="G25" s="1119"/>
      <c r="H25" s="1302">
        <v>18.600000000000001</v>
      </c>
      <c r="I25" s="1119">
        <v>16.7</v>
      </c>
      <c r="J25" s="1119">
        <v>12.9</v>
      </c>
      <c r="K25" s="1119">
        <v>6.9</v>
      </c>
      <c r="L25" s="1119">
        <v>11.1</v>
      </c>
      <c r="M25" s="1119">
        <v>14.1</v>
      </c>
      <c r="N25" s="1119">
        <v>6.4</v>
      </c>
      <c r="O25" s="1119">
        <v>9.9</v>
      </c>
      <c r="P25" s="1119">
        <v>9.6999999999999993</v>
      </c>
      <c r="Q25" s="1119">
        <v>13.2</v>
      </c>
      <c r="R25" s="1119">
        <v>11.7</v>
      </c>
      <c r="S25" s="1119">
        <v>19.899999999999999</v>
      </c>
      <c r="T25" s="1119">
        <v>12.6</v>
      </c>
      <c r="U25" s="1119">
        <v>16.100000000000001</v>
      </c>
      <c r="V25" s="1119">
        <v>19.5</v>
      </c>
      <c r="W25" s="1119">
        <v>20.399999999999999</v>
      </c>
      <c r="X25" s="1119">
        <v>17.399999999999999</v>
      </c>
      <c r="Y25" s="1119">
        <v>15.9</v>
      </c>
      <c r="Z25" s="1119">
        <v>17.100000000000001</v>
      </c>
      <c r="AA25" s="1119">
        <v>16.100000000000001</v>
      </c>
      <c r="AB25" s="1119">
        <v>20.7</v>
      </c>
      <c r="AC25" s="1119">
        <v>21.7</v>
      </c>
      <c r="AD25" s="1119">
        <v>24.5</v>
      </c>
      <c r="AE25" s="1134">
        <v>18.38</v>
      </c>
      <c r="AF25" s="1134">
        <v>23.2</v>
      </c>
      <c r="AG25" s="1134">
        <v>21.8</v>
      </c>
      <c r="AH25" s="1134">
        <v>18.7</v>
      </c>
      <c r="AI25" s="1134">
        <v>21.1</v>
      </c>
      <c r="AJ25" s="1134">
        <v>31.1</v>
      </c>
      <c r="AK25" s="1433">
        <v>26.7</v>
      </c>
      <c r="AL25" s="1433">
        <v>26</v>
      </c>
      <c r="AM25" s="91">
        <f>(AL25-AK25)/AK25</f>
        <v>-2.6217228464419449E-2</v>
      </c>
    </row>
    <row r="26" spans="1:39">
      <c r="C26" s="1432" t="s">
        <v>148</v>
      </c>
      <c r="D26" s="1302">
        <v>12.00228862047044</v>
      </c>
      <c r="E26" s="1302">
        <v>13.903149138443256</v>
      </c>
      <c r="F26" s="1302">
        <v>11.858548585485854</v>
      </c>
      <c r="G26" s="1302">
        <v>14.603133829951194</v>
      </c>
      <c r="H26" s="1302">
        <v>15.508928571428571</v>
      </c>
      <c r="I26" s="1302">
        <v>7.3464067492110274</v>
      </c>
      <c r="J26" s="1302">
        <v>7.1635421135800907</v>
      </c>
      <c r="K26" s="1302">
        <v>10.753388699168934</v>
      </c>
      <c r="L26" s="1302">
        <v>8.5214733873154564</v>
      </c>
      <c r="M26" s="1302">
        <v>14.869431784237626</v>
      </c>
      <c r="N26" s="1302">
        <v>19.373461563997687</v>
      </c>
      <c r="O26" s="1302">
        <v>20.026962420869811</v>
      </c>
      <c r="P26" s="1302">
        <v>16.183851914350196</v>
      </c>
      <c r="Q26" s="1302">
        <v>11.345022217653055</v>
      </c>
      <c r="R26" s="1302">
        <v>19.168677026926392</v>
      </c>
      <c r="S26" s="1302">
        <v>18.989549824071556</v>
      </c>
      <c r="T26" s="1302">
        <v>26.791399572649574</v>
      </c>
      <c r="U26" s="1302">
        <v>35.933680277555375</v>
      </c>
      <c r="V26" s="1302">
        <v>16.793084735250794</v>
      </c>
      <c r="W26" s="1302">
        <v>28.049808031545084</v>
      </c>
      <c r="X26" s="1302">
        <v>13.70489257054103</v>
      </c>
      <c r="Y26" s="1302">
        <v>14.369211749352546</v>
      </c>
      <c r="Z26" s="1302">
        <v>12.48900462962963</v>
      </c>
      <c r="AA26" s="1302">
        <v>12.279151091281804</v>
      </c>
      <c r="AB26" s="1302">
        <v>24.118476297841465</v>
      </c>
      <c r="AC26" s="1302">
        <v>30.8</v>
      </c>
      <c r="AD26" s="1302">
        <v>22.3</v>
      </c>
      <c r="AE26" s="1302">
        <v>24.9</v>
      </c>
      <c r="AF26" s="1302">
        <v>28</v>
      </c>
      <c r="AG26" s="1302">
        <v>18.600000000000001</v>
      </c>
      <c r="AH26" s="1302">
        <v>24</v>
      </c>
      <c r="AI26" s="1302">
        <v>24.9</v>
      </c>
      <c r="AJ26" s="1302">
        <v>31.8</v>
      </c>
      <c r="AK26" s="1433">
        <v>26.7</v>
      </c>
      <c r="AL26" s="1433">
        <v>25.2</v>
      </c>
      <c r="AM26" s="91">
        <f>(AL26-AK26)/AK26</f>
        <v>-5.6179775280898875E-2</v>
      </c>
    </row>
    <row r="27" spans="1:39">
      <c r="D27" s="35"/>
      <c r="E27" s="35"/>
      <c r="F27" s="35"/>
      <c r="G27" s="35"/>
      <c r="P27" s="35"/>
      <c r="Q27" s="35"/>
      <c r="R27" s="35"/>
      <c r="S27" s="35"/>
      <c r="T27" s="35"/>
      <c r="AI27" s="1428"/>
      <c r="AJ27" s="1428"/>
      <c r="AK27" s="1428"/>
      <c r="AL27" s="1428"/>
    </row>
    <row r="28" spans="1:39">
      <c r="D28" s="35"/>
      <c r="E28" s="35"/>
      <c r="F28" s="35"/>
      <c r="G28" s="35"/>
      <c r="L28" s="78"/>
      <c r="M28" s="2"/>
      <c r="N28" s="35"/>
      <c r="O28" s="222"/>
      <c r="P28" s="2"/>
      <c r="Q28" s="2"/>
      <c r="R28" s="2"/>
      <c r="S28" s="35"/>
      <c r="T28" s="35"/>
    </row>
    <row r="29" spans="1:39">
      <c r="D29" s="35"/>
      <c r="E29" s="35"/>
      <c r="F29" s="35"/>
      <c r="G29" s="35"/>
      <c r="L29" s="78"/>
      <c r="M29" s="2"/>
      <c r="N29" s="35"/>
      <c r="O29" s="222"/>
      <c r="P29" s="2"/>
      <c r="Q29" s="2"/>
      <c r="R29" s="2"/>
      <c r="S29" s="35"/>
      <c r="T29" s="35"/>
    </row>
    <row r="30" spans="1:39">
      <c r="D30" s="35"/>
      <c r="E30" s="35"/>
      <c r="F30" s="35"/>
      <c r="G30" s="35"/>
      <c r="L30" s="78"/>
      <c r="M30" s="2"/>
      <c r="N30" s="35"/>
      <c r="O30" s="222"/>
      <c r="P30" s="2"/>
      <c r="Q30" s="2"/>
      <c r="R30" s="2"/>
      <c r="S30" s="35"/>
      <c r="T30" s="35"/>
    </row>
    <row r="31" spans="1:39">
      <c r="D31" s="35"/>
      <c r="E31" s="35"/>
      <c r="F31" s="35"/>
      <c r="G31" s="35"/>
      <c r="L31" s="78"/>
      <c r="M31" s="2"/>
      <c r="N31" s="35"/>
      <c r="O31" s="222"/>
      <c r="P31" s="2"/>
      <c r="Q31" s="2"/>
      <c r="R31" s="2"/>
      <c r="S31" s="35"/>
      <c r="T31" s="35"/>
    </row>
    <row r="32" spans="1:39">
      <c r="D32" s="35"/>
      <c r="E32" s="35"/>
      <c r="F32" s="35"/>
      <c r="G32" s="35"/>
      <c r="L32" s="78"/>
      <c r="M32" s="2"/>
      <c r="N32" s="35"/>
      <c r="O32" s="222"/>
      <c r="P32" s="2"/>
      <c r="Q32" s="2"/>
      <c r="R32" s="2"/>
      <c r="S32" s="35"/>
      <c r="T32" s="35"/>
    </row>
    <row r="33" spans="4:20">
      <c r="D33" s="35"/>
      <c r="E33" s="35"/>
      <c r="F33" s="35"/>
      <c r="G33" s="35"/>
      <c r="L33" s="78"/>
      <c r="M33" s="2"/>
      <c r="N33" s="35"/>
      <c r="O33" s="222"/>
      <c r="P33" s="2"/>
      <c r="Q33" s="2"/>
      <c r="R33" s="2"/>
      <c r="S33" s="35"/>
      <c r="T33" s="35"/>
    </row>
    <row r="34" spans="4:20">
      <c r="D34" s="35"/>
      <c r="E34" s="35"/>
      <c r="F34" s="35"/>
      <c r="G34" s="35"/>
      <c r="L34" s="78"/>
      <c r="M34" s="2"/>
      <c r="N34" s="35"/>
      <c r="O34" s="222"/>
      <c r="P34" s="2"/>
      <c r="Q34" s="2"/>
      <c r="R34" s="2"/>
      <c r="S34" s="35"/>
      <c r="T34" s="35"/>
    </row>
    <row r="35" spans="4:20">
      <c r="D35" s="35"/>
      <c r="E35" s="35"/>
      <c r="F35" s="35"/>
      <c r="G35" s="35"/>
      <c r="L35" s="78"/>
      <c r="M35" s="2"/>
      <c r="N35" s="35"/>
      <c r="O35" s="222"/>
      <c r="P35" s="2"/>
      <c r="Q35" s="2"/>
      <c r="R35" s="2"/>
      <c r="S35" s="35"/>
      <c r="T35" s="35"/>
    </row>
    <row r="36" spans="4:20">
      <c r="D36" s="35"/>
      <c r="E36" s="35"/>
      <c r="F36" s="35"/>
      <c r="G36" s="35"/>
      <c r="L36" s="78"/>
      <c r="M36" s="2"/>
      <c r="N36" s="35"/>
      <c r="O36" s="222"/>
      <c r="P36" s="2"/>
      <c r="Q36" s="2"/>
      <c r="R36" s="2"/>
      <c r="S36" s="35"/>
      <c r="T36" s="35"/>
    </row>
    <row r="37" spans="4:20">
      <c r="D37" s="35"/>
      <c r="E37" s="35"/>
      <c r="F37" s="35"/>
      <c r="G37" s="35"/>
      <c r="L37" s="78"/>
      <c r="M37" s="2"/>
      <c r="N37" s="35"/>
      <c r="O37" s="222"/>
      <c r="P37" s="2"/>
      <c r="Q37" s="2"/>
      <c r="R37" s="2"/>
      <c r="S37" s="35"/>
      <c r="T37" s="35"/>
    </row>
    <row r="38" spans="4:20">
      <c r="D38" s="35"/>
      <c r="E38" s="35"/>
      <c r="F38" s="35"/>
      <c r="G38" s="35"/>
      <c r="L38" s="78"/>
      <c r="M38" s="2"/>
      <c r="N38" s="35"/>
      <c r="O38" s="222"/>
      <c r="P38" s="2"/>
      <c r="Q38" s="2"/>
      <c r="R38" s="2"/>
      <c r="S38" s="35"/>
      <c r="T38" s="35"/>
    </row>
    <row r="39" spans="4:20">
      <c r="D39" s="35"/>
      <c r="E39" s="35"/>
      <c r="F39" s="35"/>
      <c r="G39" s="35"/>
      <c r="L39" s="78"/>
      <c r="M39" s="2"/>
      <c r="N39" s="35"/>
      <c r="O39" s="35"/>
      <c r="P39" s="35"/>
      <c r="Q39" s="35"/>
      <c r="R39" s="35"/>
      <c r="S39" s="35"/>
      <c r="T39" s="35"/>
    </row>
    <row r="40" spans="4:20">
      <c r="D40" s="35"/>
      <c r="E40" s="81">
        <f>(AK26-AJ26)/AJ26</f>
        <v>-0.16037735849056609</v>
      </c>
      <c r="F40" s="35"/>
      <c r="G40" s="35"/>
      <c r="L40" s="78"/>
      <c r="M40" s="2"/>
      <c r="N40" s="35"/>
      <c r="O40" s="35"/>
      <c r="P40" s="35"/>
      <c r="Q40" s="35"/>
      <c r="R40" s="35"/>
      <c r="S40" s="35"/>
      <c r="T40" s="35"/>
    </row>
    <row r="41" spans="4:20">
      <c r="D41" s="35"/>
      <c r="E41" s="35"/>
      <c r="F41" s="35"/>
      <c r="G41" s="35"/>
      <c r="L41" s="78"/>
      <c r="M41" s="2"/>
      <c r="N41" s="35"/>
      <c r="O41" s="35"/>
      <c r="P41" s="35"/>
      <c r="Q41" s="35"/>
      <c r="R41" s="35"/>
      <c r="S41" s="35"/>
      <c r="T41" s="35"/>
    </row>
    <row r="42" spans="4:20">
      <c r="D42" s="35"/>
      <c r="E42" s="35"/>
      <c r="F42" s="35"/>
      <c r="G42" s="35"/>
      <c r="L42" s="78"/>
      <c r="M42" s="2"/>
      <c r="N42" s="35"/>
      <c r="O42" s="35"/>
      <c r="P42" s="35"/>
      <c r="Q42" s="35"/>
      <c r="R42" s="35"/>
      <c r="S42" s="35"/>
      <c r="T42" s="35"/>
    </row>
    <row r="43" spans="4:20">
      <c r="D43" s="35"/>
      <c r="E43" s="35"/>
      <c r="F43" s="35"/>
      <c r="G43" s="35"/>
      <c r="L43" s="78"/>
      <c r="M43" s="2"/>
      <c r="N43" s="35"/>
      <c r="O43" s="35"/>
      <c r="P43" s="35"/>
      <c r="Q43" s="35"/>
      <c r="R43" s="35"/>
      <c r="S43" s="35"/>
      <c r="T43" s="35"/>
    </row>
    <row r="44" spans="4:20">
      <c r="D44" s="35"/>
      <c r="E44" s="35"/>
      <c r="F44" s="35"/>
      <c r="G44" s="35"/>
      <c r="L44" s="78"/>
      <c r="M44" s="2"/>
      <c r="N44" s="35"/>
      <c r="O44" s="35"/>
      <c r="P44" s="35"/>
      <c r="Q44" s="35"/>
      <c r="R44" s="35"/>
      <c r="S44" s="35"/>
      <c r="T44" s="35"/>
    </row>
    <row r="45" spans="4:20">
      <c r="L45" s="78"/>
      <c r="M45" s="2"/>
      <c r="N45" s="35"/>
      <c r="O45" s="35"/>
      <c r="P45" s="35"/>
      <c r="Q45" s="35"/>
      <c r="R45" s="35"/>
    </row>
    <row r="46" spans="4:20">
      <c r="L46" s="78"/>
    </row>
    <row r="47" spans="4:20">
      <c r="L47" s="78"/>
    </row>
    <row r="48" spans="4:20">
      <c r="G48" s="6"/>
    </row>
    <row r="49" spans="10:40">
      <c r="AI49"/>
      <c r="AJ49" s="130"/>
      <c r="AK49"/>
      <c r="AL49"/>
      <c r="AM49"/>
      <c r="AN49"/>
    </row>
    <row r="50" spans="10:40">
      <c r="AI50"/>
      <c r="AJ50" s="130"/>
      <c r="AK50"/>
      <c r="AL50"/>
      <c r="AM50"/>
      <c r="AN50"/>
    </row>
    <row r="51" spans="10:40">
      <c r="AI51"/>
      <c r="AJ51" s="130"/>
      <c r="AK51"/>
      <c r="AL51"/>
      <c r="AM51"/>
      <c r="AN51"/>
    </row>
    <row r="52" spans="10:40">
      <c r="AI52"/>
      <c r="AJ52" s="130"/>
      <c r="AK52"/>
      <c r="AL52"/>
      <c r="AM52"/>
      <c r="AN52"/>
    </row>
    <row r="53" spans="10:40">
      <c r="AI53"/>
      <c r="AJ53" s="130"/>
      <c r="AK53"/>
      <c r="AL53"/>
      <c r="AM53"/>
      <c r="AN53"/>
    </row>
    <row r="54" spans="10:40">
      <c r="AI54"/>
      <c r="AJ54" s="130"/>
      <c r="AK54"/>
      <c r="AL54"/>
      <c r="AM54"/>
      <c r="AN54"/>
    </row>
    <row r="55" spans="10:40">
      <c r="J55" s="149"/>
      <c r="K55" s="222"/>
      <c r="AI55"/>
      <c r="AJ55" s="130"/>
      <c r="AK55"/>
      <c r="AL55"/>
      <c r="AM55"/>
      <c r="AN55"/>
    </row>
    <row r="56" spans="10:40">
      <c r="J56" s="149"/>
      <c r="K56" s="222"/>
      <c r="AI56"/>
      <c r="AJ56" s="130"/>
      <c r="AK56"/>
      <c r="AL56"/>
      <c r="AM56"/>
      <c r="AN56"/>
    </row>
    <row r="57" spans="10:40">
      <c r="J57" s="149"/>
      <c r="K57" s="222"/>
      <c r="AI57"/>
      <c r="AJ57" s="130"/>
      <c r="AK57"/>
      <c r="AL57"/>
      <c r="AM57"/>
      <c r="AN57"/>
    </row>
    <row r="58" spans="10:40">
      <c r="J58" s="149"/>
      <c r="K58" s="222"/>
      <c r="AJ58" s="130"/>
      <c r="AK58"/>
      <c r="AL58"/>
      <c r="AM58"/>
      <c r="AN58"/>
    </row>
    <row r="59" spans="10:40">
      <c r="J59" s="149"/>
      <c r="K59" s="222"/>
      <c r="AJ59" s="130"/>
      <c r="AK59"/>
      <c r="AL59"/>
      <c r="AM59"/>
      <c r="AN59"/>
    </row>
    <row r="60" spans="10:40">
      <c r="J60" s="149"/>
      <c r="K60" s="222"/>
      <c r="AJ60" s="130"/>
      <c r="AK60"/>
      <c r="AL60"/>
      <c r="AM60"/>
      <c r="AN60"/>
    </row>
    <row r="61" spans="10:40">
      <c r="J61" s="149"/>
      <c r="K61" s="222"/>
      <c r="AJ61" s="130"/>
      <c r="AK61"/>
      <c r="AL61"/>
      <c r="AM61"/>
      <c r="AN61"/>
    </row>
    <row r="62" spans="10:40">
      <c r="J62" s="149"/>
      <c r="K62" s="222"/>
      <c r="AJ62" s="130"/>
      <c r="AK62"/>
      <c r="AL62"/>
      <c r="AM62"/>
      <c r="AN62"/>
    </row>
    <row r="63" spans="10:40">
      <c r="J63" s="149"/>
      <c r="K63" s="222"/>
      <c r="AJ63" s="130"/>
      <c r="AK63"/>
      <c r="AL63"/>
      <c r="AM63"/>
      <c r="AN63"/>
    </row>
    <row r="64" spans="10:40">
      <c r="J64" s="149"/>
      <c r="K64" s="222"/>
      <c r="AJ64" s="130"/>
      <c r="AK64"/>
      <c r="AL64"/>
      <c r="AM64"/>
      <c r="AN64"/>
    </row>
    <row r="65" spans="10:40">
      <c r="J65" s="149"/>
      <c r="K65" s="222"/>
      <c r="AJ65" s="130"/>
      <c r="AK65"/>
      <c r="AL65"/>
      <c r="AM65"/>
      <c r="AN65"/>
    </row>
    <row r="66" spans="10:40">
      <c r="J66" s="149"/>
      <c r="K66" s="222"/>
      <c r="AJ66" s="130"/>
      <c r="AK66"/>
      <c r="AL66"/>
      <c r="AM66"/>
      <c r="AN66"/>
    </row>
    <row r="67" spans="10:40">
      <c r="J67" s="149"/>
      <c r="K67" s="222"/>
      <c r="AJ67" s="130"/>
      <c r="AK67"/>
      <c r="AL67"/>
      <c r="AM67"/>
      <c r="AN67"/>
    </row>
    <row r="68" spans="10:40">
      <c r="J68" s="149"/>
      <c r="K68" s="222"/>
      <c r="AJ68" s="130"/>
      <c r="AK68"/>
      <c r="AL68"/>
      <c r="AM68"/>
      <c r="AN68"/>
    </row>
    <row r="69" spans="10:40">
      <c r="J69" s="149"/>
      <c r="K69" s="222"/>
      <c r="AJ69" s="130"/>
      <c r="AK69"/>
      <c r="AL69"/>
      <c r="AM69"/>
      <c r="AN69"/>
    </row>
    <row r="70" spans="10:40">
      <c r="J70" s="149"/>
      <c r="K70" s="222"/>
      <c r="AJ70" s="130"/>
      <c r="AK70"/>
      <c r="AL70"/>
      <c r="AM70"/>
      <c r="AN70"/>
    </row>
    <row r="71" spans="10:40">
      <c r="J71" s="149"/>
      <c r="K71" s="222"/>
      <c r="AJ71" s="130"/>
      <c r="AK71"/>
      <c r="AL71"/>
      <c r="AM71"/>
      <c r="AN71"/>
    </row>
    <row r="72" spans="10:40">
      <c r="J72" s="149"/>
      <c r="K72" s="222"/>
      <c r="AJ72" s="130"/>
      <c r="AK72"/>
      <c r="AL72"/>
      <c r="AM72"/>
      <c r="AN72"/>
    </row>
    <row r="73" spans="10:40">
      <c r="J73" s="149"/>
      <c r="K73" s="222"/>
      <c r="AJ73" s="130"/>
      <c r="AK73"/>
      <c r="AL73"/>
      <c r="AM73"/>
      <c r="AN73"/>
    </row>
    <row r="74" spans="10:40">
      <c r="J74" s="149"/>
      <c r="K74" s="222"/>
      <c r="AJ74" s="130"/>
      <c r="AK74"/>
      <c r="AL74"/>
      <c r="AM74"/>
      <c r="AN74"/>
    </row>
    <row r="75" spans="10:40">
      <c r="J75" s="149"/>
      <c r="K75" s="222"/>
      <c r="AJ75" s="130"/>
      <c r="AK75"/>
      <c r="AL75"/>
      <c r="AM75"/>
      <c r="AN75"/>
    </row>
    <row r="76" spans="10:40">
      <c r="J76" s="149"/>
      <c r="K76" s="222"/>
      <c r="AJ76" s="130"/>
      <c r="AK76"/>
      <c r="AL76"/>
      <c r="AM76"/>
      <c r="AN76"/>
    </row>
    <row r="77" spans="10:40">
      <c r="J77" s="149"/>
      <c r="K77" s="222"/>
      <c r="AJ77" s="130"/>
      <c r="AK77"/>
      <c r="AL77"/>
      <c r="AM77"/>
      <c r="AN77"/>
    </row>
    <row r="78" spans="10:40">
      <c r="J78" s="78"/>
      <c r="K78" s="78"/>
      <c r="AJ78" s="130"/>
      <c r="AK78"/>
      <c r="AL78"/>
      <c r="AM78"/>
      <c r="AN78"/>
    </row>
    <row r="79" spans="10:40">
      <c r="J79" s="78"/>
      <c r="K79" s="78"/>
      <c r="AJ79" s="130"/>
      <c r="AK79"/>
      <c r="AL79"/>
      <c r="AM79"/>
      <c r="AN79"/>
    </row>
    <row r="80" spans="10:40">
      <c r="AJ80" s="130"/>
      <c r="AK80"/>
      <c r="AL80"/>
      <c r="AM80"/>
      <c r="AN80"/>
    </row>
    <row r="81" spans="2:40">
      <c r="AJ81" s="130"/>
      <c r="AK81"/>
      <c r="AL81"/>
      <c r="AM81"/>
      <c r="AN81"/>
    </row>
    <row r="91" spans="2:40">
      <c r="B91" s="75"/>
      <c r="AJ91" s="1"/>
    </row>
    <row r="92" spans="2:40">
      <c r="B92" s="75"/>
      <c r="AJ92" s="1"/>
    </row>
    <row r="93" spans="2:40">
      <c r="B93" s="75"/>
      <c r="AJ93" s="1"/>
    </row>
    <row r="94" spans="2:40">
      <c r="B94" s="75"/>
      <c r="AJ94" s="1"/>
    </row>
    <row r="95" spans="2:40">
      <c r="B95" s="75"/>
      <c r="AJ95" s="1"/>
    </row>
    <row r="96" spans="2:40">
      <c r="B96" s="75"/>
      <c r="AJ96" s="1"/>
    </row>
    <row r="97" spans="2:36">
      <c r="B97" s="75"/>
      <c r="AJ97" s="1"/>
    </row>
    <row r="98" spans="2:36">
      <c r="B98" s="75"/>
      <c r="AJ98" s="1"/>
    </row>
    <row r="99" spans="2:36">
      <c r="B99" s="75"/>
      <c r="AJ99" s="1"/>
    </row>
    <row r="100" spans="2:36">
      <c r="B100" s="75"/>
      <c r="AJ100" s="1"/>
    </row>
    <row r="101" spans="2:36">
      <c r="B101" s="75"/>
      <c r="AJ101" s="1"/>
    </row>
    <row r="102" spans="2:36">
      <c r="B102" s="75"/>
      <c r="AJ102" s="1"/>
    </row>
    <row r="103" spans="2:36">
      <c r="B103" s="75"/>
      <c r="AJ103" s="1"/>
    </row>
    <row r="104" spans="2:36">
      <c r="B104" s="75"/>
      <c r="AJ104" s="1"/>
    </row>
    <row r="105" spans="2:36">
      <c r="B105" s="75"/>
      <c r="AJ105" s="1"/>
    </row>
    <row r="106" spans="2:36">
      <c r="B106" s="75"/>
      <c r="AJ106" s="1"/>
    </row>
    <row r="107" spans="2:36">
      <c r="B107" s="75"/>
      <c r="AJ107" s="1"/>
    </row>
    <row r="108" spans="2:36">
      <c r="B108" s="75"/>
      <c r="AJ108" s="1"/>
    </row>
    <row r="109" spans="2:36">
      <c r="B109" s="75"/>
      <c r="AJ109" s="1"/>
    </row>
    <row r="110" spans="2:36">
      <c r="B110" s="75"/>
      <c r="AJ110" s="1"/>
    </row>
    <row r="111" spans="2:36">
      <c r="B111" s="75"/>
      <c r="AJ111" s="1"/>
    </row>
    <row r="112" spans="2:36">
      <c r="B112" s="75"/>
      <c r="AJ112" s="1"/>
    </row>
    <row r="113" spans="2:36">
      <c r="B113" s="75"/>
      <c r="AJ113" s="1"/>
    </row>
    <row r="114" spans="2:36">
      <c r="B114" s="75"/>
      <c r="AJ114" s="1"/>
    </row>
    <row r="115" spans="2:36">
      <c r="B115" s="75"/>
      <c r="AJ115" s="1"/>
    </row>
    <row r="116" spans="2:36">
      <c r="B116" s="75"/>
      <c r="AJ116" s="1"/>
    </row>
    <row r="117" spans="2:36">
      <c r="B117" s="75"/>
      <c r="AJ117" s="1"/>
    </row>
    <row r="118" spans="2:36">
      <c r="B118" s="75"/>
      <c r="AJ118" s="1"/>
    </row>
    <row r="119" spans="2:36">
      <c r="B119" s="75"/>
      <c r="AJ119" s="1"/>
    </row>
    <row r="120" spans="2:36">
      <c r="B120" s="75"/>
      <c r="AJ120" s="1"/>
    </row>
    <row r="121" spans="2:36">
      <c r="B121" s="75"/>
      <c r="AJ121" s="1"/>
    </row>
    <row r="122" spans="2:36">
      <c r="B122" s="75"/>
      <c r="AJ122" s="1"/>
    </row>
    <row r="123" spans="2:36">
      <c r="B123" s="75"/>
      <c r="AJ123" s="1"/>
    </row>
    <row r="124" spans="2:36">
      <c r="B124" s="75"/>
      <c r="AJ124" s="1"/>
    </row>
    <row r="125" spans="2:36">
      <c r="B125" s="75"/>
      <c r="AJ125" s="1"/>
    </row>
    <row r="126" spans="2:36">
      <c r="B126" s="75"/>
      <c r="AJ126" s="1"/>
    </row>
    <row r="127" spans="2:36">
      <c r="B127" s="75"/>
      <c r="AJ127" s="1"/>
    </row>
    <row r="128" spans="2:36">
      <c r="B128" s="75"/>
      <c r="AJ128" s="1"/>
    </row>
    <row r="129" spans="2:36">
      <c r="B129" s="75"/>
      <c r="AJ129" s="1"/>
    </row>
    <row r="130" spans="2:36">
      <c r="B130" s="75"/>
      <c r="AJ130" s="1"/>
    </row>
    <row r="131" spans="2:36">
      <c r="B131" s="75"/>
      <c r="AJ131" s="1"/>
    </row>
    <row r="132" spans="2:36">
      <c r="B132" s="75"/>
      <c r="AJ132" s="1"/>
    </row>
    <row r="133" spans="2:36">
      <c r="B133" s="75"/>
      <c r="AJ133" s="1"/>
    </row>
    <row r="134" spans="2:36">
      <c r="B134" s="75"/>
      <c r="AJ134" s="1"/>
    </row>
    <row r="135" spans="2:36">
      <c r="B135" s="75"/>
      <c r="AJ135" s="1"/>
    </row>
    <row r="136" spans="2:36">
      <c r="B136" s="75"/>
      <c r="AJ136" s="1"/>
    </row>
    <row r="137" spans="2:36">
      <c r="B137" s="75"/>
      <c r="AJ137" s="1"/>
    </row>
    <row r="138" spans="2:36">
      <c r="B138" s="75"/>
      <c r="AJ138" s="1"/>
    </row>
    <row r="139" spans="2:36">
      <c r="B139" s="75"/>
      <c r="AJ139" s="1"/>
    </row>
    <row r="140" spans="2:36">
      <c r="B140" s="75"/>
      <c r="AJ140" s="1"/>
    </row>
  </sheetData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FFFF00"/>
  </sheetPr>
  <dimension ref="A2:Z59"/>
  <sheetViews>
    <sheetView topLeftCell="A9" zoomScale="70" zoomScaleNormal="70" workbookViewId="0">
      <selection activeCell="H24" sqref="H24"/>
    </sheetView>
  </sheetViews>
  <sheetFormatPr defaultColWidth="11.44140625" defaultRowHeight="13.2"/>
  <cols>
    <col min="1" max="4" width="11.44140625" style="1" customWidth="1"/>
    <col min="5" max="5" width="13.33203125" style="1" customWidth="1"/>
    <col min="6" max="7" width="11.44140625" style="1"/>
    <col min="8" max="8" width="20.88671875" style="1" customWidth="1"/>
    <col min="9" max="14" width="11.44140625" style="1"/>
    <col min="15" max="15" width="12.5546875" style="1" bestFit="1" customWidth="1"/>
    <col min="16" max="16" width="20.33203125" style="1" bestFit="1" customWidth="1"/>
    <col min="17" max="17" width="20.33203125" style="1" customWidth="1"/>
    <col min="18" max="18" width="10.33203125" style="1" bestFit="1" customWidth="1"/>
    <col min="19" max="19" width="14.44140625" style="1" customWidth="1"/>
    <col min="20" max="20" width="20.33203125" style="1" bestFit="1" customWidth="1"/>
    <col min="21" max="16384" width="11.44140625" style="1"/>
  </cols>
  <sheetData>
    <row r="2" spans="2:22">
      <c r="B2" s="1665" t="s">
        <v>29</v>
      </c>
      <c r="C2" s="1119" t="s">
        <v>149</v>
      </c>
      <c r="D2" s="1119"/>
      <c r="E2" s="1119"/>
      <c r="F2" s="1119"/>
    </row>
    <row r="3" spans="2:22" ht="14.4">
      <c r="B3" s="1666"/>
      <c r="C3" s="1667" t="s">
        <v>77</v>
      </c>
      <c r="D3" s="1667" t="s">
        <v>76</v>
      </c>
      <c r="E3" s="1668" t="s">
        <v>150</v>
      </c>
      <c r="F3" s="1669" t="s">
        <v>45</v>
      </c>
    </row>
    <row r="4" spans="2:22">
      <c r="B4" s="1670">
        <v>1995</v>
      </c>
      <c r="C4" s="1119">
        <v>80</v>
      </c>
      <c r="D4" s="1666"/>
      <c r="E4" s="1666"/>
      <c r="F4" s="1145">
        <f>SUM(C4:D4)</f>
        <v>80</v>
      </c>
      <c r="M4" s="106"/>
      <c r="N4" s="108" t="s">
        <v>77</v>
      </c>
      <c r="O4" s="108" t="s">
        <v>76</v>
      </c>
      <c r="P4" s="108" t="s">
        <v>78</v>
      </c>
      <c r="Q4" s="108"/>
    </row>
    <row r="5" spans="2:22" ht="22.8">
      <c r="B5" s="1670">
        <v>1996</v>
      </c>
      <c r="C5" s="1119">
        <v>62</v>
      </c>
      <c r="D5" s="1666"/>
      <c r="E5" s="1666"/>
      <c r="F5" s="1145">
        <f t="shared" ref="F5:F15" si="0">SUM(C5:D5)</f>
        <v>62</v>
      </c>
      <c r="M5" s="107" t="s">
        <v>151</v>
      </c>
      <c r="N5" s="109">
        <v>37718</v>
      </c>
      <c r="O5" s="109">
        <v>487</v>
      </c>
      <c r="P5" s="109">
        <v>272158</v>
      </c>
      <c r="Q5" s="109"/>
    </row>
    <row r="6" spans="2:22" ht="22.8">
      <c r="B6" s="1670">
        <v>1997</v>
      </c>
      <c r="C6" s="1119">
        <v>150</v>
      </c>
      <c r="D6" s="1119">
        <v>12</v>
      </c>
      <c r="E6" s="1119"/>
      <c r="F6" s="1145">
        <f t="shared" si="0"/>
        <v>162</v>
      </c>
      <c r="M6" s="107" t="s">
        <v>152</v>
      </c>
      <c r="N6" s="109">
        <v>100014</v>
      </c>
      <c r="O6" s="109">
        <v>1997</v>
      </c>
      <c r="P6" s="109">
        <v>0</v>
      </c>
      <c r="Q6" s="109"/>
    </row>
    <row r="7" spans="2:22" ht="13.8" thickBot="1">
      <c r="B7" s="1670">
        <v>1998</v>
      </c>
      <c r="C7" s="1119">
        <v>259</v>
      </c>
      <c r="D7" s="1666"/>
      <c r="E7" s="1666"/>
      <c r="F7" s="1145">
        <f>SUM(C7:D7)</f>
        <v>259</v>
      </c>
      <c r="H7" s="27" t="s">
        <v>153</v>
      </c>
      <c r="M7" s="107" t="s">
        <v>45</v>
      </c>
      <c r="N7" s="109">
        <v>137732</v>
      </c>
      <c r="O7" s="109">
        <v>2484</v>
      </c>
      <c r="P7" s="109">
        <v>272158</v>
      </c>
      <c r="Q7" s="109"/>
    </row>
    <row r="8" spans="2:22" ht="13.8" thickBot="1">
      <c r="B8" s="1670">
        <v>1999</v>
      </c>
      <c r="C8" s="1119">
        <v>296</v>
      </c>
      <c r="D8" s="1666"/>
      <c r="E8" s="1666"/>
      <c r="F8" s="1145">
        <f t="shared" si="0"/>
        <v>296</v>
      </c>
      <c r="H8" s="24" t="s">
        <v>154</v>
      </c>
      <c r="I8" s="26">
        <v>0.9</v>
      </c>
      <c r="J8" s="7"/>
    </row>
    <row r="9" spans="2:22">
      <c r="B9" s="1670">
        <v>2000</v>
      </c>
      <c r="C9" s="1119">
        <v>724</v>
      </c>
      <c r="D9" s="1666"/>
      <c r="E9" s="1666"/>
      <c r="F9" s="1145">
        <f t="shared" si="0"/>
        <v>724</v>
      </c>
    </row>
    <row r="10" spans="2:22">
      <c r="B10" s="1670">
        <v>2001</v>
      </c>
      <c r="C10" s="1666">
        <v>0</v>
      </c>
      <c r="D10" s="1119">
        <v>4</v>
      </c>
      <c r="E10" s="1119"/>
      <c r="F10" s="1145">
        <f t="shared" si="0"/>
        <v>4</v>
      </c>
      <c r="N10" s="1" t="s">
        <v>155</v>
      </c>
      <c r="S10" s="1" t="s">
        <v>156</v>
      </c>
    </row>
    <row r="11" spans="2:22">
      <c r="B11" s="1670">
        <v>2002</v>
      </c>
      <c r="C11" s="1145">
        <v>179</v>
      </c>
      <c r="D11" s="1145">
        <v>67</v>
      </c>
      <c r="E11" s="1145"/>
      <c r="F11" s="1145">
        <f>SUM(C11:D11)</f>
        <v>246</v>
      </c>
      <c r="N11" s="1134"/>
      <c r="O11" s="1134" t="s">
        <v>157</v>
      </c>
      <c r="P11" s="1134" t="s">
        <v>158</v>
      </c>
      <c r="Q11" s="1134"/>
      <c r="R11" s="1134"/>
      <c r="S11" s="1134" t="s">
        <v>157</v>
      </c>
      <c r="T11" s="1134" t="s">
        <v>158</v>
      </c>
      <c r="U11"/>
      <c r="V11"/>
    </row>
    <row r="12" spans="2:22" ht="13.8">
      <c r="B12" s="1670">
        <v>2003</v>
      </c>
      <c r="C12" s="1145">
        <v>253</v>
      </c>
      <c r="D12" s="1145">
        <v>3</v>
      </c>
      <c r="E12" s="1145"/>
      <c r="F12" s="1145">
        <f t="shared" si="0"/>
        <v>256</v>
      </c>
      <c r="I12" s="31"/>
      <c r="K12" s="62"/>
      <c r="L12"/>
      <c r="N12" s="1134" t="s">
        <v>159</v>
      </c>
      <c r="O12" s="1199">
        <v>2212.691312800614</v>
      </c>
      <c r="P12" s="1199">
        <v>272.88529009115013</v>
      </c>
      <c r="Q12" s="1199"/>
      <c r="R12" s="1134" t="s">
        <v>159</v>
      </c>
      <c r="S12" s="1199">
        <v>2048.6645601562368</v>
      </c>
      <c r="T12" s="1199">
        <v>182.61733608146429</v>
      </c>
      <c r="U12" s="20"/>
      <c r="V12" s="20"/>
    </row>
    <row r="13" spans="2:22" ht="13.8">
      <c r="B13" s="1670">
        <v>2004</v>
      </c>
      <c r="C13" s="1119">
        <v>74</v>
      </c>
      <c r="D13" s="1119"/>
      <c r="E13" s="1119"/>
      <c r="F13" s="1145">
        <f t="shared" si="0"/>
        <v>74</v>
      </c>
      <c r="I13" s="31"/>
      <c r="K13" s="62"/>
      <c r="L13"/>
      <c r="N13" s="1134" t="s">
        <v>160</v>
      </c>
      <c r="O13" s="1199">
        <v>176.41314511813118</v>
      </c>
      <c r="P13" s="1199">
        <v>36.904920761872638</v>
      </c>
      <c r="Q13" s="1199"/>
      <c r="R13" s="1134" t="s">
        <v>160</v>
      </c>
      <c r="S13" s="1199">
        <v>363.61474238091171</v>
      </c>
      <c r="T13" s="1199">
        <v>52.794220132596621</v>
      </c>
      <c r="U13" s="20"/>
      <c r="V13" s="20"/>
    </row>
    <row r="14" spans="2:22" ht="13.8">
      <c r="B14" s="1119">
        <v>2005</v>
      </c>
      <c r="C14" s="1119">
        <v>149</v>
      </c>
      <c r="D14" s="1119"/>
      <c r="E14" s="1119"/>
      <c r="F14" s="1145">
        <f t="shared" si="0"/>
        <v>149</v>
      </c>
      <c r="I14" s="31"/>
      <c r="K14" s="62"/>
      <c r="L14"/>
      <c r="N14" s="1134" t="s">
        <v>161</v>
      </c>
      <c r="O14" s="1199">
        <v>233.13893733930661</v>
      </c>
      <c r="P14" s="1199">
        <v>11.95392003564962</v>
      </c>
      <c r="Q14" s="1199"/>
      <c r="R14" s="1134" t="s">
        <v>161</v>
      </c>
      <c r="S14" s="1199">
        <v>691.12595346126909</v>
      </c>
      <c r="T14" s="1199">
        <v>70.364676010635478</v>
      </c>
    </row>
    <row r="15" spans="2:22" ht="13.8">
      <c r="B15" s="1670">
        <v>2006</v>
      </c>
      <c r="C15" s="1119">
        <v>84</v>
      </c>
      <c r="D15" s="1119"/>
      <c r="E15" s="1119"/>
      <c r="F15" s="1145">
        <f t="shared" si="0"/>
        <v>84</v>
      </c>
      <c r="I15" s="59"/>
      <c r="K15" s="60"/>
      <c r="L15" s="60"/>
    </row>
    <row r="16" spans="2:22" ht="13.8">
      <c r="B16" s="1666">
        <v>2007</v>
      </c>
      <c r="C16" s="1145">
        <f>607/I8</f>
        <v>674.44444444444446</v>
      </c>
      <c r="D16" s="1145">
        <f>0.9/I8</f>
        <v>1</v>
      </c>
      <c r="E16" s="1145">
        <f>222.5/0.9</f>
        <v>247.22222222222223</v>
      </c>
      <c r="F16" s="1145">
        <f>SUM(C16:E16)</f>
        <v>922.66666666666674</v>
      </c>
      <c r="I16" s="61"/>
      <c r="K16" s="60"/>
      <c r="L16" s="60"/>
      <c r="N16" s="1" t="s">
        <v>155</v>
      </c>
      <c r="S16" s="1" t="s">
        <v>156</v>
      </c>
    </row>
    <row r="17" spans="2:20" ht="13.8">
      <c r="B17" s="1670">
        <v>2008</v>
      </c>
      <c r="C17" s="1119">
        <v>237</v>
      </c>
      <c r="D17" s="1119">
        <v>0</v>
      </c>
      <c r="E17" s="1119">
        <v>67</v>
      </c>
      <c r="F17" s="1145">
        <f>SUM(C17:E17)</f>
        <v>304</v>
      </c>
      <c r="H17" s="1" t="s">
        <v>162</v>
      </c>
      <c r="J17" s="62"/>
      <c r="K17"/>
      <c r="L17"/>
      <c r="N17" s="1134"/>
      <c r="O17" s="1134" t="s">
        <v>157</v>
      </c>
      <c r="P17" s="1134" t="s">
        <v>158</v>
      </c>
      <c r="Q17" s="1134"/>
      <c r="R17" s="1134"/>
      <c r="S17" s="1134" t="s">
        <v>157</v>
      </c>
      <c r="T17" s="1134" t="s">
        <v>158</v>
      </c>
    </row>
    <row r="18" spans="2:20">
      <c r="B18" s="1666">
        <v>2009</v>
      </c>
      <c r="C18" s="1666">
        <v>111</v>
      </c>
      <c r="D18" s="1666">
        <v>2.7</v>
      </c>
      <c r="E18" s="1666">
        <v>107</v>
      </c>
      <c r="F18" s="1145">
        <f>SUM(C18:E18)</f>
        <v>220.7</v>
      </c>
      <c r="L18"/>
      <c r="N18" s="1134" t="s">
        <v>159</v>
      </c>
      <c r="O18" s="1199">
        <v>2212.691312800614</v>
      </c>
      <c r="P18" s="1199">
        <v>272.88529009115013</v>
      </c>
      <c r="Q18" s="1199"/>
      <c r="R18" s="1134" t="s">
        <v>159</v>
      </c>
      <c r="S18" s="1199">
        <v>2048.6645601562368</v>
      </c>
      <c r="T18" s="1199">
        <v>182.61733608146429</v>
      </c>
    </row>
    <row r="19" spans="2:20">
      <c r="B19" s="1670">
        <v>2010</v>
      </c>
      <c r="C19" s="1145">
        <v>179.37</v>
      </c>
      <c r="D19" s="1119"/>
      <c r="E19" s="1145">
        <v>100.71000000000001</v>
      </c>
      <c r="F19" s="1145">
        <f>SUM(C19:E19)</f>
        <v>280.08000000000004</v>
      </c>
      <c r="G19" s="81"/>
      <c r="L19"/>
      <c r="N19" s="1134" t="s">
        <v>160</v>
      </c>
      <c r="O19" s="1199">
        <v>176.41314511813118</v>
      </c>
      <c r="P19" s="1199">
        <v>36.904920761872638</v>
      </c>
      <c r="Q19" s="1199"/>
      <c r="R19" s="1134" t="s">
        <v>160</v>
      </c>
      <c r="S19" s="1199">
        <v>363.61474238091171</v>
      </c>
      <c r="T19" s="1199">
        <v>52.794220132596621</v>
      </c>
    </row>
    <row r="20" spans="2:20" ht="13.8">
      <c r="B20" s="1671">
        <v>2011</v>
      </c>
      <c r="C20" s="1290"/>
      <c r="D20" s="1303"/>
      <c r="E20" s="1303"/>
      <c r="F20" s="1145">
        <f t="shared" ref="F20:F34" si="1">SUM(C20:E20)</f>
        <v>0</v>
      </c>
      <c r="G20" s="81"/>
      <c r="H20" s="31" t="s">
        <v>163</v>
      </c>
      <c r="K20" s="6"/>
      <c r="L20" s="13"/>
      <c r="M20" s="13"/>
      <c r="N20" s="1134" t="s">
        <v>161</v>
      </c>
      <c r="O20" s="1199">
        <v>233.13893733930661</v>
      </c>
      <c r="P20" s="1199">
        <v>11.95392003564962</v>
      </c>
      <c r="Q20" s="1199"/>
      <c r="R20" s="1134" t="s">
        <v>161</v>
      </c>
      <c r="S20" s="1199">
        <v>691.12595346126909</v>
      </c>
      <c r="T20" s="1199">
        <v>70.364676010635478</v>
      </c>
    </row>
    <row r="21" spans="2:20" ht="13.8">
      <c r="B21" s="1672">
        <v>2012</v>
      </c>
      <c r="C21" s="1119"/>
      <c r="D21" s="1119"/>
      <c r="E21" s="1119"/>
      <c r="F21" s="1145">
        <f t="shared" si="1"/>
        <v>0</v>
      </c>
      <c r="H21" s="31" t="s">
        <v>164</v>
      </c>
      <c r="K21" s="6"/>
      <c r="L21" s="13"/>
      <c r="M21" s="13"/>
    </row>
    <row r="22" spans="2:20">
      <c r="B22" s="1671">
        <v>2013</v>
      </c>
      <c r="C22" s="1119"/>
      <c r="D22" s="1119"/>
      <c r="E22" s="1119"/>
      <c r="F22" s="1145">
        <f t="shared" si="1"/>
        <v>0</v>
      </c>
      <c r="K22" s="6"/>
      <c r="L22" s="13"/>
      <c r="M22" s="13"/>
    </row>
    <row r="23" spans="2:20">
      <c r="B23" s="1672">
        <v>2014</v>
      </c>
      <c r="C23" s="1673">
        <v>380</v>
      </c>
      <c r="D23" s="1673"/>
      <c r="E23" s="1673">
        <v>91</v>
      </c>
      <c r="F23" s="1372">
        <f t="shared" si="1"/>
        <v>471</v>
      </c>
      <c r="K23" s="6"/>
      <c r="L23" s="13"/>
      <c r="M23" s="13"/>
    </row>
    <row r="24" spans="2:20" ht="13.8">
      <c r="B24" s="1671">
        <v>2015</v>
      </c>
      <c r="C24" s="1290">
        <v>195</v>
      </c>
      <c r="D24" s="1290"/>
      <c r="E24" s="1290">
        <v>407</v>
      </c>
      <c r="F24" s="1372">
        <f t="shared" si="1"/>
        <v>602</v>
      </c>
      <c r="H24" s="31" t="s">
        <v>165</v>
      </c>
    </row>
    <row r="25" spans="2:20" ht="13.8">
      <c r="B25" s="1290">
        <v>2016</v>
      </c>
      <c r="C25" s="1119"/>
      <c r="D25" s="1119"/>
      <c r="E25" s="1119"/>
      <c r="F25" s="1372">
        <f t="shared" si="1"/>
        <v>0</v>
      </c>
      <c r="H25" s="31" t="s">
        <v>166</v>
      </c>
      <c r="N25" s="2010" t="s">
        <v>167</v>
      </c>
    </row>
    <row r="26" spans="2:20" ht="13.8">
      <c r="B26" s="1671">
        <v>2017</v>
      </c>
      <c r="C26" s="1119"/>
      <c r="D26" s="1119"/>
      <c r="E26" s="1119"/>
      <c r="F26" s="1372">
        <f t="shared" si="1"/>
        <v>0</v>
      </c>
      <c r="H26" s="31" t="s">
        <v>168</v>
      </c>
      <c r="N26" s="2011"/>
      <c r="O26" s="6" t="s">
        <v>169</v>
      </c>
    </row>
    <row r="27" spans="2:20">
      <c r="B27" s="1119">
        <v>2018</v>
      </c>
      <c r="C27" s="1119"/>
      <c r="D27" s="1119"/>
      <c r="E27" s="1119"/>
      <c r="F27" s="1372">
        <f t="shared" si="1"/>
        <v>0</v>
      </c>
      <c r="N27" s="2011"/>
    </row>
    <row r="28" spans="2:20">
      <c r="B28" s="1119">
        <v>2019</v>
      </c>
      <c r="C28" s="1302">
        <v>286.68299999999999</v>
      </c>
      <c r="D28" s="1302">
        <v>0.92500000000000004</v>
      </c>
      <c r="E28" s="1119">
        <v>0</v>
      </c>
      <c r="F28" s="1372">
        <f t="shared" si="1"/>
        <v>287.608</v>
      </c>
      <c r="N28" s="2011"/>
      <c r="O28" s="22" t="s">
        <v>159</v>
      </c>
      <c r="P28" s="22" t="s">
        <v>160</v>
      </c>
      <c r="Q28" s="22" t="s">
        <v>161</v>
      </c>
    </row>
    <row r="29" spans="2:20">
      <c r="B29" s="1119">
        <v>2020</v>
      </c>
      <c r="C29" s="1119"/>
      <c r="D29" s="1119" t="s">
        <v>18</v>
      </c>
      <c r="E29" s="1119"/>
      <c r="F29" s="1372">
        <f t="shared" si="1"/>
        <v>0</v>
      </c>
      <c r="H29" s="1" t="s">
        <v>170</v>
      </c>
      <c r="N29" s="1669" t="s">
        <v>171</v>
      </c>
      <c r="O29" s="1">
        <v>172.90350000000001</v>
      </c>
      <c r="P29" s="1">
        <v>64.607399999999998</v>
      </c>
      <c r="Q29" s="1">
        <v>29.908799999999999</v>
      </c>
      <c r="R29" s="1145">
        <f>SUM(O29:Q29)</f>
        <v>267.41969999999998</v>
      </c>
    </row>
    <row r="30" spans="2:20">
      <c r="B30" s="1119">
        <v>2021</v>
      </c>
      <c r="C30" s="1119"/>
      <c r="D30" s="1119"/>
      <c r="E30" s="1119"/>
      <c r="F30" s="1372">
        <f t="shared" si="1"/>
        <v>0</v>
      </c>
      <c r="H30" s="1" t="s">
        <v>170</v>
      </c>
      <c r="N30" s="1669" t="s">
        <v>172</v>
      </c>
      <c r="O30" s="1145">
        <v>286.68299999999999</v>
      </c>
      <c r="P30" s="1145">
        <v>0</v>
      </c>
      <c r="Q30" s="1145">
        <v>0.92500000000000004</v>
      </c>
      <c r="R30" s="1145">
        <f>SUM(O30:Q30)</f>
        <v>287.608</v>
      </c>
    </row>
    <row r="31" spans="2:20">
      <c r="B31" s="1119">
        <v>2022</v>
      </c>
      <c r="C31" s="1119"/>
      <c r="D31" s="1119"/>
      <c r="E31" s="1119"/>
      <c r="F31" s="1372">
        <f t="shared" si="1"/>
        <v>0</v>
      </c>
      <c r="H31" s="1" t="s">
        <v>170</v>
      </c>
      <c r="N31" s="1669" t="s">
        <v>45</v>
      </c>
      <c r="O31" s="1145">
        <f>SUM(O25:O30)</f>
        <v>459.5865</v>
      </c>
      <c r="P31" s="1145">
        <f>SUM(P25:P30)</f>
        <v>64.607399999999998</v>
      </c>
      <c r="Q31" s="1145">
        <f>SUM(Q25:Q30)</f>
        <v>30.8338</v>
      </c>
      <c r="R31" s="1145">
        <f>SUM(O31:Q31)</f>
        <v>555.02769999999998</v>
      </c>
    </row>
    <row r="32" spans="2:20">
      <c r="B32" s="1119">
        <v>2023</v>
      </c>
      <c r="C32" s="1119"/>
      <c r="D32" s="1119"/>
      <c r="E32" s="1119"/>
      <c r="F32" s="1372">
        <f t="shared" si="1"/>
        <v>0</v>
      </c>
      <c r="H32" s="1" t="s">
        <v>170</v>
      </c>
    </row>
    <row r="33" spans="1:26">
      <c r="B33" s="1673">
        <v>2024</v>
      </c>
      <c r="C33" s="1119"/>
      <c r="D33" s="1119"/>
      <c r="E33" s="1119"/>
      <c r="F33" s="1372">
        <f t="shared" si="1"/>
        <v>0</v>
      </c>
      <c r="H33" s="1" t="s">
        <v>170</v>
      </c>
    </row>
    <row r="34" spans="1:26">
      <c r="B34" s="1673">
        <v>2025</v>
      </c>
      <c r="C34" s="1119"/>
      <c r="D34" s="1119"/>
      <c r="E34" s="1119"/>
      <c r="F34" s="1372">
        <f t="shared" si="1"/>
        <v>0</v>
      </c>
    </row>
    <row r="45" spans="1:26"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>
      <c r="D46" s="6"/>
      <c r="E46" s="6"/>
      <c r="F46" s="6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>
      <c r="A47" s="6"/>
      <c r="D47" s="78"/>
      <c r="E47" s="78"/>
      <c r="F47" s="78"/>
    </row>
    <row r="48" spans="1:26" s="6" customFormat="1">
      <c r="D48" s="78"/>
      <c r="E48" s="78"/>
      <c r="F48" s="78"/>
    </row>
    <row r="49" spans="2:14" s="6" customFormat="1">
      <c r="B49" s="1"/>
      <c r="G49" s="78"/>
      <c r="H49" s="78"/>
      <c r="I49" s="78"/>
      <c r="J49" s="78"/>
      <c r="K49" s="78"/>
      <c r="L49" s="78"/>
      <c r="M49" s="78"/>
      <c r="N49" s="78"/>
    </row>
    <row r="50" spans="2:14">
      <c r="G50" s="78"/>
      <c r="H50" s="78"/>
      <c r="I50" s="78"/>
      <c r="J50" s="78"/>
      <c r="K50" s="78"/>
      <c r="L50" s="78"/>
      <c r="M50" s="78"/>
      <c r="N50" s="78"/>
    </row>
    <row r="51" spans="2:14">
      <c r="G51" s="6"/>
      <c r="H51" s="6"/>
      <c r="I51" s="6"/>
      <c r="J51" s="6"/>
      <c r="K51" s="6"/>
      <c r="L51" s="6"/>
      <c r="M51" s="6"/>
      <c r="N51" s="6"/>
    </row>
    <row r="56" spans="2:14">
      <c r="C56" s="6"/>
      <c r="H56" s="1" t="s">
        <v>173</v>
      </c>
    </row>
    <row r="57" spans="2:14">
      <c r="B57" s="6"/>
      <c r="H57" s="1" t="s">
        <v>174</v>
      </c>
    </row>
    <row r="59" spans="2:14">
      <c r="H59" s="77" t="s">
        <v>175</v>
      </c>
    </row>
  </sheetData>
  <mergeCells count="1">
    <mergeCell ref="N25:N28"/>
  </mergeCells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N38"/>
  <sheetViews>
    <sheetView zoomScale="80" zoomScaleNormal="80" workbookViewId="0">
      <selection activeCell="I37" sqref="I37"/>
    </sheetView>
  </sheetViews>
  <sheetFormatPr defaultColWidth="11.44140625" defaultRowHeight="13.2"/>
  <cols>
    <col min="1" max="5" width="11.44140625" style="1" customWidth="1"/>
    <col min="6" max="6" width="13.6640625" style="1" customWidth="1"/>
    <col min="7" max="16384" width="11.44140625" style="1"/>
  </cols>
  <sheetData>
    <row r="1" spans="2:14">
      <c r="C1" s="1" t="s">
        <v>176</v>
      </c>
    </row>
    <row r="2" spans="2:14">
      <c r="B2" s="1669" t="s">
        <v>177</v>
      </c>
      <c r="C2" s="1119"/>
      <c r="D2" s="1119" t="s">
        <v>149</v>
      </c>
      <c r="E2" s="1119"/>
      <c r="I2" s="1" t="s">
        <v>176</v>
      </c>
    </row>
    <row r="3" spans="2:14" ht="13.8" thickBot="1">
      <c r="B3" s="1666"/>
      <c r="C3" s="1119" t="s">
        <v>77</v>
      </c>
      <c r="D3" s="1119" t="s">
        <v>178</v>
      </c>
      <c r="E3" s="1119" t="s">
        <v>179</v>
      </c>
      <c r="I3" s="1" t="s">
        <v>180</v>
      </c>
      <c r="J3" s="1">
        <v>80300</v>
      </c>
      <c r="M3" s="1" t="s">
        <v>153</v>
      </c>
    </row>
    <row r="4" spans="2:14" ht="13.8" thickBot="1">
      <c r="B4" s="1675">
        <v>1995</v>
      </c>
      <c r="C4" s="1119">
        <v>10</v>
      </c>
      <c r="D4" s="1666"/>
      <c r="E4" s="1145"/>
      <c r="I4" s="1" t="s">
        <v>181</v>
      </c>
      <c r="J4" s="1">
        <v>34200</v>
      </c>
      <c r="M4" s="1674" t="s">
        <v>182</v>
      </c>
      <c r="N4" s="491">
        <v>1.77</v>
      </c>
    </row>
    <row r="5" spans="2:14">
      <c r="B5" s="1675">
        <v>1996</v>
      </c>
      <c r="C5" s="1666"/>
      <c r="D5" s="1666"/>
      <c r="E5" s="1145"/>
      <c r="I5" s="4"/>
    </row>
    <row r="6" spans="2:14">
      <c r="B6" s="1675">
        <v>1997</v>
      </c>
      <c r="C6" s="1666"/>
      <c r="D6" s="1119"/>
      <c r="E6" s="1145"/>
      <c r="I6" s="1" t="s">
        <v>183</v>
      </c>
      <c r="J6" s="1">
        <v>188699</v>
      </c>
      <c r="K6" s="1">
        <f>J6/1000</f>
        <v>188.69900000000001</v>
      </c>
    </row>
    <row r="7" spans="2:14">
      <c r="B7" s="1675">
        <v>1998</v>
      </c>
      <c r="C7" s="1666"/>
      <c r="D7" s="1666"/>
      <c r="E7" s="1145"/>
      <c r="I7" s="1" t="s">
        <v>181</v>
      </c>
    </row>
    <row r="8" spans="2:14">
      <c r="B8" s="1675">
        <v>1999</v>
      </c>
      <c r="C8" s="1119">
        <v>67</v>
      </c>
      <c r="D8" s="1666"/>
      <c r="E8" s="1145"/>
    </row>
    <row r="9" spans="2:14">
      <c r="B9" s="1675">
        <v>2000</v>
      </c>
      <c r="C9" s="1119">
        <v>8</v>
      </c>
      <c r="D9" s="1666"/>
      <c r="E9" s="1145"/>
    </row>
    <row r="10" spans="2:14">
      <c r="B10" s="1675">
        <v>2001</v>
      </c>
      <c r="C10" s="1119">
        <v>125</v>
      </c>
      <c r="D10" s="1119"/>
      <c r="E10" s="1145"/>
    </row>
    <row r="11" spans="2:14">
      <c r="B11" s="1675">
        <v>2002</v>
      </c>
      <c r="C11" s="1145">
        <v>50</v>
      </c>
      <c r="D11" s="1145"/>
      <c r="E11" s="1145"/>
      <c r="I11" s="2"/>
    </row>
    <row r="12" spans="2:14">
      <c r="B12" s="1675">
        <v>2003</v>
      </c>
      <c r="C12" s="1145">
        <v>134</v>
      </c>
      <c r="D12" s="1145"/>
      <c r="E12" s="1145"/>
      <c r="I12" s="2"/>
    </row>
    <row r="13" spans="2:14">
      <c r="B13" s="1675">
        <v>2004</v>
      </c>
      <c r="C13" s="1145">
        <v>76</v>
      </c>
      <c r="D13" s="1119"/>
      <c r="E13" s="1119"/>
      <c r="I13" s="2"/>
    </row>
    <row r="14" spans="2:14">
      <c r="B14" s="1669">
        <v>2005</v>
      </c>
      <c r="C14" s="1119">
        <v>81</v>
      </c>
      <c r="D14" s="1119"/>
      <c r="E14" s="1119"/>
      <c r="I14" s="2"/>
    </row>
    <row r="15" spans="2:14" ht="17.399999999999999">
      <c r="B15" s="1675">
        <v>2006</v>
      </c>
      <c r="C15" s="1119">
        <v>46</v>
      </c>
      <c r="D15" s="1119"/>
      <c r="E15" s="1119"/>
      <c r="I15" s="97"/>
    </row>
    <row r="16" spans="2:14">
      <c r="B16" s="1676">
        <v>2007</v>
      </c>
      <c r="C16" s="1302">
        <f>76.4/N4</f>
        <v>43.163841807909606</v>
      </c>
      <c r="D16" s="1119"/>
      <c r="E16" s="1119"/>
    </row>
    <row r="17" spans="1:9" ht="17.399999999999999">
      <c r="B17" s="1675">
        <v>2008</v>
      </c>
      <c r="C17" s="1119">
        <v>39</v>
      </c>
      <c r="D17" s="1119"/>
      <c r="E17" s="1119"/>
      <c r="I17" s="97"/>
    </row>
    <row r="18" spans="1:9">
      <c r="B18" s="1676">
        <v>2009</v>
      </c>
      <c r="C18" s="1119">
        <v>47</v>
      </c>
      <c r="D18" s="1119"/>
      <c r="E18" s="1119"/>
    </row>
    <row r="19" spans="1:9">
      <c r="A19" s="2012" t="s">
        <v>184</v>
      </c>
      <c r="B19" s="1675">
        <v>2010</v>
      </c>
      <c r="C19" s="1145">
        <f>AVERAGE(C8:C18)</f>
        <v>65.105803800719059</v>
      </c>
      <c r="D19" s="1119"/>
      <c r="E19" s="1119"/>
    </row>
    <row r="20" spans="1:9" ht="17.399999999999999">
      <c r="A20" s="2013"/>
      <c r="B20" s="1676">
        <v>2011</v>
      </c>
      <c r="C20" s="1145">
        <f>AVERAGE(C9:C19)</f>
        <v>64.933604146238977</v>
      </c>
      <c r="D20" s="1119"/>
      <c r="E20" s="1119"/>
      <c r="I20" s="97"/>
    </row>
    <row r="21" spans="1:9">
      <c r="A21" s="2013"/>
      <c r="B21" s="1675">
        <v>2012</v>
      </c>
      <c r="C21" s="1145">
        <f>AVERAGE(C10:C20)</f>
        <v>70.109386341351609</v>
      </c>
      <c r="D21" s="1119"/>
      <c r="E21" s="1119"/>
    </row>
    <row r="22" spans="1:9">
      <c r="A22" s="2013"/>
      <c r="B22" s="1676">
        <v>2013</v>
      </c>
      <c r="C22" s="1145">
        <f>AVERAGE(C11:C21)</f>
        <v>65.119330554201753</v>
      </c>
      <c r="D22" s="1119"/>
      <c r="E22" s="1119"/>
    </row>
    <row r="23" spans="1:9">
      <c r="A23" s="2013"/>
      <c r="B23" s="1675">
        <v>2014</v>
      </c>
      <c r="C23" s="1145">
        <f>AVERAGE(C12:C21)</f>
        <v>66.631263609621925</v>
      </c>
      <c r="D23" s="1119"/>
      <c r="E23" s="1119"/>
    </row>
    <row r="24" spans="1:9">
      <c r="B24" s="1676">
        <v>2015</v>
      </c>
      <c r="C24" s="1119">
        <v>80.3</v>
      </c>
      <c r="D24" s="1119"/>
      <c r="E24" s="1147">
        <v>34.200000000000003</v>
      </c>
    </row>
    <row r="25" spans="1:9">
      <c r="B25" s="1675">
        <v>2016</v>
      </c>
      <c r="C25" s="1119"/>
      <c r="D25" s="1119"/>
      <c r="E25" s="1119"/>
    </row>
    <row r="26" spans="1:9">
      <c r="B26" s="1676">
        <v>2017</v>
      </c>
      <c r="C26" s="1119"/>
      <c r="D26" s="1119"/>
      <c r="E26" s="1119"/>
    </row>
    <row r="27" spans="1:9">
      <c r="B27" s="1119">
        <v>2018</v>
      </c>
      <c r="C27" s="1119"/>
      <c r="D27" s="1119"/>
      <c r="E27" s="1119"/>
    </row>
    <row r="28" spans="1:9">
      <c r="B28" s="1119">
        <v>2019</v>
      </c>
      <c r="C28" s="1145">
        <f>K6</f>
        <v>188.69900000000001</v>
      </c>
      <c r="D28" s="1119"/>
      <c r="E28" s="1119"/>
    </row>
    <row r="29" spans="1:9">
      <c r="B29" s="1119">
        <v>2021</v>
      </c>
      <c r="C29" s="1119"/>
      <c r="D29" s="1119"/>
      <c r="E29" s="1119"/>
      <c r="F29" s="1" t="s">
        <v>185</v>
      </c>
    </row>
    <row r="30" spans="1:9">
      <c r="B30" s="1119">
        <v>2022</v>
      </c>
      <c r="C30" s="1119"/>
      <c r="D30" s="1119"/>
      <c r="E30" s="1119"/>
      <c r="F30" s="1" t="s">
        <v>185</v>
      </c>
      <c r="I30" s="137" t="s">
        <v>186</v>
      </c>
    </row>
    <row r="31" spans="1:9">
      <c r="B31" s="1119">
        <v>2023</v>
      </c>
      <c r="C31" s="1119"/>
      <c r="D31" s="1119"/>
      <c r="E31" s="1119"/>
      <c r="I31" s="1" t="s">
        <v>187</v>
      </c>
    </row>
    <row r="32" spans="1:9">
      <c r="B32" s="1673">
        <v>2024</v>
      </c>
      <c r="C32" s="1119"/>
      <c r="D32" s="1119"/>
      <c r="E32" s="1119"/>
    </row>
    <row r="33" spans="1:11">
      <c r="B33" s="1673">
        <v>2025</v>
      </c>
      <c r="C33" s="1119"/>
      <c r="D33" s="1119"/>
      <c r="E33" s="1119"/>
    </row>
    <row r="34" spans="1:11" s="6" customFormat="1">
      <c r="B34" s="1673"/>
      <c r="C34" s="1119"/>
      <c r="D34" s="1119"/>
      <c r="E34" s="1119"/>
      <c r="F34" s="77"/>
      <c r="G34" s="77"/>
      <c r="H34" s="77"/>
      <c r="I34" s="77"/>
      <c r="J34" s="77"/>
      <c r="K34" s="77"/>
    </row>
    <row r="35" spans="1:11" s="6" customFormat="1">
      <c r="B35" s="77"/>
      <c r="C35" s="77"/>
      <c r="D35" s="77"/>
      <c r="E35" s="77"/>
      <c r="F35" s="77"/>
      <c r="G35" s="77"/>
      <c r="H35" s="77"/>
      <c r="I35" s="77"/>
      <c r="J35" s="77"/>
      <c r="K35" s="77"/>
    </row>
    <row r="36" spans="1:11">
      <c r="A36" s="6"/>
    </row>
    <row r="37" spans="1:11" ht="15.6">
      <c r="D37" s="14"/>
      <c r="E37" s="15"/>
      <c r="F37" s="15"/>
      <c r="G37" s="16"/>
      <c r="I37" s="1" t="s">
        <v>117</v>
      </c>
    </row>
    <row r="38" spans="1:11" ht="15.6">
      <c r="D38" s="17"/>
      <c r="E38"/>
      <c r="F38"/>
      <c r="G38"/>
    </row>
  </sheetData>
  <mergeCells count="1">
    <mergeCell ref="A19:A23"/>
  </mergeCells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rgb="FFFF0000"/>
  </sheetPr>
  <dimension ref="A1:P54"/>
  <sheetViews>
    <sheetView zoomScale="70" zoomScaleNormal="70" workbookViewId="0">
      <selection activeCell="P38" sqref="P38"/>
    </sheetView>
  </sheetViews>
  <sheetFormatPr defaultColWidth="11.44140625" defaultRowHeight="13.2"/>
  <cols>
    <col min="1" max="1" width="3.6640625" style="1" customWidth="1"/>
    <col min="2" max="2" width="13.44140625" style="1" bestFit="1" customWidth="1"/>
    <col min="3" max="3" width="8.33203125" style="1" customWidth="1"/>
    <col min="4" max="4" width="9.88671875" style="1" customWidth="1"/>
    <col min="5" max="5" width="6.109375" style="1" customWidth="1"/>
    <col min="6" max="6" width="26.44140625" style="1" customWidth="1"/>
    <col min="7" max="7" width="11.44140625" style="1" customWidth="1"/>
    <col min="8" max="8" width="14" style="1" customWidth="1"/>
    <col min="9" max="9" width="18.33203125" style="1" customWidth="1"/>
    <col min="10" max="12" width="11.44140625" style="1" customWidth="1"/>
    <col min="13" max="13" width="12.88671875" style="1" customWidth="1"/>
    <col min="14" max="16384" width="11.44140625" style="1"/>
  </cols>
  <sheetData>
    <row r="1" spans="1:16">
      <c r="A1" s="6" t="s">
        <v>188</v>
      </c>
      <c r="B1" s="1119"/>
      <c r="C1" s="1669" t="s">
        <v>189</v>
      </c>
      <c r="D1" s="1119"/>
      <c r="E1" s="1119"/>
    </row>
    <row r="2" spans="1:16">
      <c r="B2" s="1119"/>
      <c r="C2" s="1119"/>
      <c r="D2" s="1119"/>
      <c r="E2" s="1119"/>
    </row>
    <row r="3" spans="1:16">
      <c r="B3" s="1666"/>
      <c r="C3" s="1119" t="s">
        <v>77</v>
      </c>
      <c r="D3" s="1119" t="s">
        <v>76</v>
      </c>
      <c r="E3" s="1119" t="s">
        <v>70</v>
      </c>
    </row>
    <row r="4" spans="1:16">
      <c r="B4" s="1670">
        <v>1995</v>
      </c>
      <c r="C4" s="1206">
        <v>180</v>
      </c>
      <c r="D4" s="1145">
        <v>260</v>
      </c>
      <c r="E4" s="1145">
        <f t="shared" ref="E4:E28" si="0">SUM(C4:D4)</f>
        <v>440</v>
      </c>
      <c r="J4" s="2014"/>
      <c r="K4" s="2015"/>
      <c r="L4" s="2015"/>
      <c r="M4" s="29"/>
      <c r="N4" s="2014"/>
      <c r="O4" s="2014"/>
      <c r="P4" s="2014"/>
    </row>
    <row r="5" spans="1:16">
      <c r="B5" s="1670">
        <v>1996</v>
      </c>
      <c r="C5" s="1206">
        <v>662</v>
      </c>
      <c r="D5" s="1145">
        <v>450</v>
      </c>
      <c r="E5" s="1145">
        <f t="shared" si="0"/>
        <v>1112</v>
      </c>
      <c r="M5" s="29"/>
    </row>
    <row r="6" spans="1:16">
      <c r="B6" s="1670">
        <v>1997</v>
      </c>
      <c r="C6" s="1206">
        <v>655</v>
      </c>
      <c r="D6" s="1145">
        <v>540</v>
      </c>
      <c r="E6" s="1145">
        <f t="shared" si="0"/>
        <v>1195</v>
      </c>
      <c r="N6" s="2"/>
      <c r="O6" s="2"/>
      <c r="P6" s="2"/>
    </row>
    <row r="7" spans="1:16">
      <c r="B7" s="1670">
        <v>1998</v>
      </c>
      <c r="C7" s="1206">
        <v>799</v>
      </c>
      <c r="D7" s="1145">
        <v>180</v>
      </c>
      <c r="E7" s="1145">
        <f t="shared" si="0"/>
        <v>979</v>
      </c>
      <c r="N7" s="2"/>
      <c r="O7" s="2"/>
      <c r="P7" s="2"/>
    </row>
    <row r="8" spans="1:16" ht="13.8">
      <c r="B8" s="1670">
        <v>1999</v>
      </c>
      <c r="C8" s="1206">
        <v>653</v>
      </c>
      <c r="D8" s="1145">
        <v>100</v>
      </c>
      <c r="E8" s="1145">
        <f t="shared" si="0"/>
        <v>753</v>
      </c>
      <c r="L8" s="18" t="s">
        <v>77</v>
      </c>
      <c r="M8" s="18" t="s">
        <v>76</v>
      </c>
      <c r="N8" s="2"/>
      <c r="O8" s="2"/>
      <c r="P8" s="2"/>
    </row>
    <row r="9" spans="1:16" ht="15.6">
      <c r="B9" s="1670">
        <v>2000</v>
      </c>
      <c r="C9" s="1206">
        <v>1762</v>
      </c>
      <c r="D9" s="1145">
        <v>280</v>
      </c>
      <c r="E9" s="1145">
        <f t="shared" si="0"/>
        <v>2042</v>
      </c>
      <c r="H9" s="85"/>
      <c r="J9" s="6"/>
      <c r="K9" s="6"/>
      <c r="L9" s="95">
        <v>137</v>
      </c>
      <c r="M9" s="117">
        <v>2.484</v>
      </c>
      <c r="N9" s="13"/>
      <c r="O9" s="13"/>
      <c r="P9" s="13"/>
    </row>
    <row r="10" spans="1:16">
      <c r="B10" s="1670">
        <v>2001</v>
      </c>
      <c r="C10" s="1145">
        <v>365</v>
      </c>
      <c r="D10" s="1145">
        <v>122</v>
      </c>
      <c r="E10" s="1145">
        <f t="shared" si="0"/>
        <v>487</v>
      </c>
      <c r="N10" s="2"/>
      <c r="O10" s="2"/>
      <c r="P10" s="2"/>
    </row>
    <row r="11" spans="1:16">
      <c r="B11" s="1670">
        <v>2002</v>
      </c>
      <c r="C11" s="1145">
        <v>578.77600000000007</v>
      </c>
      <c r="D11" s="1145">
        <v>281</v>
      </c>
      <c r="E11" s="1145">
        <f t="shared" si="0"/>
        <v>859.77600000000007</v>
      </c>
      <c r="N11" s="2"/>
      <c r="O11" s="2"/>
      <c r="P11" s="2"/>
    </row>
    <row r="12" spans="1:16">
      <c r="B12" s="1670">
        <v>2003</v>
      </c>
      <c r="C12" s="1145">
        <v>387</v>
      </c>
      <c r="D12" s="1145">
        <v>320</v>
      </c>
      <c r="E12" s="1145">
        <f t="shared" si="0"/>
        <v>707</v>
      </c>
      <c r="I12" s="6"/>
      <c r="J12" s="6"/>
      <c r="K12" s="6"/>
      <c r="L12" s="6"/>
      <c r="M12" s="6"/>
      <c r="N12" s="13"/>
      <c r="O12" s="13"/>
      <c r="P12" s="13"/>
    </row>
    <row r="13" spans="1:16">
      <c r="B13" s="1670">
        <v>2004</v>
      </c>
      <c r="C13" s="1119">
        <v>727</v>
      </c>
      <c r="D13" s="1119">
        <v>179</v>
      </c>
      <c r="E13" s="1119">
        <f t="shared" si="0"/>
        <v>906</v>
      </c>
      <c r="G13" s="3"/>
      <c r="I13" s="6"/>
      <c r="J13" s="6"/>
      <c r="K13" s="6"/>
      <c r="L13" s="6"/>
      <c r="M13" s="6"/>
      <c r="N13" s="13"/>
      <c r="O13" s="13"/>
      <c r="P13" s="13"/>
    </row>
    <row r="14" spans="1:16">
      <c r="B14" s="1119">
        <v>2005</v>
      </c>
      <c r="C14" s="1145">
        <v>1212.636</v>
      </c>
      <c r="D14" s="1145">
        <v>140</v>
      </c>
      <c r="E14" s="1145">
        <f t="shared" si="0"/>
        <v>1352.636</v>
      </c>
      <c r="H14" s="6"/>
      <c r="I14" s="58"/>
      <c r="J14" s="63"/>
      <c r="K14" s="63"/>
      <c r="L14" s="63"/>
      <c r="M14" s="58"/>
      <c r="N14" s="63"/>
      <c r="O14" s="63"/>
      <c r="P14" s="63"/>
    </row>
    <row r="15" spans="1:16">
      <c r="B15" s="1670">
        <v>2006</v>
      </c>
      <c r="C15" s="1119">
        <v>402</v>
      </c>
      <c r="D15" s="1119">
        <v>40</v>
      </c>
      <c r="E15" s="1145">
        <f t="shared" si="0"/>
        <v>442</v>
      </c>
    </row>
    <row r="16" spans="1:16">
      <c r="B16" s="1666">
        <v>2007</v>
      </c>
      <c r="C16" s="1666">
        <v>986</v>
      </c>
      <c r="D16" s="1666">
        <v>448</v>
      </c>
      <c r="E16" s="1666">
        <f t="shared" si="0"/>
        <v>1434</v>
      </c>
      <c r="G16" s="6" t="s">
        <v>190</v>
      </c>
    </row>
    <row r="17" spans="2:16">
      <c r="B17" s="1666">
        <v>2008</v>
      </c>
      <c r="C17" s="1666">
        <f>368+237+39</f>
        <v>644</v>
      </c>
      <c r="D17" s="1666">
        <v>326</v>
      </c>
      <c r="E17" s="1666">
        <f t="shared" si="0"/>
        <v>970</v>
      </c>
      <c r="G17" s="2"/>
    </row>
    <row r="18" spans="2:16">
      <c r="B18" s="1119">
        <v>2009</v>
      </c>
      <c r="C18" s="1119">
        <f>111+800+47</f>
        <v>958</v>
      </c>
      <c r="D18" s="1145">
        <f>2.7+150</f>
        <v>152.69999999999999</v>
      </c>
      <c r="E18" s="1206">
        <f t="shared" si="0"/>
        <v>1110.7</v>
      </c>
      <c r="J18" s="2014" t="s">
        <v>29</v>
      </c>
      <c r="K18" s="2015"/>
      <c r="L18" s="2015"/>
      <c r="M18" s="29"/>
      <c r="N18" s="2014"/>
      <c r="O18" s="2014"/>
      <c r="P18" s="2014"/>
    </row>
    <row r="19" spans="2:16">
      <c r="B19" s="1666">
        <v>2010</v>
      </c>
      <c r="C19" s="1119">
        <v>318</v>
      </c>
      <c r="D19" s="1145">
        <v>123</v>
      </c>
      <c r="E19" s="1206">
        <f t="shared" si="0"/>
        <v>441</v>
      </c>
      <c r="J19" s="29"/>
      <c r="K19" s="1" t="s">
        <v>191</v>
      </c>
      <c r="L19" s="1" t="s">
        <v>192</v>
      </c>
      <c r="M19" s="29"/>
      <c r="N19" s="29"/>
      <c r="O19" s="29"/>
      <c r="P19" s="29"/>
    </row>
    <row r="20" spans="2:16">
      <c r="B20" s="1119">
        <v>2011</v>
      </c>
      <c r="C20" s="1119">
        <v>107</v>
      </c>
      <c r="D20" s="1119">
        <v>188</v>
      </c>
      <c r="E20" s="1206">
        <f t="shared" si="0"/>
        <v>295</v>
      </c>
      <c r="F20" s="1" t="s">
        <v>193</v>
      </c>
      <c r="J20" s="29"/>
      <c r="K20" s="95">
        <v>137</v>
      </c>
      <c r="L20" s="95">
        <v>2.484</v>
      </c>
      <c r="M20" s="29"/>
      <c r="N20" s="29"/>
      <c r="O20" s="29"/>
      <c r="P20" s="29"/>
    </row>
    <row r="21" spans="2:16">
      <c r="B21" s="1666">
        <v>2012</v>
      </c>
      <c r="C21" s="1669"/>
      <c r="D21" s="1493"/>
      <c r="E21" s="1206" t="s">
        <v>18</v>
      </c>
      <c r="F21" s="6"/>
      <c r="M21" s="29"/>
    </row>
    <row r="22" spans="2:16">
      <c r="B22" s="1119">
        <v>2013</v>
      </c>
      <c r="C22" s="1119"/>
      <c r="D22" s="1119"/>
      <c r="E22" s="1206" t="s">
        <v>18</v>
      </c>
      <c r="K22" s="813" t="s">
        <v>194</v>
      </c>
      <c r="N22" s="2"/>
      <c r="O22" s="2"/>
      <c r="P22" s="2"/>
    </row>
    <row r="23" spans="2:16">
      <c r="B23" s="1666">
        <v>2014</v>
      </c>
      <c r="C23" s="1119"/>
      <c r="D23" s="1119"/>
      <c r="E23" s="1206" t="s">
        <v>18</v>
      </c>
      <c r="K23" s="813" t="s">
        <v>195</v>
      </c>
      <c r="N23" s="2"/>
      <c r="O23" s="2"/>
      <c r="P23" s="2"/>
    </row>
    <row r="24" spans="2:16">
      <c r="B24" s="1119">
        <v>2015</v>
      </c>
      <c r="C24" s="1119">
        <v>542</v>
      </c>
      <c r="D24" s="1119">
        <v>405</v>
      </c>
      <c r="E24" s="1206">
        <f t="shared" si="0"/>
        <v>947</v>
      </c>
      <c r="J24" s="1119">
        <v>2019</v>
      </c>
      <c r="K24" s="1" t="s">
        <v>192</v>
      </c>
      <c r="L24" s="1119" t="s">
        <v>196</v>
      </c>
      <c r="M24" s="1119" t="s">
        <v>45</v>
      </c>
      <c r="O24" s="2"/>
      <c r="P24" s="2"/>
    </row>
    <row r="25" spans="2:16">
      <c r="B25" s="1666">
        <v>2016</v>
      </c>
      <c r="C25" s="1119"/>
      <c r="D25" s="1119"/>
      <c r="E25" s="1206" t="s">
        <v>18</v>
      </c>
      <c r="I25" s="6"/>
      <c r="J25" s="1119" t="s">
        <v>197</v>
      </c>
      <c r="K25" s="1145">
        <v>685.51640865814829</v>
      </c>
      <c r="L25" s="1145">
        <v>52.492152593238316</v>
      </c>
      <c r="M25" s="1145">
        <f>SUM(K25:L25)</f>
        <v>738.0085612513866</v>
      </c>
      <c r="O25" s="13"/>
      <c r="P25" s="13"/>
    </row>
    <row r="26" spans="2:16">
      <c r="B26" s="1119">
        <v>2017</v>
      </c>
      <c r="C26" s="1119"/>
      <c r="D26" s="1119"/>
      <c r="E26" s="1206" t="s">
        <v>18</v>
      </c>
      <c r="J26" s="1119" t="s">
        <v>39</v>
      </c>
      <c r="K26" s="1145">
        <v>0.92500000000000004</v>
      </c>
      <c r="L26" s="1145">
        <v>286.68299999999999</v>
      </c>
      <c r="M26" s="1145">
        <f>SUM(K26:L26)</f>
        <v>287.608</v>
      </c>
      <c r="O26" s="2"/>
      <c r="P26" s="2"/>
    </row>
    <row r="27" spans="2:16">
      <c r="B27" s="1119">
        <v>2018</v>
      </c>
      <c r="C27" s="1119"/>
      <c r="D27" s="1119"/>
      <c r="E27" s="1206" t="s">
        <v>18</v>
      </c>
      <c r="J27" s="1119" t="s">
        <v>198</v>
      </c>
      <c r="L27" s="1145">
        <v>188.69900000000001</v>
      </c>
      <c r="M27" s="1145">
        <f>SUM(K27:L27)</f>
        <v>188.69900000000001</v>
      </c>
      <c r="O27" s="2"/>
      <c r="P27" s="2"/>
    </row>
    <row r="28" spans="2:16">
      <c r="B28" s="1119">
        <v>2019</v>
      </c>
      <c r="C28" s="1145">
        <v>527.87415259323825</v>
      </c>
      <c r="D28" s="1145">
        <v>686.44140865814825</v>
      </c>
      <c r="E28" s="1206">
        <f t="shared" si="0"/>
        <v>1214.3155612513865</v>
      </c>
      <c r="I28" s="6"/>
      <c r="J28" s="1119" t="s">
        <v>14</v>
      </c>
      <c r="K28" s="1145">
        <f>SUM(K25:K27)</f>
        <v>686.44140865814825</v>
      </c>
      <c r="L28" s="1493">
        <f>SUM(L25:L27)</f>
        <v>527.87415259323825</v>
      </c>
      <c r="M28" s="1145">
        <f>SUM(K28:L28)</f>
        <v>1214.3155612513865</v>
      </c>
      <c r="O28" s="13"/>
      <c r="P28" s="13"/>
    </row>
    <row r="29" spans="2:16">
      <c r="B29" s="1119">
        <v>2020</v>
      </c>
      <c r="C29" s="1290"/>
      <c r="D29" s="1290" t="s">
        <v>18</v>
      </c>
      <c r="E29" s="1290">
        <v>679</v>
      </c>
      <c r="F29" s="1" t="s">
        <v>199</v>
      </c>
      <c r="I29" s="6"/>
      <c r="J29" s="6"/>
      <c r="K29" s="6"/>
      <c r="L29" s="6"/>
      <c r="M29" s="6"/>
      <c r="N29" s="13"/>
      <c r="O29" s="13"/>
      <c r="P29" s="13"/>
    </row>
    <row r="30" spans="2:16">
      <c r="B30" s="1119">
        <v>2021</v>
      </c>
      <c r="C30" s="1290"/>
      <c r="D30" s="1290" t="s">
        <v>18</v>
      </c>
      <c r="E30" s="1290">
        <v>526</v>
      </c>
      <c r="H30" s="6"/>
      <c r="I30" s="58"/>
      <c r="J30" s="63"/>
      <c r="K30" s="63"/>
      <c r="L30" s="63"/>
      <c r="M30" s="58"/>
      <c r="N30" s="63"/>
      <c r="O30" s="63"/>
      <c r="P30" s="63"/>
    </row>
    <row r="31" spans="2:16">
      <c r="B31" s="1119">
        <v>2022</v>
      </c>
      <c r="C31" s="1303">
        <v>122.22222222222221</v>
      </c>
      <c r="D31" s="1303">
        <v>920.37037037037021</v>
      </c>
      <c r="E31" s="1303">
        <v>1042.5925925925924</v>
      </c>
      <c r="O31" s="6" t="s">
        <v>200</v>
      </c>
      <c r="P31" s="6" t="s">
        <v>201</v>
      </c>
    </row>
    <row r="32" spans="2:16">
      <c r="B32" s="1290">
        <v>2023</v>
      </c>
      <c r="C32" s="1119"/>
      <c r="D32" s="1119"/>
      <c r="E32" s="1119"/>
      <c r="O32" s="6"/>
      <c r="P32" s="6" t="s">
        <v>202</v>
      </c>
    </row>
    <row r="33" spans="2:16">
      <c r="B33" s="1290">
        <v>2024</v>
      </c>
      <c r="C33" s="1119"/>
      <c r="D33" s="1119"/>
      <c r="E33" s="1119"/>
      <c r="O33" s="6"/>
      <c r="P33" s="6" t="s">
        <v>203</v>
      </c>
    </row>
    <row r="34" spans="2:16">
      <c r="B34" s="1290">
        <v>2025</v>
      </c>
      <c r="C34" s="1119"/>
      <c r="D34" s="1119"/>
      <c r="E34" s="1119"/>
      <c r="O34" s="6"/>
      <c r="P34" s="6" t="s">
        <v>204</v>
      </c>
    </row>
    <row r="35" spans="2:16">
      <c r="O35" s="6"/>
      <c r="P35" s="64" t="s">
        <v>205</v>
      </c>
    </row>
    <row r="44" spans="2:16" s="6" customFormat="1"/>
    <row r="45" spans="2:16" s="6" customFormat="1"/>
    <row r="46" spans="2:16" s="6" customFormat="1"/>
    <row r="47" spans="2:16" s="6" customFormat="1"/>
    <row r="48" spans="2:16" s="6" customFormat="1"/>
    <row r="50" spans="4:11">
      <c r="D50" s="6"/>
      <c r="E50" s="6"/>
      <c r="F50" s="6"/>
      <c r="G50" s="6"/>
      <c r="H50" s="6"/>
      <c r="I50" s="6"/>
      <c r="J50" s="6"/>
      <c r="K50" s="6"/>
    </row>
    <row r="51" spans="4:11">
      <c r="D51" s="6"/>
      <c r="E51" s="6"/>
      <c r="F51" s="6"/>
      <c r="G51" s="6"/>
      <c r="H51" s="6"/>
      <c r="I51" s="6"/>
      <c r="J51" s="6"/>
      <c r="K51" s="6"/>
    </row>
    <row r="52" spans="4:11">
      <c r="D52" s="6"/>
      <c r="E52" s="6"/>
      <c r="F52" s="6"/>
      <c r="G52" s="6"/>
      <c r="H52" s="6"/>
      <c r="I52" s="6"/>
      <c r="J52" s="6"/>
      <c r="K52" s="6"/>
    </row>
    <row r="53" spans="4:11">
      <c r="D53" s="6"/>
      <c r="E53" s="6"/>
      <c r="F53" s="6"/>
      <c r="G53" s="6"/>
      <c r="H53" s="6"/>
      <c r="I53" s="6"/>
      <c r="J53" s="6"/>
      <c r="K53" s="6"/>
    </row>
    <row r="54" spans="4:11">
      <c r="D54" s="6"/>
      <c r="E54" s="65"/>
      <c r="F54" s="65"/>
      <c r="G54" s="6"/>
      <c r="H54" s="6"/>
      <c r="I54" s="6"/>
    </row>
  </sheetData>
  <mergeCells count="4">
    <mergeCell ref="N4:P4"/>
    <mergeCell ref="J4:L4"/>
    <mergeCell ref="J18:L18"/>
    <mergeCell ref="N18:P18"/>
  </mergeCells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V64"/>
  <sheetViews>
    <sheetView topLeftCell="B2" zoomScaleNormal="100" workbookViewId="0">
      <selection activeCell="L23" sqref="L23"/>
    </sheetView>
  </sheetViews>
  <sheetFormatPr defaultColWidth="11.44140625" defaultRowHeight="13.2"/>
  <cols>
    <col min="1" max="1" width="11.44140625" style="1" customWidth="1"/>
    <col min="2" max="2" width="10" style="1" customWidth="1"/>
    <col min="3" max="3" width="9.44140625" style="1" customWidth="1"/>
    <col min="4" max="4" width="13.88671875" style="1" bestFit="1" customWidth="1"/>
    <col min="5" max="5" width="11.109375" style="1" customWidth="1"/>
    <col min="6" max="6" width="18.109375" style="1" bestFit="1" customWidth="1"/>
    <col min="7" max="7" width="13.109375" style="1" customWidth="1"/>
    <col min="8" max="8" width="8" style="1" customWidth="1"/>
    <col min="9" max="9" width="7.88671875" style="1" customWidth="1"/>
    <col min="10" max="10" width="8" style="1" customWidth="1"/>
    <col min="11" max="11" width="10.109375" style="1" bestFit="1" customWidth="1"/>
    <col min="12" max="19" width="9.88671875" style="1" customWidth="1"/>
    <col min="20" max="20" width="16.109375" style="1" customWidth="1"/>
    <col min="21" max="23" width="10" style="1" customWidth="1"/>
    <col min="24" max="16384" width="11.44140625" style="1"/>
  </cols>
  <sheetData>
    <row r="1" spans="2:19" ht="15.6">
      <c r="B1" s="544" t="s">
        <v>131</v>
      </c>
      <c r="C1" s="21" t="s">
        <v>149</v>
      </c>
      <c r="D1" s="21"/>
      <c r="E1" s="21"/>
      <c r="J1" s="1678" t="s">
        <v>77</v>
      </c>
      <c r="L1" s="21" t="s">
        <v>149</v>
      </c>
      <c r="M1" s="21"/>
      <c r="N1" s="21"/>
      <c r="O1" s="21"/>
      <c r="P1" s="21"/>
      <c r="Q1" s="21"/>
      <c r="R1" s="21"/>
      <c r="S1" s="21"/>
    </row>
    <row r="2" spans="2:19">
      <c r="B2" s="1544"/>
      <c r="C2" s="1730" t="s">
        <v>77</v>
      </c>
      <c r="D2" s="1730" t="s">
        <v>76</v>
      </c>
      <c r="E2" s="1544" t="s">
        <v>70</v>
      </c>
      <c r="J2" s="1" t="s">
        <v>102</v>
      </c>
      <c r="K2" s="1" t="s">
        <v>29</v>
      </c>
      <c r="L2" s="1" t="s">
        <v>35</v>
      </c>
      <c r="M2" s="1" t="s">
        <v>206</v>
      </c>
      <c r="O2" s="1" t="s">
        <v>207</v>
      </c>
    </row>
    <row r="3" spans="2:19">
      <c r="B3" s="1731">
        <v>1995</v>
      </c>
      <c r="C3" s="1544">
        <v>90</v>
      </c>
      <c r="D3" s="1544">
        <v>258</v>
      </c>
      <c r="E3" s="1530">
        <f t="shared" ref="E3:E14" si="0">SUM(C3:D3)</f>
        <v>348</v>
      </c>
      <c r="I3" s="1544">
        <v>1995</v>
      </c>
      <c r="J3" s="1544">
        <v>90</v>
      </c>
      <c r="K3" s="1544">
        <v>80</v>
      </c>
      <c r="L3" s="1544">
        <v>10</v>
      </c>
      <c r="M3" s="1530">
        <f>SUM(J3:L3)</f>
        <v>180</v>
      </c>
    </row>
    <row r="4" spans="2:19">
      <c r="B4" s="1731">
        <v>1996</v>
      </c>
      <c r="C4" s="1544">
        <v>600</v>
      </c>
      <c r="D4" s="1544">
        <v>450</v>
      </c>
      <c r="E4" s="1530">
        <f t="shared" si="0"/>
        <v>1050</v>
      </c>
      <c r="F4"/>
      <c r="I4" s="1544">
        <v>1996</v>
      </c>
      <c r="J4" s="1544">
        <v>600</v>
      </c>
      <c r="K4" s="1544">
        <v>62</v>
      </c>
      <c r="L4" s="1544"/>
      <c r="M4" s="1530">
        <f t="shared" ref="M4:M27" si="1">SUM(J4:L4)</f>
        <v>662</v>
      </c>
    </row>
    <row r="5" spans="2:19">
      <c r="B5" s="1731">
        <v>1997</v>
      </c>
      <c r="C5" s="1544">
        <v>505</v>
      </c>
      <c r="D5" s="1544">
        <v>530</v>
      </c>
      <c r="E5" s="1530">
        <f t="shared" si="0"/>
        <v>1035</v>
      </c>
      <c r="F5"/>
      <c r="I5" s="1544">
        <v>1997</v>
      </c>
      <c r="J5" s="1544">
        <v>505</v>
      </c>
      <c r="K5" s="1544">
        <v>150</v>
      </c>
      <c r="L5" s="1544"/>
      <c r="M5" s="1530">
        <f t="shared" si="1"/>
        <v>655</v>
      </c>
    </row>
    <row r="6" spans="2:19" ht="13.8" thickBot="1">
      <c r="B6" s="1731">
        <v>1998</v>
      </c>
      <c r="C6" s="1544">
        <v>540</v>
      </c>
      <c r="D6" s="1544">
        <v>180</v>
      </c>
      <c r="E6" s="1530">
        <f t="shared" si="0"/>
        <v>720</v>
      </c>
      <c r="F6"/>
      <c r="G6" s="1" t="s">
        <v>153</v>
      </c>
      <c r="I6" s="1544">
        <v>1998</v>
      </c>
      <c r="J6" s="1544">
        <v>540</v>
      </c>
      <c r="K6" s="1544">
        <v>259</v>
      </c>
      <c r="L6" s="1544"/>
      <c r="M6" s="1530">
        <f t="shared" si="1"/>
        <v>799</v>
      </c>
    </row>
    <row r="7" spans="2:19" ht="13.8" thickBot="1">
      <c r="B7" s="1731">
        <v>1999</v>
      </c>
      <c r="C7" s="1544">
        <v>290</v>
      </c>
      <c r="D7" s="1544">
        <v>140</v>
      </c>
      <c r="E7" s="1530">
        <f t="shared" si="0"/>
        <v>430</v>
      </c>
      <c r="F7"/>
      <c r="G7" s="25" t="s">
        <v>208</v>
      </c>
      <c r="H7" s="226">
        <v>1.08</v>
      </c>
      <c r="I7" s="1544">
        <v>1999</v>
      </c>
      <c r="J7" s="1544">
        <v>290</v>
      </c>
      <c r="K7" s="1544">
        <v>296</v>
      </c>
      <c r="L7" s="1544">
        <v>67</v>
      </c>
      <c r="M7" s="1530">
        <f>SUM(J7:L7)</f>
        <v>653</v>
      </c>
    </row>
    <row r="8" spans="2:19">
      <c r="B8" s="1731">
        <v>2000</v>
      </c>
      <c r="C8" s="1544">
        <v>1030</v>
      </c>
      <c r="D8" s="1544">
        <v>280</v>
      </c>
      <c r="E8" s="1530">
        <f t="shared" si="0"/>
        <v>1310</v>
      </c>
      <c r="F8"/>
      <c r="I8" s="1544">
        <v>2000</v>
      </c>
      <c r="J8" s="1544">
        <v>1030</v>
      </c>
      <c r="K8" s="1544">
        <v>724</v>
      </c>
      <c r="L8" s="1544">
        <v>8</v>
      </c>
      <c r="M8" s="1530">
        <f t="shared" si="1"/>
        <v>1762</v>
      </c>
    </row>
    <row r="9" spans="2:19">
      <c r="B9" s="1731">
        <v>2001</v>
      </c>
      <c r="C9" s="1544">
        <v>240</v>
      </c>
      <c r="D9" s="1544">
        <v>125</v>
      </c>
      <c r="E9" s="1530">
        <f t="shared" si="0"/>
        <v>365</v>
      </c>
      <c r="F9" s="1679" t="s">
        <v>209</v>
      </c>
      <c r="G9" s="1154">
        <v>21.9</v>
      </c>
      <c r="I9" s="1544">
        <v>2001</v>
      </c>
      <c r="J9" s="1544">
        <v>240</v>
      </c>
      <c r="K9" s="1544">
        <v>0</v>
      </c>
      <c r="L9" s="1544">
        <v>125</v>
      </c>
      <c r="M9" s="1530">
        <f t="shared" si="1"/>
        <v>365</v>
      </c>
    </row>
    <row r="10" spans="2:19">
      <c r="B10" s="1731">
        <v>2002</v>
      </c>
      <c r="C10" s="1530">
        <v>350</v>
      </c>
      <c r="D10" s="1530">
        <v>214</v>
      </c>
      <c r="E10" s="1530">
        <f t="shared" si="0"/>
        <v>564</v>
      </c>
      <c r="F10" s="1679" t="s">
        <v>210</v>
      </c>
      <c r="G10" s="1154">
        <v>1.6</v>
      </c>
      <c r="I10" s="1544">
        <v>2002</v>
      </c>
      <c r="J10" s="1530">
        <v>350</v>
      </c>
      <c r="K10" s="1530">
        <v>179</v>
      </c>
      <c r="L10" s="1544">
        <v>50</v>
      </c>
      <c r="M10" s="1530">
        <f t="shared" si="1"/>
        <v>579</v>
      </c>
    </row>
    <row r="11" spans="2:19">
      <c r="B11" s="1731">
        <v>2003</v>
      </c>
      <c r="C11" s="1530"/>
      <c r="D11" s="1530">
        <v>317</v>
      </c>
      <c r="E11" s="1530">
        <f t="shared" si="0"/>
        <v>317</v>
      </c>
      <c r="F11" s="1679" t="s">
        <v>211</v>
      </c>
      <c r="G11" s="1154">
        <v>206</v>
      </c>
      <c r="I11" s="1544">
        <v>2003</v>
      </c>
      <c r="J11" s="1530"/>
      <c r="K11" s="1530">
        <v>253</v>
      </c>
      <c r="L11" s="1544">
        <v>134</v>
      </c>
      <c r="M11" s="1530">
        <f t="shared" si="1"/>
        <v>387</v>
      </c>
    </row>
    <row r="12" spans="2:19">
      <c r="B12" s="1731">
        <v>2004</v>
      </c>
      <c r="C12" s="1544">
        <v>577</v>
      </c>
      <c r="D12" s="1544">
        <v>170</v>
      </c>
      <c r="E12" s="1530">
        <f t="shared" si="0"/>
        <v>747</v>
      </c>
      <c r="F12" s="1679" t="s">
        <v>212</v>
      </c>
      <c r="G12" s="1154">
        <v>259</v>
      </c>
      <c r="I12" s="1544">
        <v>2004</v>
      </c>
      <c r="J12" s="1544">
        <v>577</v>
      </c>
      <c r="K12" s="1544">
        <v>74</v>
      </c>
      <c r="L12" s="1544">
        <v>76</v>
      </c>
      <c r="M12" s="1530">
        <f t="shared" si="1"/>
        <v>727</v>
      </c>
    </row>
    <row r="13" spans="2:19">
      <c r="B13" s="1544">
        <v>2005</v>
      </c>
      <c r="C13" s="1544">
        <v>982</v>
      </c>
      <c r="D13" s="1544">
        <v>144</v>
      </c>
      <c r="E13" s="1530">
        <f t="shared" si="0"/>
        <v>1126</v>
      </c>
      <c r="I13" s="1544">
        <v>2005</v>
      </c>
      <c r="J13" s="1544">
        <v>982</v>
      </c>
      <c r="K13" s="1544">
        <v>149</v>
      </c>
      <c r="L13" s="1544">
        <v>81</v>
      </c>
      <c r="M13" s="1530">
        <f t="shared" si="1"/>
        <v>1212</v>
      </c>
    </row>
    <row r="14" spans="2:19">
      <c r="B14" s="1731">
        <v>2006</v>
      </c>
      <c r="C14" s="1544">
        <v>272</v>
      </c>
      <c r="D14" s="1544">
        <v>40</v>
      </c>
      <c r="E14" s="1530">
        <f t="shared" si="0"/>
        <v>312</v>
      </c>
      <c r="I14" s="1544">
        <v>2006</v>
      </c>
      <c r="J14" s="1544">
        <v>272</v>
      </c>
      <c r="K14" s="1544">
        <v>84</v>
      </c>
      <c r="L14" s="1544">
        <v>46</v>
      </c>
      <c r="M14" s="1530">
        <f t="shared" si="1"/>
        <v>402</v>
      </c>
    </row>
    <row r="15" spans="2:19" ht="18">
      <c r="B15" s="1544">
        <v>2007</v>
      </c>
      <c r="C15" s="1530">
        <f>290/$H$7</f>
        <v>268.51851851851848</v>
      </c>
      <c r="D15" s="1530">
        <f>485/H7</f>
        <v>449.07407407407402</v>
      </c>
      <c r="E15" s="1530">
        <f t="shared" ref="E15:E20" si="2">SUM(C15:D15)</f>
        <v>717.5925925925925</v>
      </c>
      <c r="G15" s="224"/>
      <c r="I15" s="1544">
        <v>2007</v>
      </c>
      <c r="J15" s="1530">
        <f>290/$H$7</f>
        <v>268.51851851851848</v>
      </c>
      <c r="K15" s="1530">
        <v>674.44444444444446</v>
      </c>
      <c r="L15" s="1530">
        <v>43.163841807909606</v>
      </c>
      <c r="M15" s="1530">
        <f t="shared" si="1"/>
        <v>986.12680477087258</v>
      </c>
      <c r="N15" s="2"/>
      <c r="O15" s="2"/>
      <c r="P15" s="2"/>
      <c r="Q15" s="2"/>
      <c r="R15" s="2"/>
      <c r="S15" s="2"/>
    </row>
    <row r="16" spans="2:19" ht="18">
      <c r="B16" s="1731">
        <v>2008</v>
      </c>
      <c r="C16" s="1544">
        <v>368</v>
      </c>
      <c r="D16" s="1544">
        <v>352</v>
      </c>
      <c r="E16" s="1530">
        <f t="shared" si="2"/>
        <v>720</v>
      </c>
      <c r="G16" s="224"/>
      <c r="I16" s="1544">
        <v>2008</v>
      </c>
      <c r="J16" s="1544">
        <v>368</v>
      </c>
      <c r="K16" s="1544">
        <v>237</v>
      </c>
      <c r="L16" s="1544">
        <v>39</v>
      </c>
      <c r="M16" s="1530">
        <f t="shared" si="1"/>
        <v>644</v>
      </c>
    </row>
    <row r="17" spans="2:22" ht="18">
      <c r="B17" s="1544">
        <v>2009</v>
      </c>
      <c r="C17" s="1530">
        <v>800.28000000000009</v>
      </c>
      <c r="D17" s="1530">
        <v>150.12</v>
      </c>
      <c r="E17" s="1530">
        <f t="shared" si="2"/>
        <v>950.40000000000009</v>
      </c>
      <c r="G17" s="224"/>
      <c r="I17" s="1544">
        <v>2009</v>
      </c>
      <c r="J17" s="1530">
        <v>800.28000000000009</v>
      </c>
      <c r="K17" s="1544">
        <v>111</v>
      </c>
      <c r="L17" s="1544">
        <v>47</v>
      </c>
      <c r="M17" s="1530">
        <f t="shared" si="1"/>
        <v>958.28000000000009</v>
      </c>
    </row>
    <row r="18" spans="2:22">
      <c r="B18" s="1731">
        <v>2010</v>
      </c>
      <c r="C18" s="1530">
        <v>139.32000000000002</v>
      </c>
      <c r="D18" s="1530">
        <v>123.12</v>
      </c>
      <c r="E18" s="1530">
        <f t="shared" si="2"/>
        <v>262.44000000000005</v>
      </c>
      <c r="G18" s="30"/>
      <c r="I18" s="1544">
        <v>2010</v>
      </c>
      <c r="J18" s="1530">
        <v>139.32000000000002</v>
      </c>
      <c r="K18" s="1530">
        <v>179.37</v>
      </c>
      <c r="L18" s="1544"/>
      <c r="M18" s="1530">
        <f t="shared" si="1"/>
        <v>318.69000000000005</v>
      </c>
    </row>
    <row r="19" spans="2:22">
      <c r="B19" s="1544">
        <v>2011</v>
      </c>
      <c r="C19" s="1544">
        <v>107</v>
      </c>
      <c r="D19" s="1544">
        <v>188</v>
      </c>
      <c r="E19" s="1544">
        <f t="shared" si="2"/>
        <v>295</v>
      </c>
      <c r="I19" s="1544">
        <v>2011</v>
      </c>
      <c r="J19" s="1544"/>
      <c r="K19" s="1544"/>
      <c r="L19" s="1544"/>
      <c r="M19" s="1530">
        <f t="shared" si="1"/>
        <v>0</v>
      </c>
    </row>
    <row r="20" spans="2:22">
      <c r="B20" s="1731">
        <v>2012</v>
      </c>
      <c r="C20" s="1544">
        <v>213</v>
      </c>
      <c r="D20" s="1544">
        <v>57</v>
      </c>
      <c r="E20" s="1544">
        <f t="shared" si="2"/>
        <v>270</v>
      </c>
      <c r="I20" s="1544">
        <v>2012</v>
      </c>
      <c r="J20" s="1544">
        <v>213</v>
      </c>
      <c r="K20" s="1544"/>
      <c r="L20" s="1544"/>
      <c r="M20" s="1530">
        <f t="shared" si="1"/>
        <v>213</v>
      </c>
    </row>
    <row r="21" spans="2:22">
      <c r="B21" s="1544">
        <v>2013</v>
      </c>
      <c r="C21" s="1530">
        <v>126.11111111111109</v>
      </c>
      <c r="D21" s="1530">
        <v>755.0925925925925</v>
      </c>
      <c r="E21" s="1530">
        <f>SUM(C21:D21)</f>
        <v>881.20370370370358</v>
      </c>
      <c r="I21" s="1544">
        <v>2013</v>
      </c>
      <c r="J21" s="1544">
        <v>126</v>
      </c>
      <c r="K21" s="1544"/>
      <c r="L21" s="1544"/>
      <c r="M21" s="1530">
        <f t="shared" si="1"/>
        <v>126</v>
      </c>
    </row>
    <row r="22" spans="2:22">
      <c r="B22" s="1731">
        <v>2014</v>
      </c>
      <c r="C22" s="1732">
        <v>16</v>
      </c>
      <c r="D22" s="1544">
        <v>1129</v>
      </c>
      <c r="E22" s="1530">
        <f t="shared" ref="E22:E27" si="3">SUM(C22:D22)</f>
        <v>1145</v>
      </c>
      <c r="G22" s="1">
        <f>SUM(J22:K22)</f>
        <v>396</v>
      </c>
      <c r="I22" s="1544">
        <v>2014</v>
      </c>
      <c r="J22" s="1733">
        <v>16</v>
      </c>
      <c r="K22" s="1544">
        <v>380</v>
      </c>
      <c r="L22" s="1544"/>
      <c r="M22" s="1530">
        <f t="shared" si="1"/>
        <v>396</v>
      </c>
    </row>
    <row r="23" spans="2:22">
      <c r="B23" s="1544">
        <v>2015</v>
      </c>
      <c r="C23" s="1544"/>
      <c r="D23" s="1544"/>
      <c r="E23" s="1530">
        <f t="shared" si="3"/>
        <v>0</v>
      </c>
      <c r="I23" s="1544">
        <v>2015</v>
      </c>
      <c r="J23" s="1544"/>
      <c r="K23" s="1544"/>
      <c r="L23" s="1544"/>
      <c r="M23" s="1530">
        <f t="shared" si="1"/>
        <v>0</v>
      </c>
    </row>
    <row r="24" spans="2:22" ht="17.25" customHeight="1">
      <c r="B24" s="1731">
        <v>2016</v>
      </c>
      <c r="C24" s="1544"/>
      <c r="D24" s="1544"/>
      <c r="E24" s="1530">
        <f t="shared" si="3"/>
        <v>0</v>
      </c>
      <c r="I24" s="1544">
        <v>2016</v>
      </c>
      <c r="J24" s="1544"/>
      <c r="K24" s="1544"/>
      <c r="L24" s="1544"/>
      <c r="M24" s="1530">
        <f t="shared" si="1"/>
        <v>0</v>
      </c>
    </row>
    <row r="25" spans="2:22" ht="15.6">
      <c r="B25" s="1544">
        <v>2017</v>
      </c>
      <c r="C25" s="1514">
        <v>10.141141141141141</v>
      </c>
      <c r="D25" s="1514">
        <v>88.504504504504496</v>
      </c>
      <c r="E25" s="1530">
        <f t="shared" si="3"/>
        <v>98.645645645645629</v>
      </c>
      <c r="I25" s="1544">
        <v>2017</v>
      </c>
      <c r="J25" s="1544"/>
      <c r="K25" s="1544"/>
      <c r="L25" s="1544"/>
      <c r="M25" s="1530">
        <f t="shared" si="1"/>
        <v>0</v>
      </c>
      <c r="V25" s="21"/>
    </row>
    <row r="26" spans="2:22">
      <c r="B26" s="1544">
        <v>2018</v>
      </c>
      <c r="C26" s="1544"/>
      <c r="D26" s="1544"/>
      <c r="E26" s="1530">
        <f t="shared" si="3"/>
        <v>0</v>
      </c>
      <c r="I26" s="1544">
        <v>2018</v>
      </c>
      <c r="J26" s="1544"/>
      <c r="K26" s="1544"/>
      <c r="L26" s="1544"/>
      <c r="M26" s="1530">
        <f t="shared" si="1"/>
        <v>0</v>
      </c>
    </row>
    <row r="27" spans="2:22">
      <c r="B27" s="1544">
        <v>2019</v>
      </c>
      <c r="C27" s="1530">
        <v>52.492152593238316</v>
      </c>
      <c r="D27" s="1530">
        <v>685.51640865814829</v>
      </c>
      <c r="E27" s="1530">
        <f t="shared" si="3"/>
        <v>738.0085612513866</v>
      </c>
      <c r="I27" s="1544">
        <v>2019</v>
      </c>
      <c r="J27" s="1530">
        <v>52.492152593238316</v>
      </c>
      <c r="K27" s="1645">
        <v>286.68299999999999</v>
      </c>
      <c r="L27" s="1530">
        <v>188.69900000000001</v>
      </c>
      <c r="M27" s="1530">
        <f t="shared" si="1"/>
        <v>527.87415259323825</v>
      </c>
    </row>
    <row r="28" spans="2:22" ht="15.6">
      <c r="B28" s="1544">
        <v>2020</v>
      </c>
      <c r="C28" s="1544"/>
      <c r="D28" s="1544" t="s">
        <v>18</v>
      </c>
      <c r="E28" s="1544">
        <v>679</v>
      </c>
      <c r="I28" s="1544">
        <v>2020</v>
      </c>
      <c r="J28" s="1544"/>
      <c r="K28" s="1544"/>
      <c r="L28" s="1544"/>
      <c r="M28" s="1544"/>
      <c r="V28" s="21"/>
    </row>
    <row r="29" spans="2:22">
      <c r="B29" s="1544">
        <v>2021</v>
      </c>
      <c r="C29" s="1544"/>
      <c r="D29" s="1530" t="s">
        <v>18</v>
      </c>
      <c r="E29" s="1544">
        <v>526</v>
      </c>
      <c r="I29" s="1544">
        <v>2021</v>
      </c>
      <c r="J29" s="1544"/>
      <c r="K29" s="1544"/>
      <c r="L29" s="1544"/>
      <c r="M29" s="1544"/>
    </row>
    <row r="30" spans="2:22">
      <c r="B30" s="1544">
        <v>2022</v>
      </c>
      <c r="C30" s="1677">
        <v>2777.4070000000002</v>
      </c>
      <c r="D30" s="1530">
        <v>922.14400000000001</v>
      </c>
      <c r="E30" s="1530">
        <f>SUM(C30:D30)</f>
        <v>3699.5510000000004</v>
      </c>
      <c r="I30" s="1544">
        <v>2022</v>
      </c>
      <c r="J30" s="1677">
        <v>122.22222222222221</v>
      </c>
      <c r="K30" s="1544" t="s">
        <v>185</v>
      </c>
      <c r="L30" s="1544"/>
      <c r="M30" s="1544"/>
    </row>
    <row r="31" spans="2:22">
      <c r="B31" s="1544">
        <v>2023</v>
      </c>
      <c r="C31" s="1544"/>
      <c r="D31" s="1677">
        <v>75.5</v>
      </c>
      <c r="E31" s="1544"/>
      <c r="F31" s="1" t="s">
        <v>18</v>
      </c>
      <c r="G31" s="1">
        <f>J31+K31</f>
        <v>1147.681</v>
      </c>
      <c r="I31" s="1544">
        <v>2023</v>
      </c>
      <c r="J31" s="1544">
        <v>274.07</v>
      </c>
      <c r="K31" s="1644">
        <v>873.61099999999999</v>
      </c>
      <c r="L31" s="1544"/>
      <c r="M31" s="1544"/>
    </row>
    <row r="32" spans="2:22">
      <c r="B32" s="1543">
        <v>2024</v>
      </c>
      <c r="C32" s="1543"/>
      <c r="D32" s="1517" t="s">
        <v>18</v>
      </c>
      <c r="E32" s="1543"/>
      <c r="F32" s="78"/>
      <c r="G32" s="78"/>
      <c r="H32" s="78"/>
      <c r="I32" s="1543">
        <v>2024</v>
      </c>
      <c r="J32" s="1543"/>
      <c r="K32" s="1543"/>
      <c r="L32" s="1543"/>
      <c r="M32" s="1543"/>
    </row>
    <row r="33" spans="2:19">
      <c r="B33" s="1543">
        <v>2025</v>
      </c>
      <c r="C33" s="1543"/>
      <c r="D33" s="1517">
        <v>305.48148148148147</v>
      </c>
      <c r="E33" s="1543"/>
      <c r="F33" s="78"/>
      <c r="G33" s="78"/>
      <c r="H33" s="78"/>
      <c r="I33" s="1543">
        <v>2025</v>
      </c>
      <c r="J33" s="1543"/>
      <c r="K33" s="1543"/>
      <c r="L33" s="1543"/>
      <c r="M33" s="1543"/>
    </row>
    <row r="43" spans="2:19" ht="13.8">
      <c r="M43" s="6" t="s">
        <v>213</v>
      </c>
    </row>
    <row r="44" spans="2:19">
      <c r="N44" s="6" t="s">
        <v>214</v>
      </c>
    </row>
    <row r="48" spans="2:19">
      <c r="Q48" s="2"/>
      <c r="R48" s="2"/>
      <c r="S48" s="2"/>
    </row>
    <row r="52" spans="1:7">
      <c r="A52" s="6"/>
    </row>
    <row r="53" spans="1:7" ht="12.75" customHeight="1">
      <c r="A53" s="2016" t="s">
        <v>167</v>
      </c>
      <c r="B53" s="1679" t="s">
        <v>209</v>
      </c>
      <c r="C53" s="1154">
        <v>21.9</v>
      </c>
    </row>
    <row r="54" spans="1:7">
      <c r="A54" s="2016"/>
      <c r="B54" s="1679" t="s">
        <v>210</v>
      </c>
      <c r="C54" s="1154">
        <v>1.6</v>
      </c>
    </row>
    <row r="55" spans="1:7">
      <c r="A55" s="2017"/>
      <c r="B55" s="1679" t="s">
        <v>211</v>
      </c>
      <c r="C55" s="1154">
        <v>206</v>
      </c>
    </row>
    <row r="56" spans="1:7">
      <c r="A56" s="2017"/>
      <c r="B56" s="1679" t="s">
        <v>212</v>
      </c>
      <c r="C56" s="1154">
        <v>259</v>
      </c>
    </row>
    <row r="57" spans="1:7" ht="12.75" customHeight="1"/>
    <row r="58" spans="1:7" ht="12.75" customHeight="1"/>
    <row r="59" spans="1:7">
      <c r="B59" s="685" t="s">
        <v>167</v>
      </c>
      <c r="C59" s="1669" t="s">
        <v>215</v>
      </c>
      <c r="D59" s="1119"/>
      <c r="E59" s="1119"/>
      <c r="F59" s="1119"/>
    </row>
    <row r="60" spans="1:7">
      <c r="B60" s="1680"/>
      <c r="C60" s="1644" t="s">
        <v>216</v>
      </c>
      <c r="D60" s="1644" t="s">
        <v>217</v>
      </c>
      <c r="E60" s="1644" t="s">
        <v>218</v>
      </c>
      <c r="F60" s="1119"/>
    </row>
    <row r="61" spans="1:7" ht="26.4">
      <c r="A61" s="1663" t="s">
        <v>167</v>
      </c>
      <c r="B61" s="1681"/>
      <c r="C61" s="1682" t="s">
        <v>219</v>
      </c>
      <c r="D61" s="1682" t="s">
        <v>219</v>
      </c>
      <c r="E61" s="1682" t="s">
        <v>219</v>
      </c>
      <c r="F61" s="1119"/>
      <c r="G61" s="1119" t="s">
        <v>45</v>
      </c>
    </row>
    <row r="62" spans="1:7">
      <c r="A62" s="1664"/>
      <c r="B62" s="1679" t="s">
        <v>220</v>
      </c>
      <c r="C62" s="1145">
        <v>72.222222222222214</v>
      </c>
      <c r="D62" s="1145">
        <v>382.88489414519478</v>
      </c>
      <c r="E62" s="1145">
        <v>230.40929229073123</v>
      </c>
      <c r="F62" s="1119"/>
      <c r="G62" s="1145">
        <f>SUM(C62:F62)</f>
        <v>685.51640865814829</v>
      </c>
    </row>
    <row r="63" spans="1:7">
      <c r="A63" s="1664"/>
      <c r="B63" s="1679" t="s">
        <v>221</v>
      </c>
      <c r="C63" s="1145" t="s">
        <v>18</v>
      </c>
      <c r="D63" s="1145">
        <v>24.072876330120884</v>
      </c>
      <c r="E63" s="1145">
        <v>28.419276263117432</v>
      </c>
      <c r="F63" s="1119"/>
      <c r="G63" s="1145">
        <f>SUM(C63:F63)</f>
        <v>52.492152593238316</v>
      </c>
    </row>
    <row r="64" spans="1:7">
      <c r="A64" s="1683"/>
      <c r="B64" s="1119" t="s">
        <v>45</v>
      </c>
      <c r="C64" s="1145">
        <f>SUM(C62:C63)</f>
        <v>72.222222222222214</v>
      </c>
      <c r="D64" s="1145">
        <f>SUM(D62:D63)</f>
        <v>406.95777047531567</v>
      </c>
      <c r="E64" s="1145">
        <f>SUM(E62:E63)</f>
        <v>258.82856855384864</v>
      </c>
      <c r="F64" s="1145">
        <f>SUM(F62:F63)</f>
        <v>0</v>
      </c>
      <c r="G64" s="1145">
        <f>SUM(G62:G63)</f>
        <v>738.0085612513866</v>
      </c>
    </row>
  </sheetData>
  <mergeCells count="1">
    <mergeCell ref="A53:A56"/>
  </mergeCells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0000"/>
  </sheetPr>
  <dimension ref="A1:Z74"/>
  <sheetViews>
    <sheetView tabSelected="1" topLeftCell="A21" zoomScale="80" zoomScaleNormal="80" workbookViewId="0">
      <selection activeCell="N48" sqref="N48"/>
    </sheetView>
  </sheetViews>
  <sheetFormatPr defaultColWidth="11.44140625" defaultRowHeight="13.2"/>
  <cols>
    <col min="1" max="1" width="11.44140625" style="1"/>
    <col min="2" max="2" width="7.6640625" style="1" customWidth="1"/>
    <col min="3" max="3" width="9.44140625" style="1" customWidth="1"/>
    <col min="4" max="4" width="15.33203125" style="1" bestFit="1" customWidth="1"/>
    <col min="5" max="5" width="8" style="1" customWidth="1"/>
    <col min="6" max="6" width="9.44140625" style="1" customWidth="1"/>
    <col min="7" max="7" width="14.88671875" style="1" customWidth="1"/>
    <col min="8" max="8" width="8.6640625" style="1" customWidth="1"/>
    <col min="9" max="9" width="9.6640625" style="1" customWidth="1"/>
    <col min="10" max="15" width="11.44140625" style="1"/>
    <col min="16" max="18" width="13.33203125" style="1" bestFit="1" customWidth="1"/>
    <col min="19" max="19" width="12.33203125" style="1" bestFit="1" customWidth="1"/>
    <col min="20" max="16384" width="11.44140625" style="1"/>
  </cols>
  <sheetData>
    <row r="1" spans="1:15" s="6" customFormat="1" ht="13.8" thickBot="1">
      <c r="A1" s="6" t="s">
        <v>222</v>
      </c>
      <c r="B1" s="121"/>
      <c r="C1" s="121"/>
      <c r="D1" s="121"/>
      <c r="E1" s="121"/>
      <c r="F1" s="121"/>
      <c r="G1" s="121"/>
      <c r="H1" s="121"/>
      <c r="I1" s="121"/>
      <c r="J1" s="121"/>
      <c r="K1" s="1"/>
      <c r="L1" s="6" t="s">
        <v>223</v>
      </c>
      <c r="M1" s="1"/>
      <c r="N1" s="1"/>
      <c r="O1" s="1"/>
    </row>
    <row r="2" spans="1:15" ht="14.4" thickTop="1">
      <c r="A2" s="29"/>
      <c r="B2" s="29"/>
      <c r="C2" s="29"/>
      <c r="D2" s="29"/>
      <c r="E2" s="29"/>
      <c r="F2" s="29"/>
      <c r="G2" s="29"/>
      <c r="H2" s="29"/>
      <c r="K2" s="122"/>
      <c r="L2" s="2018" t="s">
        <v>147</v>
      </c>
      <c r="M2" s="2018"/>
      <c r="N2" s="2018" t="s">
        <v>148</v>
      </c>
      <c r="O2" s="2019"/>
    </row>
    <row r="3" spans="1:15" ht="13.8" thickBot="1">
      <c r="E3" s="29"/>
      <c r="F3" s="29"/>
      <c r="G3" s="29"/>
      <c r="H3" s="29"/>
      <c r="K3" s="733"/>
      <c r="L3" s="1148" t="s">
        <v>224</v>
      </c>
      <c r="M3" s="1148" t="s">
        <v>225</v>
      </c>
      <c r="N3" s="1148" t="s">
        <v>224</v>
      </c>
      <c r="O3" s="734" t="s">
        <v>225</v>
      </c>
    </row>
    <row r="4" spans="1:15" ht="13.8" thickTop="1">
      <c r="A4" s="19"/>
      <c r="B4" s="2021" t="s">
        <v>147</v>
      </c>
      <c r="C4" s="2023"/>
      <c r="D4" s="2022"/>
      <c r="E4" s="2021" t="s">
        <v>148</v>
      </c>
      <c r="F4" s="2023"/>
      <c r="G4" s="2022"/>
      <c r="H4" s="2021" t="s">
        <v>226</v>
      </c>
      <c r="I4" s="2022"/>
      <c r="K4" s="735">
        <v>2003</v>
      </c>
      <c r="L4" s="1149">
        <v>1777</v>
      </c>
      <c r="M4" s="1149">
        <v>1171</v>
      </c>
      <c r="N4" s="1149">
        <v>1268</v>
      </c>
      <c r="O4" s="736">
        <v>642</v>
      </c>
    </row>
    <row r="5" spans="1:15">
      <c r="A5" s="689"/>
      <c r="B5" s="1147" t="s">
        <v>102</v>
      </c>
      <c r="C5" s="1147" t="s">
        <v>98</v>
      </c>
      <c r="D5" s="1147" t="s">
        <v>227</v>
      </c>
      <c r="E5" s="1147" t="s">
        <v>102</v>
      </c>
      <c r="F5" s="1147" t="s">
        <v>98</v>
      </c>
      <c r="G5" s="1147" t="s">
        <v>227</v>
      </c>
      <c r="H5" s="1147" t="s">
        <v>102</v>
      </c>
      <c r="I5" s="690" t="s">
        <v>98</v>
      </c>
      <c r="J5" s="30"/>
      <c r="K5" s="735">
        <v>2004</v>
      </c>
      <c r="L5" s="1149">
        <v>5</v>
      </c>
      <c r="M5" s="1149">
        <v>71</v>
      </c>
      <c r="N5" s="1149">
        <v>65</v>
      </c>
      <c r="O5" s="736">
        <v>298</v>
      </c>
    </row>
    <row r="6" spans="1:15">
      <c r="A6" s="689">
        <v>1994</v>
      </c>
      <c r="B6" s="1666">
        <v>21452</v>
      </c>
      <c r="C6" s="1666"/>
      <c r="D6" s="1666">
        <v>21452</v>
      </c>
      <c r="E6" s="1666">
        <v>14850</v>
      </c>
      <c r="F6" s="1119"/>
      <c r="G6" s="1666">
        <v>14850</v>
      </c>
      <c r="H6" s="1666">
        <v>1098</v>
      </c>
      <c r="I6" s="691"/>
      <c r="J6" s="30"/>
      <c r="K6" s="735">
        <v>2005</v>
      </c>
      <c r="L6" s="1149">
        <v>141</v>
      </c>
      <c r="M6" s="1149">
        <v>10</v>
      </c>
      <c r="N6" s="1149">
        <v>3837</v>
      </c>
      <c r="O6" s="736">
        <v>43</v>
      </c>
    </row>
    <row r="7" spans="1:15">
      <c r="A7" s="689">
        <v>1995</v>
      </c>
      <c r="B7" s="1666">
        <v>121568</v>
      </c>
      <c r="C7" s="1666">
        <v>24673</v>
      </c>
      <c r="D7" s="1666">
        <v>146241</v>
      </c>
      <c r="E7" s="1666">
        <v>188121</v>
      </c>
      <c r="F7" s="1119">
        <v>113690</v>
      </c>
      <c r="G7" s="1666">
        <v>301811</v>
      </c>
      <c r="H7" s="1666">
        <v>0</v>
      </c>
      <c r="I7" s="691">
        <v>26870</v>
      </c>
      <c r="J7" s="30"/>
      <c r="K7" s="735">
        <v>2006</v>
      </c>
      <c r="L7" s="1149">
        <v>308</v>
      </c>
      <c r="M7" s="1149">
        <v>54</v>
      </c>
      <c r="N7" s="1149">
        <v>1299</v>
      </c>
      <c r="O7" s="736">
        <v>372</v>
      </c>
    </row>
    <row r="8" spans="1:15">
      <c r="A8" s="689">
        <v>1996</v>
      </c>
      <c r="B8" s="1666">
        <v>28021</v>
      </c>
      <c r="C8" s="1666"/>
      <c r="D8" s="1666">
        <v>28021</v>
      </c>
      <c r="E8" s="1666">
        <v>20077</v>
      </c>
      <c r="F8" s="1119"/>
      <c r="G8" s="1666">
        <v>20077</v>
      </c>
      <c r="H8" s="1666">
        <v>0</v>
      </c>
      <c r="I8" s="691"/>
      <c r="J8" s="30"/>
      <c r="K8" s="735">
        <v>2007</v>
      </c>
      <c r="L8" s="1149">
        <v>1256</v>
      </c>
      <c r="M8" s="1149">
        <v>117</v>
      </c>
      <c r="N8" s="1149">
        <v>7193</v>
      </c>
      <c r="O8" s="736">
        <v>587</v>
      </c>
    </row>
    <row r="9" spans="1:15">
      <c r="A9" s="689">
        <v>1997</v>
      </c>
      <c r="B9" s="1734"/>
      <c r="C9" s="1734"/>
      <c r="D9" s="1734"/>
      <c r="E9" s="1734"/>
      <c r="F9" s="1735"/>
      <c r="G9" s="1734"/>
      <c r="H9" s="1734"/>
      <c r="I9" s="692"/>
      <c r="J9" s="30"/>
      <c r="K9" s="735">
        <v>2008</v>
      </c>
      <c r="L9" s="1150">
        <v>6</v>
      </c>
      <c r="M9" s="1150">
        <v>28</v>
      </c>
      <c r="N9" s="1150">
        <v>1546</v>
      </c>
      <c r="O9" s="737">
        <v>430</v>
      </c>
    </row>
    <row r="10" spans="1:15">
      <c r="A10" s="689">
        <v>1998</v>
      </c>
      <c r="B10" s="1736">
        <v>112441</v>
      </c>
      <c r="C10" s="1666">
        <v>14798</v>
      </c>
      <c r="D10" s="1666">
        <v>127239</v>
      </c>
      <c r="E10" s="1736">
        <v>158537</v>
      </c>
      <c r="F10" s="1119">
        <v>324475</v>
      </c>
      <c r="G10" s="1666">
        <v>483012</v>
      </c>
      <c r="H10" s="1736">
        <v>6348</v>
      </c>
      <c r="I10" s="691">
        <v>106075</v>
      </c>
      <c r="J10" s="30"/>
      <c r="K10" s="735">
        <v>2009</v>
      </c>
      <c r="L10" s="1150">
        <v>3722</v>
      </c>
      <c r="M10" s="1150">
        <v>56.49</v>
      </c>
      <c r="N10" s="1150">
        <v>2153</v>
      </c>
      <c r="O10" s="737">
        <v>689.99</v>
      </c>
    </row>
    <row r="11" spans="1:15">
      <c r="A11" s="689">
        <v>1999</v>
      </c>
      <c r="B11" s="1666">
        <v>55914</v>
      </c>
      <c r="C11" s="1666">
        <v>0</v>
      </c>
      <c r="D11" s="1666">
        <v>55914</v>
      </c>
      <c r="E11" s="1666">
        <v>63003</v>
      </c>
      <c r="F11" s="1119">
        <v>20146</v>
      </c>
      <c r="G11" s="1666">
        <v>83149</v>
      </c>
      <c r="H11" s="1666">
        <v>21251</v>
      </c>
      <c r="I11" s="691">
        <v>46279</v>
      </c>
      <c r="J11" s="30"/>
      <c r="K11" s="735">
        <v>2010</v>
      </c>
      <c r="L11" s="1151"/>
      <c r="M11" s="1151"/>
      <c r="N11" s="1151"/>
      <c r="O11" s="1152"/>
    </row>
    <row r="12" spans="1:15">
      <c r="A12" s="689">
        <v>2000</v>
      </c>
      <c r="B12" s="1734"/>
      <c r="C12" s="1666">
        <v>14983</v>
      </c>
      <c r="D12" s="1666">
        <v>14983</v>
      </c>
      <c r="E12" s="1734"/>
      <c r="F12" s="1119">
        <v>160649</v>
      </c>
      <c r="G12" s="1666">
        <v>160649</v>
      </c>
      <c r="H12" s="1734"/>
      <c r="I12" s="691">
        <v>60071</v>
      </c>
      <c r="J12" s="30"/>
      <c r="K12" s="735">
        <v>2011</v>
      </c>
      <c r="L12" s="1150">
        <v>246.04599999999999</v>
      </c>
      <c r="M12" s="1150">
        <v>23.954999999999998</v>
      </c>
      <c r="N12" s="1150">
        <v>704.36199999999997</v>
      </c>
      <c r="O12" s="737">
        <v>21.172000000000001</v>
      </c>
    </row>
    <row r="13" spans="1:15">
      <c r="A13" s="689">
        <v>2001</v>
      </c>
      <c r="B13" s="1734"/>
      <c r="C13" s="1737">
        <v>0</v>
      </c>
      <c r="D13" s="1666">
        <v>0</v>
      </c>
      <c r="E13" s="1734"/>
      <c r="F13" s="1659">
        <v>29706</v>
      </c>
      <c r="G13" s="1666">
        <v>29706</v>
      </c>
      <c r="H13" s="1734"/>
      <c r="I13" s="693">
        <v>89856</v>
      </c>
      <c r="J13" s="30"/>
      <c r="K13" s="735">
        <v>2012</v>
      </c>
      <c r="L13" s="1146"/>
      <c r="M13" s="1146"/>
      <c r="N13" s="1146"/>
      <c r="O13" s="738"/>
    </row>
    <row r="14" spans="1:15">
      <c r="A14" s="689">
        <v>2002</v>
      </c>
      <c r="B14" s="1734"/>
      <c r="C14" s="1734"/>
      <c r="D14" s="1734"/>
      <c r="E14" s="1734"/>
      <c r="F14" s="1735"/>
      <c r="G14" s="1734"/>
      <c r="H14" s="1734"/>
      <c r="I14" s="692"/>
      <c r="J14" s="30"/>
      <c r="K14" s="735">
        <v>2013</v>
      </c>
      <c r="L14" s="1147">
        <v>108</v>
      </c>
      <c r="M14" s="1147">
        <v>141</v>
      </c>
      <c r="N14" s="1147">
        <v>83</v>
      </c>
      <c r="O14" s="690">
        <v>451</v>
      </c>
    </row>
    <row r="15" spans="1:15">
      <c r="A15" s="689">
        <v>2003</v>
      </c>
      <c r="B15" s="1734"/>
      <c r="C15" s="1734"/>
      <c r="D15" s="1734"/>
      <c r="E15" s="1734"/>
      <c r="F15" s="1735"/>
      <c r="G15" s="1734"/>
      <c r="H15" s="1734"/>
      <c r="I15" s="692"/>
      <c r="J15" s="30"/>
      <c r="K15" s="735">
        <v>2014</v>
      </c>
      <c r="L15" s="1147"/>
      <c r="M15" s="1147"/>
      <c r="N15" s="1147"/>
      <c r="O15" s="690"/>
    </row>
    <row r="16" spans="1:15">
      <c r="A16" s="689">
        <v>2004</v>
      </c>
      <c r="B16" s="1666">
        <v>202320</v>
      </c>
      <c r="C16" s="1666">
        <v>110588</v>
      </c>
      <c r="D16" s="1666">
        <v>312908</v>
      </c>
      <c r="E16" s="1666">
        <v>581339</v>
      </c>
      <c r="F16" s="1119">
        <v>43997</v>
      </c>
      <c r="G16" s="1666">
        <v>625336</v>
      </c>
      <c r="H16" s="1666">
        <v>0</v>
      </c>
      <c r="I16" s="691">
        <v>63060</v>
      </c>
      <c r="J16" s="30"/>
      <c r="K16" s="1148">
        <v>2015</v>
      </c>
      <c r="L16" s="1147">
        <v>235</v>
      </c>
      <c r="M16" s="739">
        <v>90</v>
      </c>
      <c r="N16" s="739"/>
      <c r="O16" s="740">
        <v>24</v>
      </c>
    </row>
    <row r="17" spans="1:15">
      <c r="A17" s="689">
        <v>2005</v>
      </c>
      <c r="B17" s="1734"/>
      <c r="C17" s="1734"/>
      <c r="D17" s="1734"/>
      <c r="E17" s="1734"/>
      <c r="F17" s="1735"/>
      <c r="G17" s="1734"/>
      <c r="H17" s="1734"/>
      <c r="I17" s="692"/>
      <c r="J17" s="30"/>
      <c r="K17" s="1148">
        <v>2016</v>
      </c>
      <c r="L17" s="1153">
        <v>194</v>
      </c>
      <c r="M17" s="1153">
        <v>11</v>
      </c>
      <c r="N17" s="1153">
        <v>45</v>
      </c>
      <c r="O17" s="1153">
        <v>4</v>
      </c>
    </row>
    <row r="18" spans="1:15">
      <c r="A18" s="689">
        <v>2006</v>
      </c>
      <c r="B18" s="1666">
        <v>36132</v>
      </c>
      <c r="C18" s="1666">
        <v>0</v>
      </c>
      <c r="D18" s="1666">
        <v>36132</v>
      </c>
      <c r="E18" s="1666">
        <v>45605</v>
      </c>
      <c r="F18" s="1119">
        <v>9342</v>
      </c>
      <c r="G18" s="1666">
        <v>54947</v>
      </c>
      <c r="H18" s="1666">
        <v>1615</v>
      </c>
      <c r="I18" s="691">
        <v>20339</v>
      </c>
      <c r="J18" s="30"/>
      <c r="K18" s="741">
        <v>2017</v>
      </c>
      <c r="L18" s="742">
        <v>287.32497027799997</v>
      </c>
      <c r="M18" s="742">
        <v>11.180447000000001</v>
      </c>
      <c r="N18" s="742">
        <v>29.461379462845493</v>
      </c>
      <c r="O18" s="742">
        <v>52.878560760494437</v>
      </c>
    </row>
    <row r="19" spans="1:15">
      <c r="A19" s="689">
        <v>2007</v>
      </c>
      <c r="B19" s="1666">
        <v>162247</v>
      </c>
      <c r="C19" s="1666">
        <v>0</v>
      </c>
      <c r="D19" s="1666">
        <v>162247</v>
      </c>
      <c r="E19" s="1666">
        <v>465812</v>
      </c>
      <c r="F19" s="1119">
        <v>60100</v>
      </c>
      <c r="G19" s="1666">
        <v>525912</v>
      </c>
      <c r="H19" s="1666">
        <v>0</v>
      </c>
      <c r="I19" s="691">
        <v>233908</v>
      </c>
      <c r="J19" s="30"/>
      <c r="K19" s="1148">
        <v>2018</v>
      </c>
      <c r="L19" s="1147">
        <v>198</v>
      </c>
      <c r="M19" s="1147">
        <v>55</v>
      </c>
      <c r="N19" s="1147">
        <v>0.5</v>
      </c>
      <c r="O19" s="1147">
        <v>1</v>
      </c>
    </row>
    <row r="20" spans="1:15">
      <c r="A20" s="689">
        <v>2008</v>
      </c>
      <c r="B20" s="1147">
        <v>265017</v>
      </c>
      <c r="C20" s="1676">
        <v>9815</v>
      </c>
      <c r="D20" s="1666">
        <v>274832</v>
      </c>
      <c r="E20" s="1666">
        <v>511670</v>
      </c>
      <c r="F20" s="1669">
        <v>9405</v>
      </c>
      <c r="G20" s="1666">
        <v>521075</v>
      </c>
      <c r="H20" s="1666">
        <v>0</v>
      </c>
      <c r="I20" s="691">
        <v>32000</v>
      </c>
      <c r="J20" s="30"/>
      <c r="K20" s="1148">
        <v>2019</v>
      </c>
      <c r="L20" s="1147">
        <v>76</v>
      </c>
      <c r="M20" s="1147">
        <v>7</v>
      </c>
      <c r="N20" s="1147">
        <v>0</v>
      </c>
      <c r="O20" s="1147">
        <v>0</v>
      </c>
    </row>
    <row r="21" spans="1:15">
      <c r="A21" s="689">
        <v>2009</v>
      </c>
      <c r="B21" s="1147">
        <v>280689</v>
      </c>
      <c r="C21" s="1147">
        <v>82444</v>
      </c>
      <c r="D21" s="1666">
        <v>363133</v>
      </c>
      <c r="E21" s="1666">
        <v>473923</v>
      </c>
      <c r="F21" s="1119">
        <v>230105</v>
      </c>
      <c r="G21" s="1666">
        <v>704028</v>
      </c>
      <c r="H21" s="1147"/>
      <c r="I21" s="691">
        <v>75384</v>
      </c>
      <c r="J21" s="30"/>
      <c r="K21" s="1148">
        <v>2020</v>
      </c>
      <c r="L21" s="1119"/>
      <c r="M21" s="1119"/>
      <c r="N21" s="1119"/>
      <c r="O21" s="1119"/>
    </row>
    <row r="22" spans="1:15">
      <c r="A22" s="689">
        <v>2010</v>
      </c>
      <c r="B22" s="1147">
        <v>229922</v>
      </c>
      <c r="C22" s="1147">
        <v>29689</v>
      </c>
      <c r="D22" s="1666">
        <v>259611</v>
      </c>
      <c r="E22" s="1666">
        <v>131781</v>
      </c>
      <c r="F22" s="1119">
        <v>36300</v>
      </c>
      <c r="G22" s="1666">
        <v>168081</v>
      </c>
      <c r="H22" s="1147">
        <v>4180</v>
      </c>
      <c r="I22" s="691">
        <v>169434</v>
      </c>
      <c r="J22" s="30"/>
      <c r="K22" s="1148">
        <v>2021</v>
      </c>
      <c r="L22" s="1146">
        <v>696.32100000000003</v>
      </c>
      <c r="M22" s="1146">
        <v>14.801</v>
      </c>
      <c r="N22" s="1146">
        <v>577.92499999999995</v>
      </c>
      <c r="O22" s="1146">
        <v>0.28499999999999998</v>
      </c>
    </row>
    <row r="23" spans="1:15">
      <c r="A23" s="689">
        <v>2011</v>
      </c>
      <c r="B23" s="1147">
        <v>210899</v>
      </c>
      <c r="C23" s="1147">
        <v>0</v>
      </c>
      <c r="D23" s="1666">
        <v>210899</v>
      </c>
      <c r="E23" s="1666">
        <v>211563</v>
      </c>
      <c r="F23" s="1119">
        <v>21860</v>
      </c>
      <c r="G23" s="1666">
        <v>233423</v>
      </c>
      <c r="H23" s="1147">
        <v>3520</v>
      </c>
      <c r="I23" s="691">
        <v>95502</v>
      </c>
      <c r="J23" s="30"/>
      <c r="K23" s="1148">
        <v>2022</v>
      </c>
      <c r="L23" s="1146">
        <v>702.72199999999998</v>
      </c>
      <c r="M23" s="1146">
        <v>416.29</v>
      </c>
      <c r="N23" s="1146">
        <v>2437.268</v>
      </c>
      <c r="O23" s="1146">
        <v>344.43799999999999</v>
      </c>
    </row>
    <row r="24" spans="1:15">
      <c r="A24" s="689">
        <v>2012</v>
      </c>
      <c r="B24" s="1147"/>
      <c r="C24" s="1666">
        <v>56605</v>
      </c>
      <c r="D24" s="1666"/>
      <c r="E24" s="1119"/>
      <c r="F24" s="1119">
        <v>212820</v>
      </c>
      <c r="G24" s="1666"/>
      <c r="H24" s="1147"/>
      <c r="I24" s="691">
        <v>56469</v>
      </c>
      <c r="J24" s="30"/>
      <c r="K24" s="1148">
        <v>2023</v>
      </c>
      <c r="L24" s="1146">
        <v>66.295000000000002</v>
      </c>
      <c r="M24" s="1146">
        <v>43.377000000000002</v>
      </c>
      <c r="N24" s="1146">
        <v>328.358</v>
      </c>
      <c r="O24" s="1146">
        <v>319.57600000000002</v>
      </c>
    </row>
    <row r="25" spans="1:15">
      <c r="A25" s="694">
        <v>2013</v>
      </c>
      <c r="B25" s="1147"/>
      <c r="C25" s="1147"/>
      <c r="D25" s="1666"/>
      <c r="E25" s="1666"/>
      <c r="F25" s="1147"/>
      <c r="G25" s="1666"/>
      <c r="H25" s="1147"/>
      <c r="I25" s="695"/>
      <c r="J25" s="30"/>
      <c r="K25" s="1304">
        <v>2024</v>
      </c>
      <c r="L25" s="1290"/>
      <c r="M25" s="1290"/>
      <c r="N25" s="1290"/>
      <c r="O25" s="1290"/>
    </row>
    <row r="26" spans="1:15">
      <c r="A26" s="694">
        <v>2014</v>
      </c>
      <c r="B26" s="1147"/>
      <c r="C26" s="1147"/>
      <c r="D26" s="1666"/>
      <c r="E26" s="1666"/>
      <c r="F26" s="1147"/>
      <c r="G26" s="1666"/>
      <c r="H26" s="1147"/>
      <c r="I26" s="695"/>
      <c r="J26" s="30"/>
      <c r="K26" s="1304">
        <v>2025</v>
      </c>
      <c r="L26" s="1290"/>
      <c r="M26" s="1290"/>
      <c r="N26" s="1290"/>
      <c r="O26" s="1290"/>
    </row>
    <row r="27" spans="1:15" ht="13.8">
      <c r="A27" s="1738" t="s">
        <v>228</v>
      </c>
      <c r="B27" s="1147">
        <v>117000</v>
      </c>
      <c r="C27" s="1147"/>
      <c r="D27" s="1666"/>
      <c r="E27" s="1666">
        <v>450000</v>
      </c>
      <c r="F27" s="1147"/>
      <c r="G27" s="1666"/>
      <c r="H27" s="1147">
        <v>66000</v>
      </c>
      <c r="I27" s="1676"/>
    </row>
    <row r="28" spans="1:15">
      <c r="A28" s="1738">
        <v>2016</v>
      </c>
      <c r="B28" s="1147"/>
      <c r="C28" s="1147"/>
      <c r="D28" s="1666"/>
      <c r="E28" s="1666"/>
      <c r="F28" s="1147"/>
      <c r="G28" s="1666"/>
      <c r="H28" s="1147"/>
      <c r="I28" s="1676"/>
    </row>
    <row r="29" spans="1:15">
      <c r="A29" s="1147">
        <v>2017</v>
      </c>
      <c r="B29" s="1147"/>
      <c r="C29" s="1147"/>
      <c r="D29" s="1666"/>
      <c r="E29" s="1666"/>
      <c r="F29" s="1147"/>
      <c r="G29" s="1666"/>
      <c r="H29" s="1147"/>
      <c r="I29" s="1676"/>
    </row>
    <row r="30" spans="1:15">
      <c r="A30" s="1147">
        <v>2018</v>
      </c>
      <c r="B30" s="1147"/>
      <c r="C30" s="1147"/>
      <c r="D30" s="1666"/>
      <c r="E30" s="1666"/>
      <c r="F30" s="1147"/>
      <c r="G30" s="1666"/>
      <c r="H30" s="1147"/>
      <c r="I30" s="1676"/>
    </row>
    <row r="31" spans="1:15" ht="13.8">
      <c r="A31" s="1147" t="s">
        <v>229</v>
      </c>
      <c r="B31" s="1134">
        <v>115000</v>
      </c>
      <c r="C31" s="1134"/>
      <c r="D31" s="1134"/>
      <c r="E31" s="1134">
        <v>16000</v>
      </c>
      <c r="F31" s="1134"/>
      <c r="G31" s="1134"/>
      <c r="H31" s="1134">
        <v>8000</v>
      </c>
      <c r="I31" s="1134"/>
    </row>
    <row r="32" spans="1:15" ht="13.8">
      <c r="A32" s="696" t="s">
        <v>230</v>
      </c>
      <c r="B32"/>
      <c r="C32"/>
      <c r="D32"/>
      <c r="E32"/>
      <c r="F32"/>
      <c r="G32"/>
      <c r="H32"/>
      <c r="I32"/>
    </row>
    <row r="33" spans="1:16">
      <c r="A33" s="29"/>
      <c r="B33" s="29"/>
      <c r="C33" s="57">
        <f>C21/C22</f>
        <v>2.7769207450570916</v>
      </c>
      <c r="D33" s="5"/>
      <c r="E33" s="4"/>
      <c r="F33" s="57">
        <f>F21/F22</f>
        <v>6.3389807162534435</v>
      </c>
      <c r="G33" s="5"/>
      <c r="H33" s="29"/>
      <c r="I33" s="80"/>
    </row>
    <row r="34" spans="1:16">
      <c r="A34" s="29"/>
      <c r="B34" s="29"/>
      <c r="C34" s="29"/>
      <c r="D34" s="29"/>
      <c r="E34" s="29"/>
    </row>
    <row r="35" spans="1:16" ht="14.25" customHeight="1">
      <c r="A35" s="1684" t="s">
        <v>231</v>
      </c>
      <c r="B35"/>
      <c r="C35"/>
      <c r="D35"/>
      <c r="E35"/>
    </row>
    <row r="36" spans="1:16">
      <c r="A36"/>
      <c r="B36"/>
      <c r="C36"/>
      <c r="D36"/>
      <c r="E36"/>
      <c r="F36" s="29"/>
      <c r="G36" s="29"/>
      <c r="H36" s="29"/>
    </row>
    <row r="37" spans="1:16">
      <c r="A37" s="1134"/>
      <c r="B37" s="2024" t="s">
        <v>76</v>
      </c>
      <c r="C37" s="2025"/>
      <c r="D37" s="2024" t="s">
        <v>77</v>
      </c>
      <c r="E37" s="2025"/>
      <c r="F37" s="29"/>
      <c r="G37" s="29"/>
      <c r="H37" s="29"/>
      <c r="P37" s="73"/>
    </row>
    <row r="38" spans="1:16">
      <c r="A38" s="1134"/>
      <c r="B38" s="1154" t="s">
        <v>224</v>
      </c>
      <c r="C38" s="1154" t="s">
        <v>225</v>
      </c>
      <c r="D38" s="1154" t="s">
        <v>224</v>
      </c>
      <c r="E38" s="1154" t="s">
        <v>225</v>
      </c>
    </row>
    <row r="39" spans="1:16">
      <c r="A39" s="1134">
        <v>2003</v>
      </c>
      <c r="B39" s="1155">
        <v>1752252.9340785388</v>
      </c>
      <c r="C39" s="1155">
        <v>1168807.0447486935</v>
      </c>
      <c r="D39" s="1155">
        <v>589095.4388349629</v>
      </c>
      <c r="E39" s="1155">
        <v>590684.1924727537</v>
      </c>
    </row>
    <row r="40" spans="1:16">
      <c r="A40" s="1134">
        <v>2004</v>
      </c>
      <c r="B40" s="1155">
        <v>4287.897288756938</v>
      </c>
      <c r="C40" s="1155">
        <v>70426.281611295082</v>
      </c>
      <c r="D40" s="1155">
        <v>35607.449297410603</v>
      </c>
      <c r="E40" s="1155">
        <v>202710.14261152418</v>
      </c>
    </row>
    <row r="41" spans="1:16">
      <c r="A41" s="1134">
        <v>2005</v>
      </c>
      <c r="B41" s="1155">
        <v>141256.4</v>
      </c>
      <c r="C41" s="1155">
        <v>10265.5</v>
      </c>
      <c r="D41" s="1155">
        <v>1423103.5</v>
      </c>
      <c r="E41" s="1155">
        <v>40711.699999999997</v>
      </c>
    </row>
    <row r="42" spans="1:16">
      <c r="A42" s="1134">
        <v>2006</v>
      </c>
      <c r="B42" s="1155">
        <v>307660.40000000002</v>
      </c>
      <c r="C42" s="1155">
        <v>53779.5</v>
      </c>
      <c r="D42" s="1155">
        <v>1299370.6000000001</v>
      </c>
      <c r="E42" s="1155">
        <v>372287.4</v>
      </c>
    </row>
    <row r="43" spans="1:16">
      <c r="A43" s="1134">
        <v>2007</v>
      </c>
      <c r="B43" s="1155">
        <v>1252736.1494224477</v>
      </c>
      <c r="C43" s="1155">
        <v>117244.45152431262</v>
      </c>
      <c r="D43" s="1155">
        <v>3648379.3790640817</v>
      </c>
      <c r="E43" s="1155">
        <v>395821.72306975216</v>
      </c>
    </row>
    <row r="44" spans="1:16" ht="15.6">
      <c r="A44" s="1134">
        <v>2008</v>
      </c>
      <c r="B44" s="1155">
        <v>4538.7912876886476</v>
      </c>
      <c r="C44" s="1155">
        <v>26511.195543637041</v>
      </c>
      <c r="D44" s="1155">
        <v>1282476.657437</v>
      </c>
      <c r="E44" s="1155">
        <v>139407.8248935802</v>
      </c>
      <c r="J44" s="2026" t="s">
        <v>232</v>
      </c>
      <c r="K44" s="2026"/>
    </row>
    <row r="45" spans="1:16" ht="12.75" customHeight="1">
      <c r="A45" s="1134">
        <v>2009</v>
      </c>
      <c r="B45" s="1155">
        <v>3709742.2765050442</v>
      </c>
      <c r="C45" s="1155">
        <v>44464.139219858713</v>
      </c>
      <c r="D45" s="1155">
        <v>2023312.6871533555</v>
      </c>
      <c r="E45" s="1155">
        <v>625143.41656724515</v>
      </c>
      <c r="J45" s="1" t="s">
        <v>224</v>
      </c>
      <c r="K45" s="1" t="s">
        <v>225</v>
      </c>
    </row>
    <row r="46" spans="1:16">
      <c r="A46" s="1134">
        <v>2011</v>
      </c>
      <c r="B46" s="1155">
        <v>246046.40132721679</v>
      </c>
      <c r="C46" s="1155">
        <v>23141.262819291762</v>
      </c>
      <c r="D46" s="1155">
        <v>530178.65740531706</v>
      </c>
      <c r="E46" s="1155">
        <v>18447.29732948789</v>
      </c>
      <c r="I46" s="1" t="s">
        <v>159</v>
      </c>
      <c r="J46" s="1">
        <v>83206</v>
      </c>
      <c r="K46" s="1" t="s">
        <v>233</v>
      </c>
    </row>
    <row r="47" spans="1:16">
      <c r="A47" s="1134">
        <v>2013</v>
      </c>
      <c r="B47" s="1155">
        <v>10810.077394360522</v>
      </c>
      <c r="C47" s="1155">
        <v>141049.78657522838</v>
      </c>
      <c r="D47" s="1155">
        <v>83206</v>
      </c>
      <c r="E47" s="1155">
        <v>180259</v>
      </c>
      <c r="I47" s="1" t="s">
        <v>161</v>
      </c>
      <c r="J47" s="1">
        <v>10810</v>
      </c>
      <c r="K47" s="1">
        <v>141050</v>
      </c>
    </row>
    <row r="48" spans="1:16">
      <c r="A48" s="1134">
        <v>2015</v>
      </c>
      <c r="B48" s="1155">
        <v>23586.649835114658</v>
      </c>
      <c r="C48" s="1155">
        <v>89989.210030379167</v>
      </c>
      <c r="D48" s="1155">
        <v>11</v>
      </c>
      <c r="E48" s="1155">
        <v>24120</v>
      </c>
    </row>
    <row r="49" spans="1:26">
      <c r="A49" s="1134">
        <v>2016</v>
      </c>
      <c r="B49" s="1155">
        <v>194668</v>
      </c>
      <c r="C49" s="1155">
        <v>11413</v>
      </c>
      <c r="D49" s="1155">
        <v>44851</v>
      </c>
      <c r="E49" s="1155">
        <v>3730</v>
      </c>
    </row>
    <row r="50" spans="1:26">
      <c r="A50" s="1134">
        <v>2017</v>
      </c>
      <c r="B50" s="1155">
        <v>287324.97027799999</v>
      </c>
      <c r="C50" s="1155">
        <v>11180.447</v>
      </c>
      <c r="D50" s="1155">
        <v>29461.379462845493</v>
      </c>
      <c r="E50" s="1155">
        <v>52878.560760494438</v>
      </c>
    </row>
    <row r="51" spans="1:26">
      <c r="A51" s="1134">
        <v>2018</v>
      </c>
      <c r="B51" s="1147">
        <v>197506</v>
      </c>
      <c r="C51" s="1147">
        <v>54926</v>
      </c>
      <c r="D51" s="1146">
        <v>10.547129999999999</v>
      </c>
      <c r="E51" s="1146">
        <v>651.18680000000006</v>
      </c>
    </row>
    <row r="52" spans="1:26">
      <c r="A52" s="1134">
        <v>2019</v>
      </c>
      <c r="B52" s="1147">
        <v>76366</v>
      </c>
      <c r="C52" s="1147">
        <v>6972</v>
      </c>
      <c r="D52" s="1146">
        <v>0.1</v>
      </c>
      <c r="E52" s="1146">
        <v>4</v>
      </c>
    </row>
    <row r="53" spans="1:26">
      <c r="A53" s="1134">
        <v>2021</v>
      </c>
      <c r="B53" s="1147">
        <v>696321</v>
      </c>
      <c r="C53" s="1147">
        <v>14801</v>
      </c>
      <c r="D53" s="1146">
        <v>577925</v>
      </c>
      <c r="E53" s="1146">
        <v>285</v>
      </c>
    </row>
    <row r="54" spans="1:26">
      <c r="A54" s="1134">
        <v>2022</v>
      </c>
      <c r="B54" s="1147">
        <v>702722</v>
      </c>
      <c r="C54" s="1147">
        <v>416290</v>
      </c>
      <c r="D54" s="1146">
        <v>2437268</v>
      </c>
      <c r="E54" s="1146">
        <v>344438</v>
      </c>
    </row>
    <row r="55" spans="1:26">
      <c r="A55" s="1134">
        <v>2023</v>
      </c>
      <c r="B55" s="1147">
        <v>66295</v>
      </c>
      <c r="C55" s="1147">
        <v>43377</v>
      </c>
      <c r="D55" s="1146">
        <v>328358</v>
      </c>
      <c r="E55" s="1146">
        <v>319576</v>
      </c>
    </row>
    <row r="56" spans="1:26">
      <c r="A56" s="1367">
        <v>2024</v>
      </c>
      <c r="B56" s="1119"/>
      <c r="C56" s="1119"/>
      <c r="D56" s="1119"/>
      <c r="E56" s="1119"/>
      <c r="Z56" s="2020" t="s">
        <v>234</v>
      </c>
    </row>
    <row r="57" spans="1:26">
      <c r="A57" s="1367">
        <v>2025</v>
      </c>
      <c r="B57" s="1119"/>
      <c r="C57" s="1119"/>
      <c r="D57" s="1119"/>
      <c r="E57" s="1119"/>
      <c r="Z57" s="2020"/>
    </row>
    <row r="58" spans="1:26">
      <c r="Z58" s="2020"/>
    </row>
    <row r="59" spans="1:26">
      <c r="Z59" s="2020"/>
    </row>
    <row r="60" spans="1:26">
      <c r="Z60" s="2020"/>
    </row>
    <row r="61" spans="1:26">
      <c r="Z61" s="2020"/>
    </row>
    <row r="62" spans="1:26">
      <c r="O62" s="6" t="s">
        <v>235</v>
      </c>
      <c r="P62" s="6"/>
      <c r="Q62" s="6"/>
      <c r="Z62" s="2020"/>
    </row>
    <row r="63" spans="1:26">
      <c r="O63" s="6"/>
      <c r="P63" s="6" t="s">
        <v>236</v>
      </c>
      <c r="Q63" s="6"/>
      <c r="Z63" s="2020"/>
    </row>
    <row r="64" spans="1:26">
      <c r="O64" s="6"/>
      <c r="P64" s="6" t="s">
        <v>237</v>
      </c>
      <c r="Q64" s="6"/>
    </row>
    <row r="65" spans="2:16">
      <c r="O65" s="6"/>
      <c r="P65" s="6" t="s">
        <v>236</v>
      </c>
    </row>
    <row r="70" spans="2:16">
      <c r="E70" s="6"/>
      <c r="F70" s="6"/>
      <c r="G70" s="6"/>
    </row>
    <row r="71" spans="2:16">
      <c r="E71" s="6"/>
      <c r="F71" s="6"/>
      <c r="G71" s="6"/>
    </row>
    <row r="72" spans="2:16">
      <c r="E72" s="6"/>
      <c r="F72" s="6"/>
      <c r="G72" s="6"/>
    </row>
    <row r="73" spans="2:16">
      <c r="E73" s="6"/>
      <c r="F73" s="6"/>
      <c r="G73" s="6"/>
    </row>
    <row r="74" spans="2:16">
      <c r="B74" s="6"/>
      <c r="C74" s="6"/>
      <c r="D74" s="6"/>
      <c r="E74" s="6"/>
      <c r="F74" s="6"/>
      <c r="G74" s="6"/>
    </row>
  </sheetData>
  <mergeCells count="9">
    <mergeCell ref="L2:M2"/>
    <mergeCell ref="N2:O2"/>
    <mergeCell ref="Z56:Z63"/>
    <mergeCell ref="H4:I4"/>
    <mergeCell ref="B4:D4"/>
    <mergeCell ref="E4:G4"/>
    <mergeCell ref="B37:C37"/>
    <mergeCell ref="D37:E37"/>
    <mergeCell ref="J44:K44"/>
  </mergeCells>
  <phoneticPr fontId="23" type="noConversion"/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DS114"/>
  <sheetViews>
    <sheetView topLeftCell="BT48" zoomScaleNormal="100" workbookViewId="0">
      <selection activeCell="DQ81" sqref="DQ81"/>
    </sheetView>
  </sheetViews>
  <sheetFormatPr defaultColWidth="8.88671875" defaultRowHeight="13.2"/>
  <cols>
    <col min="1" max="1" width="2.109375" style="1" customWidth="1"/>
    <col min="2" max="2" width="13" style="154" customWidth="1"/>
    <col min="3" max="3" width="9.109375" style="154" customWidth="1"/>
    <col min="4" max="4" width="16" style="154" customWidth="1"/>
    <col min="5" max="8" width="6" style="154" customWidth="1"/>
    <col min="9" max="9" width="9.88671875" style="154" customWidth="1"/>
    <col min="10" max="10" width="5.6640625" style="1" customWidth="1"/>
    <col min="11" max="11" width="7.109375" style="154" customWidth="1"/>
    <col min="12" max="12" width="24.33203125" style="154" customWidth="1"/>
    <col min="13" max="13" width="20.6640625" style="154" customWidth="1"/>
    <col min="14" max="14" width="19.44140625" style="154" customWidth="1"/>
    <col min="15" max="19" width="7.109375" style="154" customWidth="1"/>
    <col min="20" max="20" width="8.88671875" style="1"/>
    <col min="21" max="21" width="8.88671875" style="1" hidden="1" customWidth="1"/>
    <col min="22" max="22" width="21.33203125" style="1" customWidth="1"/>
    <col min="23" max="23" width="8.88671875" style="1"/>
    <col min="24" max="24" width="20.44140625" style="1" customWidth="1"/>
    <col min="25" max="25" width="8.33203125" style="1" customWidth="1"/>
    <col min="26" max="26" width="8.88671875" style="1" customWidth="1"/>
    <col min="27" max="28" width="8.33203125" style="1" bestFit="1" customWidth="1"/>
    <col min="29" max="29" width="8.88671875" style="1"/>
    <col min="30" max="30" width="12" style="1" bestFit="1" customWidth="1"/>
    <col min="31" max="31" width="4.33203125" style="455" customWidth="1"/>
    <col min="32" max="32" width="18.33203125" style="4" bestFit="1" customWidth="1"/>
    <col min="33" max="33" width="7.44140625" style="4" bestFit="1" customWidth="1"/>
    <col min="34" max="34" width="19.6640625" style="4" customWidth="1"/>
    <col min="35" max="35" width="8.44140625" style="4" bestFit="1" customWidth="1"/>
    <col min="36" max="36" width="8.33203125" style="4" bestFit="1" customWidth="1"/>
    <col min="37" max="37" width="8.44140625" style="4" bestFit="1" customWidth="1"/>
    <col min="38" max="38" width="8.44140625" style="1" bestFit="1" customWidth="1"/>
    <col min="39" max="39" width="6" style="1" bestFit="1" customWidth="1"/>
    <col min="40" max="40" width="12" style="1" bestFit="1" customWidth="1"/>
    <col min="41" max="41" width="8.88671875" style="1"/>
    <col min="42" max="42" width="14.33203125" style="1" customWidth="1"/>
    <col min="43" max="43" width="8.88671875" style="1"/>
    <col min="44" max="44" width="30.33203125" style="1" customWidth="1"/>
    <col min="45" max="45" width="10" style="1" bestFit="1" customWidth="1"/>
    <col min="46" max="48" width="5.33203125" style="1" customWidth="1"/>
    <col min="49" max="49" width="8.88671875" style="1"/>
    <col min="50" max="50" width="10.33203125" style="1" bestFit="1" customWidth="1"/>
    <col min="51" max="51" width="8.88671875" style="1"/>
    <col min="52" max="52" width="10.88671875" style="1" customWidth="1"/>
    <col min="53" max="53" width="13.33203125" style="1" customWidth="1"/>
    <col min="54" max="54" width="27.6640625" style="1" customWidth="1"/>
    <col min="55" max="58" width="8.88671875" style="1"/>
    <col min="59" max="59" width="15.33203125" style="1" customWidth="1"/>
    <col min="60" max="80" width="8.88671875" style="1"/>
    <col min="81" max="81" width="8.88671875" style="75"/>
    <col min="82" max="91" width="8.88671875" style="1"/>
    <col min="92" max="92" width="8.88671875" style="75"/>
    <col min="93" max="101" width="8.88671875" style="1"/>
    <col min="102" max="102" width="13.44140625" style="1" bestFit="1" customWidth="1"/>
    <col min="103" max="103" width="8.88671875" style="75"/>
    <col min="104" max="112" width="8.88671875" style="1"/>
    <col min="113" max="113" width="8.88671875" style="75"/>
    <col min="114" max="16384" width="8.88671875" style="1"/>
  </cols>
  <sheetData>
    <row r="2" spans="1:122">
      <c r="B2" s="227" t="s">
        <v>238</v>
      </c>
      <c r="L2" s="228" t="s">
        <v>239</v>
      </c>
    </row>
    <row r="4" spans="1:122" ht="14.4" thickBot="1">
      <c r="K4" s="1"/>
      <c r="M4" s="1"/>
      <c r="N4" s="1"/>
      <c r="O4" s="1"/>
      <c r="P4" s="1"/>
      <c r="Q4" s="1"/>
      <c r="R4" s="1"/>
      <c r="S4" s="1"/>
      <c r="V4" s="79" t="s">
        <v>240</v>
      </c>
      <c r="AF4" s="79" t="s">
        <v>241</v>
      </c>
      <c r="AG4" s="1"/>
      <c r="AH4" s="1"/>
      <c r="AI4" s="1"/>
      <c r="AJ4" s="1"/>
      <c r="AK4" s="1"/>
      <c r="AP4" s="79" t="s">
        <v>242</v>
      </c>
      <c r="AY4" s="79" t="s">
        <v>243</v>
      </c>
      <c r="BJ4" s="79" t="s">
        <v>244</v>
      </c>
      <c r="BT4" s="79" t="s">
        <v>245</v>
      </c>
      <c r="CE4" s="79" t="s">
        <v>246</v>
      </c>
      <c r="CP4" s="79" t="s">
        <v>247</v>
      </c>
      <c r="CZ4" s="79" t="s">
        <v>248</v>
      </c>
      <c r="DJ4" s="79" t="s">
        <v>249</v>
      </c>
    </row>
    <row r="5" spans="1:122" ht="13.8" thickBot="1">
      <c r="B5" s="159" t="s">
        <v>4</v>
      </c>
      <c r="C5" s="160" t="s">
        <v>5</v>
      </c>
      <c r="D5" s="165"/>
      <c r="E5" s="174" t="s">
        <v>250</v>
      </c>
      <c r="F5" s="181" t="s">
        <v>251</v>
      </c>
      <c r="G5" s="181" t="s">
        <v>252</v>
      </c>
      <c r="H5" s="181" t="s">
        <v>253</v>
      </c>
      <c r="I5" s="182">
        <v>2014</v>
      </c>
      <c r="K5" s="1"/>
      <c r="L5" s="159" t="s">
        <v>4</v>
      </c>
      <c r="M5" s="160" t="s">
        <v>5</v>
      </c>
      <c r="N5" s="165"/>
      <c r="O5" s="174" t="s">
        <v>250</v>
      </c>
      <c r="P5" s="181" t="s">
        <v>251</v>
      </c>
      <c r="Q5" s="181" t="s">
        <v>252</v>
      </c>
      <c r="R5" s="181" t="s">
        <v>253</v>
      </c>
      <c r="S5" s="182">
        <v>2015</v>
      </c>
      <c r="V5" s="159" t="s">
        <v>4</v>
      </c>
      <c r="W5" s="160" t="s">
        <v>5</v>
      </c>
      <c r="X5" s="165"/>
      <c r="Y5" s="174" t="s">
        <v>250</v>
      </c>
      <c r="Z5" s="181" t="s">
        <v>251</v>
      </c>
      <c r="AA5" s="181" t="s">
        <v>252</v>
      </c>
      <c r="AB5" s="181" t="s">
        <v>253</v>
      </c>
      <c r="AC5" s="182">
        <v>2016</v>
      </c>
      <c r="AF5" s="159" t="s">
        <v>4</v>
      </c>
      <c r="AG5" s="160" t="s">
        <v>5</v>
      </c>
      <c r="AH5" s="165"/>
      <c r="AI5" s="174" t="s">
        <v>250</v>
      </c>
      <c r="AJ5" s="181" t="s">
        <v>251</v>
      </c>
      <c r="AK5" s="181" t="s">
        <v>252</v>
      </c>
      <c r="AL5" s="181" t="s">
        <v>253</v>
      </c>
      <c r="AM5" s="1739">
        <v>2017</v>
      </c>
      <c r="AP5" s="159" t="s">
        <v>4</v>
      </c>
      <c r="AQ5" s="160" t="s">
        <v>5</v>
      </c>
      <c r="AR5" s="165"/>
      <c r="AS5" s="174" t="s">
        <v>250</v>
      </c>
      <c r="AT5" s="181" t="s">
        <v>251</v>
      </c>
      <c r="AU5" s="181" t="s">
        <v>252</v>
      </c>
      <c r="AV5" s="181" t="s">
        <v>253</v>
      </c>
      <c r="AW5" s="1739">
        <v>2018</v>
      </c>
      <c r="AY5" s="159" t="s">
        <v>4</v>
      </c>
      <c r="AZ5" s="160" t="s">
        <v>5</v>
      </c>
      <c r="BA5" s="165"/>
      <c r="BB5" s="174" t="s">
        <v>250</v>
      </c>
      <c r="BC5" s="181" t="s">
        <v>251</v>
      </c>
      <c r="BD5" s="181" t="s">
        <v>252</v>
      </c>
      <c r="BE5" s="181" t="s">
        <v>253</v>
      </c>
      <c r="BF5" s="1740">
        <v>2019</v>
      </c>
      <c r="BH5" s="835"/>
      <c r="BJ5" s="837" t="s">
        <v>4</v>
      </c>
      <c r="BK5" s="838" t="s">
        <v>5</v>
      </c>
      <c r="BL5" s="839"/>
      <c r="BM5" s="840" t="s">
        <v>250</v>
      </c>
      <c r="BN5" s="841" t="s">
        <v>251</v>
      </c>
      <c r="BO5" s="841" t="s">
        <v>252</v>
      </c>
      <c r="BP5" s="841" t="s">
        <v>253</v>
      </c>
      <c r="BQ5" s="1290">
        <v>2020</v>
      </c>
      <c r="BT5" s="837" t="s">
        <v>4</v>
      </c>
      <c r="BU5" s="838" t="s">
        <v>5</v>
      </c>
      <c r="BV5" s="839"/>
      <c r="BW5" s="840" t="s">
        <v>250</v>
      </c>
      <c r="BX5" s="841" t="s">
        <v>251</v>
      </c>
      <c r="BY5" s="841" t="s">
        <v>252</v>
      </c>
      <c r="BZ5" s="841" t="s">
        <v>253</v>
      </c>
      <c r="CA5" s="1119">
        <v>2021</v>
      </c>
      <c r="CE5" s="837" t="s">
        <v>4</v>
      </c>
      <c r="CF5" s="838" t="s">
        <v>5</v>
      </c>
      <c r="CG5" s="839"/>
      <c r="CH5" s="840" t="s">
        <v>250</v>
      </c>
      <c r="CI5" s="841" t="s">
        <v>251</v>
      </c>
      <c r="CJ5" s="841" t="s">
        <v>252</v>
      </c>
      <c r="CK5" s="841" t="s">
        <v>253</v>
      </c>
      <c r="CL5" s="1119">
        <v>2022</v>
      </c>
      <c r="CP5" s="837" t="s">
        <v>4</v>
      </c>
      <c r="CQ5" s="838" t="s">
        <v>5</v>
      </c>
      <c r="CR5" s="839"/>
      <c r="CS5" s="840" t="s">
        <v>250</v>
      </c>
      <c r="CT5" s="841" t="s">
        <v>251</v>
      </c>
      <c r="CU5" s="841" t="s">
        <v>252</v>
      </c>
      <c r="CV5" s="841" t="s">
        <v>253</v>
      </c>
      <c r="CW5" s="1133">
        <v>2023</v>
      </c>
      <c r="CZ5" s="1305" t="s">
        <v>4</v>
      </c>
      <c r="DA5" s="1306" t="s">
        <v>5</v>
      </c>
      <c r="DB5" s="1307"/>
      <c r="DC5" s="1308" t="s">
        <v>250</v>
      </c>
      <c r="DD5" s="1309" t="s">
        <v>251</v>
      </c>
      <c r="DE5" s="1309" t="s">
        <v>252</v>
      </c>
      <c r="DF5" s="1309" t="s">
        <v>253</v>
      </c>
      <c r="DG5" s="1133">
        <v>2024</v>
      </c>
      <c r="DJ5" s="1305" t="s">
        <v>4</v>
      </c>
      <c r="DK5" s="1306" t="s">
        <v>5</v>
      </c>
      <c r="DL5" s="1307"/>
      <c r="DM5" s="1308" t="s">
        <v>250</v>
      </c>
      <c r="DN5" s="1309" t="s">
        <v>251</v>
      </c>
      <c r="DO5" s="1309" t="s">
        <v>252</v>
      </c>
      <c r="DP5" s="1309" t="s">
        <v>253</v>
      </c>
      <c r="DQ5" s="1133">
        <v>2025</v>
      </c>
    </row>
    <row r="6" spans="1:122" ht="14.4">
      <c r="B6" s="262" t="s">
        <v>254</v>
      </c>
      <c r="C6" s="263" t="s">
        <v>7</v>
      </c>
      <c r="D6" s="161" t="s">
        <v>255</v>
      </c>
      <c r="E6" s="171">
        <v>2617.5735499999996</v>
      </c>
      <c r="F6" s="163">
        <v>1494.7436</v>
      </c>
      <c r="G6" s="163">
        <v>920.66069999999991</v>
      </c>
      <c r="H6" s="163">
        <v>1174.3008</v>
      </c>
      <c r="I6" s="164">
        <v>6207.2786499999993</v>
      </c>
      <c r="J6" s="2">
        <f>+I6+I10+I14+I18+I22</f>
        <v>32694.397379999995</v>
      </c>
      <c r="K6" s="1"/>
      <c r="L6" s="262" t="s">
        <v>254</v>
      </c>
      <c r="M6" s="263" t="s">
        <v>7</v>
      </c>
      <c r="N6" s="161" t="s">
        <v>255</v>
      </c>
      <c r="O6" s="321">
        <v>1073.4604999999999</v>
      </c>
      <c r="P6" s="321">
        <v>520.66999999999996</v>
      </c>
      <c r="Q6" s="321">
        <v>212.45249999999999</v>
      </c>
      <c r="R6" s="321"/>
      <c r="S6" s="164">
        <f>SUM(O6:R6)</f>
        <v>1806.5829999999996</v>
      </c>
      <c r="T6" s="2">
        <f>+S6+S10+S14+S18+S22</f>
        <v>53981.333299999998</v>
      </c>
      <c r="V6" s="2048" t="s">
        <v>254</v>
      </c>
      <c r="W6" s="263" t="s">
        <v>7</v>
      </c>
      <c r="X6" s="161" t="s">
        <v>255</v>
      </c>
      <c r="Y6" s="1741"/>
      <c r="Z6" s="1742">
        <v>1391.941</v>
      </c>
      <c r="AA6" s="1741"/>
      <c r="AB6" s="1741"/>
      <c r="AC6" s="1743">
        <f>SUM(Y6:AB6)</f>
        <v>1391.941</v>
      </c>
      <c r="AF6" s="2048" t="s">
        <v>254</v>
      </c>
      <c r="AG6" s="263" t="s">
        <v>7</v>
      </c>
      <c r="AH6" s="161" t="s">
        <v>255</v>
      </c>
      <c r="AI6" s="1744">
        <v>3166.4017000000003</v>
      </c>
      <c r="AJ6" s="1745">
        <v>3411.4557999999997</v>
      </c>
      <c r="AK6" s="1744">
        <v>1698.6991</v>
      </c>
      <c r="AL6" s="1744">
        <v>1027.1279999999999</v>
      </c>
      <c r="AM6" s="1155">
        <f>SUM(AI6:AL6)</f>
        <v>9303.6846000000005</v>
      </c>
      <c r="AP6" s="2048" t="s">
        <v>254</v>
      </c>
      <c r="AQ6" s="263" t="s">
        <v>7</v>
      </c>
      <c r="AR6" s="161" t="s">
        <v>255</v>
      </c>
      <c r="AS6"/>
      <c r="AT6"/>
      <c r="AU6"/>
      <c r="AV6"/>
      <c r="AW6" s="1155"/>
      <c r="AY6" s="2048" t="s">
        <v>254</v>
      </c>
      <c r="AZ6" s="263" t="s">
        <v>7</v>
      </c>
      <c r="BA6" s="161" t="s">
        <v>255</v>
      </c>
      <c r="BB6" s="1746">
        <v>2527.8335000000002</v>
      </c>
      <c r="BC6" s="1746">
        <v>1758.2919999999999</v>
      </c>
      <c r="BD6" s="1746">
        <v>783.25900000000001</v>
      </c>
      <c r="BE6" s="1746">
        <v>1153.7094999999999</v>
      </c>
      <c r="BF6" s="1155">
        <f t="shared" ref="BF6:BF17" si="0">SUM(BB6:BE6)</f>
        <v>6223.0940000000001</v>
      </c>
      <c r="BH6" s="211"/>
      <c r="BJ6" s="2084" t="s">
        <v>254</v>
      </c>
      <c r="BK6" s="844" t="s">
        <v>7</v>
      </c>
      <c r="BL6" s="842" t="s">
        <v>255</v>
      </c>
      <c r="BM6" s="1">
        <v>3211.6190000000001</v>
      </c>
      <c r="BN6" s="1">
        <v>1186.6134999999999</v>
      </c>
      <c r="BO6" s="1">
        <v>1590.6694</v>
      </c>
      <c r="BP6" s="1">
        <v>1787.4356</v>
      </c>
      <c r="BQ6" s="1">
        <v>7776.3374999999996</v>
      </c>
      <c r="BT6" s="2084" t="s">
        <v>254</v>
      </c>
      <c r="BU6" s="844" t="s">
        <v>7</v>
      </c>
      <c r="BV6" s="842" t="s">
        <v>255</v>
      </c>
      <c r="BW6">
        <v>3358.241</v>
      </c>
      <c r="BX6">
        <v>1301.9124999999999</v>
      </c>
      <c r="BY6">
        <v>680.97</v>
      </c>
      <c r="BZ6">
        <v>640.56399999999996</v>
      </c>
      <c r="CA6">
        <f>SUM(BW6:BZ6)</f>
        <v>5981.6875000000009</v>
      </c>
      <c r="CE6" s="2084" t="s">
        <v>254</v>
      </c>
      <c r="CF6" s="844" t="s">
        <v>7</v>
      </c>
      <c r="CG6" s="842" t="s">
        <v>255</v>
      </c>
      <c r="CH6" s="130">
        <v>3358.241</v>
      </c>
      <c r="CI6" s="130">
        <v>1301.9124999999999</v>
      </c>
      <c r="CJ6" s="130">
        <v>680.97</v>
      </c>
      <c r="CK6" s="130">
        <v>640.56399999999996</v>
      </c>
      <c r="CL6" s="130">
        <f>SUM(CH6:CK6)</f>
        <v>5981.6875000000009</v>
      </c>
      <c r="CP6" s="2084" t="s">
        <v>254</v>
      </c>
      <c r="CQ6" s="844" t="s">
        <v>7</v>
      </c>
      <c r="CR6" s="842" t="s">
        <v>255</v>
      </c>
      <c r="CS6" s="1175">
        <v>1968.2730000000001</v>
      </c>
      <c r="CT6" s="1176">
        <v>1397.5385000000001</v>
      </c>
      <c r="CU6" s="1176">
        <v>1130.8800000000001</v>
      </c>
      <c r="CV6" s="1176">
        <v>1041.1991499999999</v>
      </c>
      <c r="CW6" s="1177">
        <f>SUM(CS6:CV6)</f>
        <v>5537.8906500000012</v>
      </c>
      <c r="CZ6" s="2036" t="s">
        <v>254</v>
      </c>
      <c r="DA6" s="1310" t="s">
        <v>7</v>
      </c>
      <c r="DB6" s="1311" t="s">
        <v>255</v>
      </c>
      <c r="DC6" s="2">
        <v>1434</v>
      </c>
      <c r="DD6" s="2">
        <v>1425</v>
      </c>
      <c r="DE6" s="2">
        <v>726</v>
      </c>
      <c r="DF6" s="20">
        <v>877.44100000000003</v>
      </c>
      <c r="DG6" s="2">
        <f>SUM(DC6:DF6)</f>
        <v>4462.4409999999998</v>
      </c>
      <c r="DJ6" s="2036" t="s">
        <v>254</v>
      </c>
      <c r="DK6" s="1310" t="s">
        <v>7</v>
      </c>
      <c r="DL6" s="1311" t="s">
        <v>255</v>
      </c>
      <c r="DM6" s="20">
        <v>1200.8084999999999</v>
      </c>
      <c r="DN6" s="20">
        <v>1231.5674999999999</v>
      </c>
      <c r="DO6" s="20">
        <v>565.65250000000003</v>
      </c>
      <c r="DP6" s="20">
        <v>885.39750000000004</v>
      </c>
      <c r="DQ6" s="2">
        <f>SUM(DM6:DP6)</f>
        <v>3883.4259999999999</v>
      </c>
      <c r="DR6"/>
    </row>
    <row r="7" spans="1:122" ht="14.4">
      <c r="B7" s="264"/>
      <c r="C7" s="265"/>
      <c r="D7" s="924" t="s">
        <v>256</v>
      </c>
      <c r="E7" s="743">
        <v>0</v>
      </c>
      <c r="F7" s="1747">
        <v>1</v>
      </c>
      <c r="G7" s="1747">
        <v>0</v>
      </c>
      <c r="H7" s="1747">
        <v>0</v>
      </c>
      <c r="I7" s="925">
        <f>SUM(E7:H7)</f>
        <v>1</v>
      </c>
      <c r="J7" s="2">
        <f>+I7+I11+I15+I19+I23</f>
        <v>94</v>
      </c>
      <c r="K7" s="1">
        <f>+J7/J6*1000</f>
        <v>2.8751103409999605</v>
      </c>
      <c r="L7" s="264"/>
      <c r="M7" s="265"/>
      <c r="N7" s="924" t="s">
        <v>256</v>
      </c>
      <c r="O7" s="1154">
        <v>1</v>
      </c>
      <c r="P7" s="1154">
        <v>1</v>
      </c>
      <c r="Q7" s="1154">
        <v>2</v>
      </c>
      <c r="R7" s="1154"/>
      <c r="S7" s="925">
        <f>SUM(O7:R7)</f>
        <v>4</v>
      </c>
      <c r="T7" s="2">
        <f>+S7+S11+S15+S19+S23</f>
        <v>258</v>
      </c>
      <c r="U7" s="1">
        <f>+T7/T6*1000</f>
        <v>4.7794299293455955</v>
      </c>
      <c r="V7" s="2049"/>
      <c r="W7" s="265"/>
      <c r="X7" s="924" t="s">
        <v>256</v>
      </c>
      <c r="Y7" s="1741"/>
      <c r="Z7" s="1742">
        <v>1</v>
      </c>
      <c r="AA7" s="1741"/>
      <c r="AB7" s="1741"/>
      <c r="AC7" s="1743">
        <f t="shared" ref="AC7:AC20" si="1">SUM(Y7:AB7)</f>
        <v>1</v>
      </c>
      <c r="AD7" s="30">
        <f>AC7/AC6*1000</f>
        <v>0.71842125492387965</v>
      </c>
      <c r="AE7" s="456"/>
      <c r="AF7" s="2049"/>
      <c r="AG7" s="265"/>
      <c r="AH7" s="924" t="s">
        <v>256</v>
      </c>
      <c r="AI7" s="1744"/>
      <c r="AJ7" s="1745"/>
      <c r="AK7" s="1744"/>
      <c r="AL7" s="1744"/>
      <c r="AM7" s="1155">
        <v>1</v>
      </c>
      <c r="AN7" s="418">
        <f>AM7/AM6*1000</f>
        <v>0.10748429713535215</v>
      </c>
      <c r="AP7" s="2049"/>
      <c r="AQ7" s="265"/>
      <c r="AR7" s="924" t="s">
        <v>256</v>
      </c>
      <c r="AS7"/>
      <c r="AT7"/>
      <c r="AU7"/>
      <c r="AV7"/>
      <c r="AW7" s="1155"/>
      <c r="AX7" s="418"/>
      <c r="AY7" s="2049"/>
      <c r="AZ7" s="265"/>
      <c r="BA7" s="924" t="s">
        <v>256</v>
      </c>
      <c r="BB7"/>
      <c r="BC7" s="1746">
        <v>2</v>
      </c>
      <c r="BD7" s="1746">
        <v>1</v>
      </c>
      <c r="BE7"/>
      <c r="BF7" s="1155">
        <f t="shared" si="0"/>
        <v>3</v>
      </c>
      <c r="BG7" s="418"/>
      <c r="BH7" s="211"/>
      <c r="BJ7" s="2085"/>
      <c r="BK7" s="845"/>
      <c r="BL7" s="853" t="s">
        <v>256</v>
      </c>
      <c r="BM7" s="836">
        <v>1</v>
      </c>
      <c r="BN7" s="836">
        <v>1</v>
      </c>
      <c r="BO7" s="836"/>
      <c r="BP7" s="836">
        <v>2</v>
      </c>
      <c r="BQ7" s="1155">
        <f t="shared" ref="BQ7:BQ29" si="2">SUM(BM7:BP7)</f>
        <v>4</v>
      </c>
      <c r="BT7" s="2085"/>
      <c r="BU7" s="845"/>
      <c r="BV7" s="853" t="s">
        <v>256</v>
      </c>
      <c r="BW7">
        <v>1</v>
      </c>
      <c r="BX7">
        <v>4</v>
      </c>
      <c r="BY7">
        <v>4</v>
      </c>
      <c r="BZ7">
        <v>1</v>
      </c>
      <c r="CA7">
        <f>SUM(BW7:BZ7)</f>
        <v>10</v>
      </c>
      <c r="CE7" s="2085"/>
      <c r="CF7" s="845"/>
      <c r="CG7" s="853" t="s">
        <v>256</v>
      </c>
      <c r="CH7" s="130">
        <v>1</v>
      </c>
      <c r="CI7" s="130">
        <v>4</v>
      </c>
      <c r="CJ7" s="130">
        <v>4</v>
      </c>
      <c r="CK7" s="130">
        <v>1</v>
      </c>
      <c r="CL7" s="130">
        <f>SUM(CH7:CK7)</f>
        <v>10</v>
      </c>
      <c r="CP7" s="2085"/>
      <c r="CQ7" s="845"/>
      <c r="CR7" s="853" t="s">
        <v>256</v>
      </c>
      <c r="CS7" s="1178">
        <v>1</v>
      </c>
      <c r="CT7" s="1179">
        <v>2</v>
      </c>
      <c r="CU7" s="1179">
        <v>5</v>
      </c>
      <c r="CV7" s="1179">
        <v>1</v>
      </c>
      <c r="CW7" s="1180">
        <f>SUM(CS7:CV7)</f>
        <v>9</v>
      </c>
      <c r="CZ7" s="2037"/>
      <c r="DA7" s="1312"/>
      <c r="DB7" s="1313" t="s">
        <v>256</v>
      </c>
      <c r="DC7" s="1">
        <v>1</v>
      </c>
      <c r="DD7" s="1">
        <v>3</v>
      </c>
      <c r="DE7" s="1">
        <v>1</v>
      </c>
      <c r="DF7" s="1">
        <v>3</v>
      </c>
      <c r="DG7" s="1">
        <f>SUM(DC7:DF7)</f>
        <v>8</v>
      </c>
      <c r="DH7" s="35">
        <f>DG7/DG6*1000</f>
        <v>1.792740789177941</v>
      </c>
      <c r="DJ7" s="2037"/>
      <c r="DK7" s="1312"/>
      <c r="DL7" s="1313" t="s">
        <v>256</v>
      </c>
      <c r="DM7">
        <v>2</v>
      </c>
      <c r="DN7">
        <v>4</v>
      </c>
      <c r="DO7">
        <v>0</v>
      </c>
      <c r="DP7">
        <v>0</v>
      </c>
      <c r="DQ7" s="2">
        <f t="shared" ref="DQ7:DQ8" si="3">SUM(DM7:DP7)</f>
        <v>6</v>
      </c>
      <c r="DR7" s="35">
        <f>DQ7/DQ6*1000</f>
        <v>1.5450275092148016</v>
      </c>
    </row>
    <row r="8" spans="1:122" ht="12.75" customHeight="1">
      <c r="B8" s="264"/>
      <c r="C8" s="265"/>
      <c r="D8" s="924" t="s">
        <v>257</v>
      </c>
      <c r="E8" s="743">
        <v>0</v>
      </c>
      <c r="F8" s="1747">
        <v>41</v>
      </c>
      <c r="G8" s="1747">
        <v>0</v>
      </c>
      <c r="H8" s="1747">
        <v>0</v>
      </c>
      <c r="I8" s="925">
        <f>SUM(E8:H8)</f>
        <v>41</v>
      </c>
      <c r="J8" s="2">
        <f>+I8+I12+I16+I20+I24</f>
        <v>12798</v>
      </c>
      <c r="K8" s="1"/>
      <c r="L8" s="264"/>
      <c r="M8" s="265"/>
      <c r="N8" s="924" t="s">
        <v>257</v>
      </c>
      <c r="O8" s="1154">
        <v>50</v>
      </c>
      <c r="P8" s="1154">
        <v>24</v>
      </c>
      <c r="Q8" s="1154">
        <v>59</v>
      </c>
      <c r="R8" s="1154"/>
      <c r="S8" s="925">
        <f>SUM(O8:R8)</f>
        <v>133</v>
      </c>
      <c r="T8" s="2">
        <f>+S8+S12+S16+S20+S24</f>
        <v>67727</v>
      </c>
      <c r="V8" s="2049"/>
      <c r="W8" s="265"/>
      <c r="X8" s="924" t="s">
        <v>257</v>
      </c>
      <c r="Y8" s="1741"/>
      <c r="Z8" s="1742">
        <v>10</v>
      </c>
      <c r="AA8" s="1741"/>
      <c r="AB8" s="1741"/>
      <c r="AC8" s="1743">
        <f t="shared" si="1"/>
        <v>10</v>
      </c>
      <c r="AE8" s="457"/>
      <c r="AF8" s="2049"/>
      <c r="AG8" s="265"/>
      <c r="AH8" s="924" t="s">
        <v>257</v>
      </c>
      <c r="AI8" s="1744"/>
      <c r="AJ8" s="1745"/>
      <c r="AK8" s="1744"/>
      <c r="AL8" s="1744"/>
      <c r="AM8" s="1155">
        <v>8</v>
      </c>
      <c r="AP8" s="2049"/>
      <c r="AQ8" s="265"/>
      <c r="AR8" s="924" t="s">
        <v>257</v>
      </c>
      <c r="AS8"/>
      <c r="AT8"/>
      <c r="AU8"/>
      <c r="AV8"/>
      <c r="AW8" s="1155"/>
      <c r="AY8" s="2049"/>
      <c r="AZ8" s="265"/>
      <c r="BA8" s="924" t="s">
        <v>257</v>
      </c>
      <c r="BB8"/>
      <c r="BC8" s="1746">
        <v>246</v>
      </c>
      <c r="BD8" s="1746">
        <v>65</v>
      </c>
      <c r="BE8"/>
      <c r="BF8" s="1155">
        <f t="shared" si="0"/>
        <v>311</v>
      </c>
      <c r="BH8" s="211"/>
      <c r="BJ8" s="2085"/>
      <c r="BK8" s="845"/>
      <c r="BL8" s="853" t="s">
        <v>257</v>
      </c>
      <c r="BM8" s="836">
        <v>37</v>
      </c>
      <c r="BN8" s="836">
        <v>33</v>
      </c>
      <c r="BO8" s="836"/>
      <c r="BP8" s="836">
        <v>113</v>
      </c>
      <c r="BQ8" s="1155">
        <f t="shared" si="2"/>
        <v>183</v>
      </c>
      <c r="BT8" s="2085"/>
      <c r="BU8" s="845"/>
      <c r="BV8" s="853" t="s">
        <v>257</v>
      </c>
      <c r="BW8">
        <v>82</v>
      </c>
      <c r="BX8">
        <v>224</v>
      </c>
      <c r="BY8">
        <v>182</v>
      </c>
      <c r="BZ8">
        <v>59</v>
      </c>
      <c r="CA8">
        <f>SUM(BW8:BZ8)</f>
        <v>547</v>
      </c>
      <c r="CE8" s="2085"/>
      <c r="CF8" s="845"/>
      <c r="CG8" s="853" t="s">
        <v>257</v>
      </c>
      <c r="CH8" s="130">
        <v>82</v>
      </c>
      <c r="CI8" s="130">
        <v>224</v>
      </c>
      <c r="CJ8" s="130">
        <v>182</v>
      </c>
      <c r="CK8" s="130">
        <v>59</v>
      </c>
      <c r="CL8" s="130">
        <f>SUM(CH8:CK8)</f>
        <v>547</v>
      </c>
      <c r="CP8" s="2085"/>
      <c r="CQ8" s="845"/>
      <c r="CR8" s="853" t="s">
        <v>257</v>
      </c>
      <c r="CS8" s="1178">
        <v>61</v>
      </c>
      <c r="CT8" s="1179">
        <v>127</v>
      </c>
      <c r="CU8" s="1179">
        <v>243</v>
      </c>
      <c r="CV8" s="1179">
        <v>53</v>
      </c>
      <c r="CW8" s="1180">
        <f>SUM(CS8:CV8)</f>
        <v>484</v>
      </c>
      <c r="CZ8" s="2037"/>
      <c r="DA8" s="1312"/>
      <c r="DB8" s="1313" t="s">
        <v>257</v>
      </c>
      <c r="DC8" s="1">
        <v>114</v>
      </c>
      <c r="DD8" s="1">
        <v>159</v>
      </c>
      <c r="DE8" s="1">
        <v>50</v>
      </c>
      <c r="DF8" s="1">
        <v>152</v>
      </c>
      <c r="DG8" s="1">
        <f>SUM(DC8:DF8)</f>
        <v>475</v>
      </c>
      <c r="DH8" s="35"/>
      <c r="DJ8" s="2037"/>
      <c r="DK8" s="1312"/>
      <c r="DL8" s="1313" t="s">
        <v>257</v>
      </c>
      <c r="DM8">
        <v>88</v>
      </c>
      <c r="DN8">
        <v>157</v>
      </c>
      <c r="DO8">
        <v>0</v>
      </c>
      <c r="DP8">
        <v>0</v>
      </c>
      <c r="DQ8" s="2">
        <f t="shared" si="3"/>
        <v>245</v>
      </c>
      <c r="DR8"/>
    </row>
    <row r="9" spans="1:122" ht="15.75" customHeight="1" thickBot="1">
      <c r="B9" s="266"/>
      <c r="C9" s="267"/>
      <c r="D9" s="926" t="s">
        <v>258</v>
      </c>
      <c r="E9" s="744"/>
      <c r="F9" s="745"/>
      <c r="G9" s="745"/>
      <c r="H9" s="745"/>
      <c r="I9" s="746"/>
      <c r="K9" s="1"/>
      <c r="L9" s="266"/>
      <c r="M9" s="267"/>
      <c r="N9" s="926" t="s">
        <v>258</v>
      </c>
      <c r="O9" s="745"/>
      <c r="P9" s="745"/>
      <c r="Q9" s="745"/>
      <c r="R9" s="745"/>
      <c r="S9" s="746"/>
      <c r="V9" s="2050"/>
      <c r="W9" s="267"/>
      <c r="X9" s="926" t="s">
        <v>258</v>
      </c>
      <c r="Y9" s="1743"/>
      <c r="Z9" s="1743"/>
      <c r="AA9" s="1743"/>
      <c r="AB9" s="1743"/>
      <c r="AC9" s="1743"/>
      <c r="AE9" s="458"/>
      <c r="AF9" s="2050"/>
      <c r="AG9" s="267"/>
      <c r="AH9" s="926" t="s">
        <v>258</v>
      </c>
      <c r="AI9" s="1748"/>
      <c r="AJ9" s="1748"/>
      <c r="AK9" s="1748"/>
      <c r="AL9" s="1748"/>
      <c r="AM9" s="1134"/>
      <c r="AP9" s="2050"/>
      <c r="AQ9" s="267"/>
      <c r="AR9" s="926" t="s">
        <v>258</v>
      </c>
      <c r="AS9" s="1748"/>
      <c r="AT9" s="1748"/>
      <c r="AU9" s="1748"/>
      <c r="AV9" s="1748"/>
      <c r="AW9" s="1155">
        <f t="shared" ref="AW9:AW29" si="4">SUM(AS9:AV9)</f>
        <v>0</v>
      </c>
      <c r="AY9" s="2050"/>
      <c r="AZ9" s="267"/>
      <c r="BA9" s="926" t="s">
        <v>258</v>
      </c>
      <c r="BB9" s="1748"/>
      <c r="BC9" s="1748"/>
      <c r="BD9" s="1748"/>
      <c r="BE9" s="1748"/>
      <c r="BF9" s="1155">
        <f t="shared" si="0"/>
        <v>0</v>
      </c>
      <c r="BH9" s="211"/>
      <c r="BJ9" s="2086"/>
      <c r="BK9" s="846"/>
      <c r="BL9" s="854" t="s">
        <v>258</v>
      </c>
      <c r="BM9" s="836"/>
      <c r="BN9" s="836"/>
      <c r="BO9" s="836"/>
      <c r="BP9" s="836"/>
      <c r="BQ9" s="1155">
        <f t="shared" si="2"/>
        <v>0</v>
      </c>
      <c r="BT9" s="2086"/>
      <c r="BU9" s="846"/>
      <c r="BV9" s="854" t="s">
        <v>258</v>
      </c>
      <c r="BW9" s="836"/>
      <c r="BX9" s="836"/>
      <c r="BY9" s="836"/>
      <c r="BZ9" s="836"/>
      <c r="CA9" s="1155" t="s">
        <v>18</v>
      </c>
      <c r="CE9" s="2086"/>
      <c r="CF9" s="846"/>
      <c r="CG9" s="854" t="s">
        <v>258</v>
      </c>
      <c r="CH9" s="836"/>
      <c r="CI9" s="836"/>
      <c r="CJ9" s="836"/>
      <c r="CK9" s="836"/>
      <c r="CL9" s="1155" t="s">
        <v>18</v>
      </c>
      <c r="CP9" s="2086"/>
      <c r="CQ9" s="846"/>
      <c r="CR9" s="854" t="s">
        <v>258</v>
      </c>
      <c r="CS9" s="1181"/>
      <c r="CT9" s="1182"/>
      <c r="CU9" s="1182"/>
      <c r="CV9" s="1182"/>
      <c r="CW9" s="1183" t="s">
        <v>18</v>
      </c>
      <c r="CZ9" s="2038"/>
      <c r="DA9" s="1314"/>
      <c r="DB9" s="1315" t="s">
        <v>258</v>
      </c>
      <c r="DC9" s="1316"/>
      <c r="DD9" s="1317"/>
      <c r="DE9" s="1317"/>
      <c r="DF9" s="1317"/>
      <c r="DG9" s="1318" t="s">
        <v>18</v>
      </c>
      <c r="DH9" s="35"/>
      <c r="DJ9" s="2038"/>
      <c r="DK9" s="1314"/>
      <c r="DL9" s="1315" t="s">
        <v>258</v>
      </c>
      <c r="DR9"/>
    </row>
    <row r="10" spans="1:122" ht="15.75" customHeight="1" thickBot="1">
      <c r="B10" s="268" t="s">
        <v>259</v>
      </c>
      <c r="C10" s="263" t="s">
        <v>7</v>
      </c>
      <c r="D10" s="166" t="s">
        <v>255</v>
      </c>
      <c r="E10" s="184">
        <v>1316.4249</v>
      </c>
      <c r="F10" s="183">
        <v>1150.2463400000001</v>
      </c>
      <c r="G10" s="183">
        <v>1132.58</v>
      </c>
      <c r="H10" s="183">
        <v>1328.5547000000001</v>
      </c>
      <c r="I10" s="185">
        <v>4927.8059400000002</v>
      </c>
      <c r="K10" s="1"/>
      <c r="L10" s="268" t="s">
        <v>259</v>
      </c>
      <c r="M10" s="263" t="s">
        <v>7</v>
      </c>
      <c r="N10" s="166" t="s">
        <v>255</v>
      </c>
      <c r="O10" s="321">
        <v>648.62569999999994</v>
      </c>
      <c r="P10" s="321">
        <v>1428.2692</v>
      </c>
      <c r="Q10" s="321">
        <v>1181.8125</v>
      </c>
      <c r="R10" s="321">
        <v>1162.0659000000001</v>
      </c>
      <c r="S10" s="164">
        <f>SUM(O10:R10)</f>
        <v>4420.7732999999998</v>
      </c>
      <c r="V10" s="2051" t="s">
        <v>259</v>
      </c>
      <c r="W10" s="263" t="s">
        <v>7</v>
      </c>
      <c r="X10" s="166" t="s">
        <v>255</v>
      </c>
      <c r="Y10" s="1742">
        <v>885.21531000000004</v>
      </c>
      <c r="Z10" s="1742">
        <v>2191.9333999999999</v>
      </c>
      <c r="AA10" s="1742">
        <v>1745.1739000000002</v>
      </c>
      <c r="AB10" s="1742">
        <v>2535.8904499999999</v>
      </c>
      <c r="AC10" s="1743">
        <f t="shared" si="1"/>
        <v>7358.21306</v>
      </c>
      <c r="AE10" s="458"/>
      <c r="AF10" s="2051" t="s">
        <v>259</v>
      </c>
      <c r="AG10" s="263" t="s">
        <v>7</v>
      </c>
      <c r="AH10" s="166" t="s">
        <v>255</v>
      </c>
      <c r="AI10" s="1745">
        <v>1661.2351000000001</v>
      </c>
      <c r="AJ10" s="1745">
        <v>2992.2357000000002</v>
      </c>
      <c r="AK10" s="1745">
        <v>1717.4755</v>
      </c>
      <c r="AL10" s="1745">
        <v>1857.7552000000001</v>
      </c>
      <c r="AM10" s="1155">
        <f>SUM(AI10:AL10)</f>
        <v>8228.7014999999992</v>
      </c>
      <c r="AP10" s="2051" t="s">
        <v>259</v>
      </c>
      <c r="AQ10" s="263" t="s">
        <v>7</v>
      </c>
      <c r="AR10" s="166" t="s">
        <v>255</v>
      </c>
      <c r="AS10">
        <v>479.54559999999998</v>
      </c>
      <c r="AT10">
        <v>669.67359999999996</v>
      </c>
      <c r="AU10">
        <v>483.67349999999999</v>
      </c>
      <c r="AV10">
        <v>1343.1698000000001</v>
      </c>
      <c r="AW10" s="1155">
        <f t="shared" si="4"/>
        <v>2976.0625</v>
      </c>
      <c r="AY10" s="2051" t="s">
        <v>259</v>
      </c>
      <c r="AZ10" s="263" t="s">
        <v>7</v>
      </c>
      <c r="BA10" s="166" t="s">
        <v>255</v>
      </c>
      <c r="BB10" s="1746">
        <v>565.81319999999994</v>
      </c>
      <c r="BC10" s="1746">
        <v>1033.4876999999999</v>
      </c>
      <c r="BD10" s="1746">
        <v>808.26258000000007</v>
      </c>
      <c r="BE10" s="1746">
        <v>1989.7613000000003</v>
      </c>
      <c r="BF10" s="1155">
        <f t="shared" si="0"/>
        <v>4397.3247799999999</v>
      </c>
      <c r="BH10" s="211"/>
      <c r="BJ10" s="2087" t="s">
        <v>259</v>
      </c>
      <c r="BK10" s="844" t="s">
        <v>7</v>
      </c>
      <c r="BL10" s="843" t="s">
        <v>255</v>
      </c>
      <c r="BM10" s="1749">
        <v>1049.0206300000002</v>
      </c>
      <c r="BN10" s="1749">
        <v>1496.4812299999999</v>
      </c>
      <c r="BO10" s="1749">
        <v>1154.0761</v>
      </c>
      <c r="BP10" s="1749">
        <v>3036.4772899999998</v>
      </c>
      <c r="BQ10" s="1155">
        <v>6736.0552500000003</v>
      </c>
      <c r="BT10" s="2087" t="s">
        <v>259</v>
      </c>
      <c r="BU10" s="844" t="s">
        <v>7</v>
      </c>
      <c r="BV10" s="843" t="s">
        <v>255</v>
      </c>
      <c r="BW10">
        <v>753.11866999999995</v>
      </c>
      <c r="BX10">
        <v>778.29039999999998</v>
      </c>
      <c r="BY10">
        <v>839.99519999999995</v>
      </c>
      <c r="BZ10">
        <v>1841.2464</v>
      </c>
      <c r="CA10" s="1155">
        <f>SUM(BW10:BZ10)</f>
        <v>4212.65067</v>
      </c>
      <c r="CE10" s="2087" t="s">
        <v>259</v>
      </c>
      <c r="CF10" s="844" t="s">
        <v>7</v>
      </c>
      <c r="CG10" s="843" t="s">
        <v>255</v>
      </c>
      <c r="CH10" s="1089">
        <v>753.11866999999995</v>
      </c>
      <c r="CI10" s="1089">
        <v>778.29039999999998</v>
      </c>
      <c r="CJ10" s="1089">
        <v>839.99519999999995</v>
      </c>
      <c r="CK10" s="1089">
        <v>1841.2464</v>
      </c>
      <c r="CL10" s="1750">
        <f>SUM(CH10:CK10)</f>
        <v>4212.65067</v>
      </c>
      <c r="CP10" s="2087" t="s">
        <v>259</v>
      </c>
      <c r="CQ10" s="844" t="s">
        <v>7</v>
      </c>
      <c r="CR10" s="843" t="s">
        <v>255</v>
      </c>
      <c r="CS10" s="1175">
        <v>1406.3331800000001</v>
      </c>
      <c r="CT10" s="1176">
        <v>1869.4465999999998</v>
      </c>
      <c r="CU10" s="1176">
        <v>1444.7043399999998</v>
      </c>
      <c r="CV10" s="1176">
        <v>2369.1122500000001</v>
      </c>
      <c r="CW10" s="1184">
        <f t="shared" ref="CW10:CW18" si="5">SUM(CS10:CV10)</f>
        <v>7089.5963699999993</v>
      </c>
      <c r="CZ10" s="2039" t="s">
        <v>259</v>
      </c>
      <c r="DA10" s="1310" t="s">
        <v>7</v>
      </c>
      <c r="DB10" s="1319" t="s">
        <v>255</v>
      </c>
      <c r="DC10" s="2">
        <v>1236.9656199999997</v>
      </c>
      <c r="DD10" s="2">
        <v>1369.8618000000001</v>
      </c>
      <c r="DE10" s="2">
        <v>1009.12649</v>
      </c>
      <c r="DF10" s="2">
        <v>2907.6836999999991</v>
      </c>
      <c r="DG10" s="2">
        <f>SUM(DC10:DF10)</f>
        <v>6523.6376099999989</v>
      </c>
      <c r="DH10" s="35"/>
      <c r="DJ10" s="2039" t="s">
        <v>259</v>
      </c>
      <c r="DK10" s="1310" t="s">
        <v>7</v>
      </c>
      <c r="DL10" s="1319" t="s">
        <v>255</v>
      </c>
      <c r="DM10" s="2">
        <v>925.35659999999996</v>
      </c>
      <c r="DN10" s="2">
        <v>1188.90753</v>
      </c>
      <c r="DO10" s="2">
        <v>1111.3786</v>
      </c>
      <c r="DP10" s="2">
        <v>2183.0588499999999</v>
      </c>
      <c r="DQ10" s="2">
        <f t="shared" ref="DQ10:DQ18" si="6">SUM(DM10:DP10)</f>
        <v>5408.7015799999999</v>
      </c>
      <c r="DR10"/>
    </row>
    <row r="11" spans="1:122" ht="15" customHeight="1" thickBot="1">
      <c r="B11" s="269"/>
      <c r="C11" s="265"/>
      <c r="D11" s="927" t="s">
        <v>256</v>
      </c>
      <c r="E11" s="743">
        <v>5</v>
      </c>
      <c r="F11" s="1747">
        <v>1</v>
      </c>
      <c r="G11" s="1747">
        <v>0</v>
      </c>
      <c r="H11" s="1747">
        <v>5</v>
      </c>
      <c r="I11" s="925">
        <f>SUM(E11:H11)</f>
        <v>11</v>
      </c>
      <c r="K11" s="1"/>
      <c r="L11" s="269"/>
      <c r="M11" s="265"/>
      <c r="N11" s="927" t="s">
        <v>256</v>
      </c>
      <c r="O11" s="1154">
        <v>5</v>
      </c>
      <c r="P11" s="1154">
        <v>4</v>
      </c>
      <c r="Q11" s="1154">
        <v>3</v>
      </c>
      <c r="R11" s="1154">
        <v>6</v>
      </c>
      <c r="S11" s="925">
        <f>SUM(O11:R11)</f>
        <v>18</v>
      </c>
      <c r="T11" s="1">
        <f>S11/S10*1000</f>
        <v>4.0716858292643057</v>
      </c>
      <c r="V11" s="2052"/>
      <c r="W11" s="265"/>
      <c r="X11" s="927" t="s">
        <v>256</v>
      </c>
      <c r="Y11" s="1742">
        <v>4</v>
      </c>
      <c r="Z11" s="1742">
        <v>4</v>
      </c>
      <c r="AA11" s="1742">
        <v>3</v>
      </c>
      <c r="AB11" s="1742">
        <v>4</v>
      </c>
      <c r="AC11" s="1743">
        <f t="shared" si="1"/>
        <v>15</v>
      </c>
      <c r="AD11" s="30">
        <f>AC11/AC10*1000</f>
        <v>2.0385384165540867</v>
      </c>
      <c r="AE11" s="458"/>
      <c r="AF11" s="2052"/>
      <c r="AG11" s="265"/>
      <c r="AH11" s="927" t="s">
        <v>256</v>
      </c>
      <c r="AI11" s="1745"/>
      <c r="AJ11" s="1745"/>
      <c r="AK11" s="1745"/>
      <c r="AL11" s="1745"/>
      <c r="AM11" s="1155">
        <v>12</v>
      </c>
      <c r="AN11" s="92">
        <f>AM11/AM10*1000</f>
        <v>1.458310281397375</v>
      </c>
      <c r="AP11" s="2052"/>
      <c r="AQ11" s="265"/>
      <c r="AR11" s="927" t="s">
        <v>256</v>
      </c>
      <c r="AS11">
        <v>4</v>
      </c>
      <c r="AT11">
        <v>4</v>
      </c>
      <c r="AU11">
        <v>18</v>
      </c>
      <c r="AV11">
        <v>37</v>
      </c>
      <c r="AW11" s="1155">
        <f t="shared" si="4"/>
        <v>63</v>
      </c>
      <c r="AX11" s="418">
        <f>AW11/AW10*1000</f>
        <v>21.168910263141314</v>
      </c>
      <c r="AY11" s="2052"/>
      <c r="AZ11" s="265"/>
      <c r="BA11" s="927" t="s">
        <v>256</v>
      </c>
      <c r="BB11" s="1746">
        <v>4</v>
      </c>
      <c r="BC11" s="1746">
        <v>13</v>
      </c>
      <c r="BD11" s="1746">
        <v>8</v>
      </c>
      <c r="BE11" s="1746">
        <v>16</v>
      </c>
      <c r="BF11" s="1155">
        <f t="shared" si="0"/>
        <v>41</v>
      </c>
      <c r="BG11" s="2">
        <f>BF11/BF10*1000</f>
        <v>9.323850761826149</v>
      </c>
      <c r="BH11" s="211"/>
      <c r="BJ11" s="2088"/>
      <c r="BK11" s="845"/>
      <c r="BL11" s="855" t="s">
        <v>256</v>
      </c>
      <c r="BM11" s="1749">
        <v>18</v>
      </c>
      <c r="BN11" s="1749">
        <v>28</v>
      </c>
      <c r="BO11" s="1749">
        <v>5</v>
      </c>
      <c r="BP11" s="1749">
        <v>42</v>
      </c>
      <c r="BQ11" s="1155">
        <f t="shared" si="2"/>
        <v>93</v>
      </c>
      <c r="BR11" s="1">
        <f>BQ11/BQ10*1000</f>
        <v>13.806300059667711</v>
      </c>
      <c r="BT11" s="2088"/>
      <c r="BU11" s="845"/>
      <c r="BV11" s="855" t="s">
        <v>256</v>
      </c>
      <c r="BW11" s="836">
        <v>51</v>
      </c>
      <c r="BX11">
        <v>10</v>
      </c>
      <c r="BY11">
        <v>9</v>
      </c>
      <c r="BZ11">
        <v>7</v>
      </c>
      <c r="CA11" s="1155">
        <f>SUM(BW11:BZ11)</f>
        <v>77</v>
      </c>
      <c r="CB11" s="1">
        <f>CA11/CA10*1000</f>
        <v>18.278277985010327</v>
      </c>
      <c r="CE11" s="2088"/>
      <c r="CF11" s="845"/>
      <c r="CG11" s="855" t="s">
        <v>256</v>
      </c>
      <c r="CH11" s="890">
        <v>51</v>
      </c>
      <c r="CI11" s="130">
        <v>10</v>
      </c>
      <c r="CJ11" s="130">
        <v>9</v>
      </c>
      <c r="CK11" s="130">
        <v>7</v>
      </c>
      <c r="CL11" s="1750">
        <f>SUM(CH11:CK11)</f>
        <v>77</v>
      </c>
      <c r="CM11" s="1">
        <f>CL11/CL10*1000</f>
        <v>18.278277985010327</v>
      </c>
      <c r="CP11" s="2088"/>
      <c r="CQ11" s="845"/>
      <c r="CR11" s="855" t="s">
        <v>256</v>
      </c>
      <c r="CS11" s="1178">
        <v>7</v>
      </c>
      <c r="CT11" s="1179">
        <v>8</v>
      </c>
      <c r="CU11" s="1179">
        <v>6</v>
      </c>
      <c r="CV11" s="1179">
        <v>19</v>
      </c>
      <c r="CW11" s="1185">
        <f t="shared" si="5"/>
        <v>40</v>
      </c>
      <c r="CX11" s="30">
        <f>CW11/CW10*1000</f>
        <v>5.6420701422808932</v>
      </c>
      <c r="CZ11" s="2040"/>
      <c r="DA11" s="1312"/>
      <c r="DB11" s="1320" t="s">
        <v>256</v>
      </c>
      <c r="DC11" s="1119">
        <v>4</v>
      </c>
      <c r="DD11" s="1119">
        <v>2</v>
      </c>
      <c r="DE11" s="1119">
        <v>4</v>
      </c>
      <c r="DF11" s="1119">
        <v>27</v>
      </c>
      <c r="DG11" s="1321">
        <f>SUM(DC11:DF11)</f>
        <v>37</v>
      </c>
      <c r="DH11" s="35">
        <f>DG11/DG10*1000</f>
        <v>5.6716823054798731</v>
      </c>
      <c r="DJ11" s="2040"/>
      <c r="DK11" s="1312"/>
      <c r="DL11" s="1320" t="s">
        <v>256</v>
      </c>
      <c r="DM11" s="1">
        <v>2</v>
      </c>
      <c r="DN11" s="1">
        <v>1</v>
      </c>
      <c r="DO11" s="1">
        <v>1</v>
      </c>
      <c r="DP11" s="1">
        <v>13</v>
      </c>
      <c r="DQ11" s="1">
        <f t="shared" si="6"/>
        <v>17</v>
      </c>
      <c r="DR11" s="35">
        <f>DQ11/DQ10*1000</f>
        <v>3.1430833719615197</v>
      </c>
    </row>
    <row r="12" spans="1:122" ht="15" customHeight="1">
      <c r="B12" s="269"/>
      <c r="C12" s="265"/>
      <c r="D12" s="927" t="s">
        <v>257</v>
      </c>
      <c r="E12" s="743">
        <v>348</v>
      </c>
      <c r="F12" s="1747">
        <v>23</v>
      </c>
      <c r="G12" s="1747">
        <v>0</v>
      </c>
      <c r="H12" s="1747">
        <v>155</v>
      </c>
      <c r="I12" s="925">
        <f>SUM(E12:H12)</f>
        <v>526</v>
      </c>
      <c r="K12" s="1"/>
      <c r="L12" s="269"/>
      <c r="M12" s="265"/>
      <c r="N12" s="927" t="s">
        <v>257</v>
      </c>
      <c r="O12" s="1154">
        <v>348</v>
      </c>
      <c r="P12" s="1154">
        <v>190</v>
      </c>
      <c r="Q12" s="1154">
        <v>195</v>
      </c>
      <c r="R12" s="1154">
        <v>298</v>
      </c>
      <c r="S12" s="925">
        <f>SUM(O12:R12)</f>
        <v>1031</v>
      </c>
      <c r="V12" s="2052"/>
      <c r="W12" s="265"/>
      <c r="X12" s="927" t="s">
        <v>257</v>
      </c>
      <c r="Y12" s="1742">
        <v>240</v>
      </c>
      <c r="Z12" s="1742">
        <v>250</v>
      </c>
      <c r="AA12" s="1742">
        <v>243</v>
      </c>
      <c r="AB12" s="1742">
        <v>210</v>
      </c>
      <c r="AC12" s="1743">
        <f t="shared" si="1"/>
        <v>943</v>
      </c>
      <c r="AE12" s="458"/>
      <c r="AF12" s="2052"/>
      <c r="AG12" s="265"/>
      <c r="AH12" s="927" t="s">
        <v>257</v>
      </c>
      <c r="AI12" s="1745"/>
      <c r="AJ12" s="1745"/>
      <c r="AK12" s="1745"/>
      <c r="AL12" s="1745"/>
      <c r="AM12" s="1155">
        <v>8856.589109520377</v>
      </c>
      <c r="AP12" s="2052"/>
      <c r="AQ12" s="265"/>
      <c r="AR12" s="927" t="s">
        <v>257</v>
      </c>
      <c r="AS12">
        <v>215</v>
      </c>
      <c r="AT12">
        <v>190</v>
      </c>
      <c r="AU12">
        <v>1009</v>
      </c>
      <c r="AV12">
        <v>1761</v>
      </c>
      <c r="AW12" s="1155">
        <f t="shared" si="4"/>
        <v>3175</v>
      </c>
      <c r="AY12" s="2052"/>
      <c r="AZ12" s="265"/>
      <c r="BA12" s="927" t="s">
        <v>257</v>
      </c>
      <c r="BB12" s="1746">
        <v>204</v>
      </c>
      <c r="BC12" s="1746">
        <v>849</v>
      </c>
      <c r="BD12" s="1746">
        <v>443</v>
      </c>
      <c r="BE12" s="1746">
        <v>1323</v>
      </c>
      <c r="BF12" s="1155">
        <f t="shared" si="0"/>
        <v>2819</v>
      </c>
      <c r="BG12" s="2"/>
      <c r="BH12" s="211"/>
      <c r="BJ12" s="2088"/>
      <c r="BK12" s="845"/>
      <c r="BL12" s="855" t="s">
        <v>257</v>
      </c>
      <c r="BM12" s="1749">
        <v>1088</v>
      </c>
      <c r="BN12" s="1749">
        <v>2176</v>
      </c>
      <c r="BO12" s="1749">
        <v>355</v>
      </c>
      <c r="BP12" s="1749">
        <v>3019</v>
      </c>
      <c r="BQ12" s="1155">
        <f t="shared" si="2"/>
        <v>6638</v>
      </c>
      <c r="BT12" s="2088"/>
      <c r="BU12" s="845"/>
      <c r="BV12" s="855" t="s">
        <v>257</v>
      </c>
      <c r="BW12">
        <v>3199</v>
      </c>
      <c r="BX12">
        <v>732</v>
      </c>
      <c r="BY12">
        <v>644</v>
      </c>
      <c r="BZ12">
        <v>294</v>
      </c>
      <c r="CA12" s="1155">
        <f>SUM(BW12:BZ12)</f>
        <v>4869</v>
      </c>
      <c r="CE12" s="2088"/>
      <c r="CF12" s="845"/>
      <c r="CG12" s="855" t="s">
        <v>257</v>
      </c>
      <c r="CH12" s="130">
        <v>3199</v>
      </c>
      <c r="CI12" s="130">
        <v>732</v>
      </c>
      <c r="CJ12" s="130">
        <v>644</v>
      </c>
      <c r="CK12" s="130">
        <v>294</v>
      </c>
      <c r="CL12" s="1750">
        <f>SUM(CH12:CK12)</f>
        <v>4869</v>
      </c>
      <c r="CP12" s="2088"/>
      <c r="CQ12" s="845"/>
      <c r="CR12" s="855" t="s">
        <v>257</v>
      </c>
      <c r="CS12" s="1178">
        <v>523</v>
      </c>
      <c r="CT12" s="1179">
        <v>525</v>
      </c>
      <c r="CU12" s="1179">
        <v>433</v>
      </c>
      <c r="CV12" s="1179">
        <v>1405</v>
      </c>
      <c r="CW12" s="1185">
        <f t="shared" si="5"/>
        <v>2886</v>
      </c>
      <c r="CZ12" s="2040"/>
      <c r="DA12" s="1312"/>
      <c r="DB12" s="1320" t="s">
        <v>257</v>
      </c>
      <c r="DC12" s="1119">
        <v>218</v>
      </c>
      <c r="DD12" s="1119">
        <v>24</v>
      </c>
      <c r="DE12" s="1119">
        <v>211</v>
      </c>
      <c r="DF12" s="1119">
        <v>1550</v>
      </c>
      <c r="DG12" s="1321">
        <f>SUM(DC12:DF12)</f>
        <v>2003</v>
      </c>
      <c r="DH12" s="35"/>
      <c r="DJ12" s="2040"/>
      <c r="DK12" s="1312"/>
      <c r="DL12" s="1320" t="s">
        <v>257</v>
      </c>
      <c r="DM12" s="1">
        <v>129</v>
      </c>
      <c r="DN12" s="1">
        <v>106</v>
      </c>
      <c r="DO12" s="1">
        <v>62</v>
      </c>
      <c r="DP12" s="1">
        <v>1068</v>
      </c>
      <c r="DQ12" s="1">
        <f t="shared" si="6"/>
        <v>1365</v>
      </c>
      <c r="DR12"/>
    </row>
    <row r="13" spans="1:122" ht="15.75" customHeight="1" thickBot="1">
      <c r="A13" s="2"/>
      <c r="B13" s="270"/>
      <c r="C13" s="267"/>
      <c r="D13" s="928" t="s">
        <v>258</v>
      </c>
      <c r="E13" s="747"/>
      <c r="F13" s="748"/>
      <c r="G13" s="748"/>
      <c r="H13" s="748"/>
      <c r="I13" s="749">
        <f>SUM(E13:H13)</f>
        <v>0</v>
      </c>
      <c r="K13" s="1"/>
      <c r="L13" s="270"/>
      <c r="M13" s="267"/>
      <c r="N13" s="928" t="s">
        <v>258</v>
      </c>
      <c r="O13" s="745"/>
      <c r="P13" s="745"/>
      <c r="Q13" s="745"/>
      <c r="R13" s="745"/>
      <c r="S13" s="746"/>
      <c r="V13" s="2053"/>
      <c r="W13" s="267"/>
      <c r="X13" s="928" t="s">
        <v>258</v>
      </c>
      <c r="Y13" s="1743"/>
      <c r="Z13" s="1743"/>
      <c r="AA13" s="1743"/>
      <c r="AB13" s="1743"/>
      <c r="AC13" s="1743"/>
      <c r="AE13" s="459"/>
      <c r="AF13" s="2053"/>
      <c r="AG13" s="267"/>
      <c r="AH13" s="928" t="s">
        <v>258</v>
      </c>
      <c r="AI13" s="1748"/>
      <c r="AJ13" s="1748"/>
      <c r="AK13" s="1748"/>
      <c r="AL13" s="1748"/>
      <c r="AM13" s="1748"/>
      <c r="AP13" s="2053"/>
      <c r="AQ13" s="267"/>
      <c r="AR13" s="928" t="s">
        <v>258</v>
      </c>
      <c r="AS13" s="1748"/>
      <c r="AT13" s="1748"/>
      <c r="AU13" s="1748"/>
      <c r="AV13" s="1748"/>
      <c r="AW13" s="1155">
        <f t="shared" si="4"/>
        <v>0</v>
      </c>
      <c r="AY13" s="2053"/>
      <c r="AZ13" s="267"/>
      <c r="BA13" s="928" t="s">
        <v>258</v>
      </c>
      <c r="BB13" s="1748"/>
      <c r="BC13" s="1748"/>
      <c r="BD13" s="1748"/>
      <c r="BE13" s="1748"/>
      <c r="BF13" s="1155">
        <f t="shared" si="0"/>
        <v>0</v>
      </c>
      <c r="BG13" s="2"/>
      <c r="BH13" s="211"/>
      <c r="BJ13" s="2089"/>
      <c r="BK13" s="846"/>
      <c r="BL13" s="856" t="s">
        <v>258</v>
      </c>
      <c r="BM13" s="836"/>
      <c r="BN13" s="836"/>
      <c r="BO13" s="836"/>
      <c r="BP13" s="836"/>
      <c r="BQ13" s="1155">
        <f t="shared" si="2"/>
        <v>0</v>
      </c>
      <c r="BT13" s="2089"/>
      <c r="BU13" s="846"/>
      <c r="BV13" s="856" t="s">
        <v>258</v>
      </c>
      <c r="BW13" s="836"/>
      <c r="BX13" s="836"/>
      <c r="BY13" s="836"/>
      <c r="BZ13" s="836"/>
      <c r="CA13" s="1155">
        <f t="shared" ref="CA13:CA21" si="7">SUM(BW13:BZ13)</f>
        <v>0</v>
      </c>
      <c r="CE13" s="2089"/>
      <c r="CF13" s="846"/>
      <c r="CG13" s="856" t="s">
        <v>258</v>
      </c>
      <c r="CH13" s="890"/>
      <c r="CI13" s="890"/>
      <c r="CJ13" s="890"/>
      <c r="CK13" s="890"/>
      <c r="CL13" s="1750">
        <f>SUM(CH13:CK13)</f>
        <v>0</v>
      </c>
      <c r="CP13" s="2089"/>
      <c r="CQ13" s="846"/>
      <c r="CR13" s="856" t="s">
        <v>258</v>
      </c>
      <c r="CS13" s="1186"/>
      <c r="CT13" s="1187"/>
      <c r="CU13" s="1187"/>
      <c r="CV13" s="1187"/>
      <c r="CW13" s="1188" t="s">
        <v>18</v>
      </c>
      <c r="CZ13" s="2041"/>
      <c r="DA13" s="1314"/>
      <c r="DB13" s="1322" t="s">
        <v>258</v>
      </c>
      <c r="DC13" s="1323"/>
      <c r="DD13" s="1324"/>
      <c r="DE13" s="1324"/>
      <c r="DF13" s="1324"/>
      <c r="DG13" s="1325" t="s">
        <v>18</v>
      </c>
      <c r="DH13" s="35"/>
      <c r="DJ13" s="2041"/>
      <c r="DK13" s="1314"/>
      <c r="DL13" s="1322" t="s">
        <v>258</v>
      </c>
      <c r="DR13"/>
    </row>
    <row r="14" spans="1:122" ht="12.75" customHeight="1">
      <c r="B14" s="268" t="s">
        <v>260</v>
      </c>
      <c r="C14" s="263" t="s">
        <v>7</v>
      </c>
      <c r="D14" s="161" t="s">
        <v>255</v>
      </c>
      <c r="E14" s="171">
        <v>1375.4027599999999</v>
      </c>
      <c r="F14" s="163">
        <v>787.91098999999997</v>
      </c>
      <c r="G14" s="163">
        <v>1111.80277</v>
      </c>
      <c r="H14" s="163">
        <v>1233.0017700000001</v>
      </c>
      <c r="I14" s="164">
        <v>4508.1182899999994</v>
      </c>
      <c r="K14" s="1"/>
      <c r="L14" s="268" t="s">
        <v>260</v>
      </c>
      <c r="M14" s="263" t="s">
        <v>7</v>
      </c>
      <c r="N14" s="161" t="s">
        <v>255</v>
      </c>
      <c r="O14" s="163"/>
      <c r="P14" s="163"/>
      <c r="Q14" s="321"/>
      <c r="R14" s="163"/>
      <c r="S14" s="164"/>
      <c r="V14" s="2051" t="s">
        <v>260</v>
      </c>
      <c r="W14" s="263" t="s">
        <v>7</v>
      </c>
      <c r="X14" s="161" t="s">
        <v>255</v>
      </c>
      <c r="Y14" s="1743"/>
      <c r="Z14" s="1743"/>
      <c r="AA14" s="1741"/>
      <c r="AB14" s="1743"/>
      <c r="AC14" s="1743"/>
      <c r="AF14" s="2051" t="s">
        <v>260</v>
      </c>
      <c r="AG14" s="263" t="s">
        <v>7</v>
      </c>
      <c r="AH14" s="161" t="s">
        <v>255</v>
      </c>
      <c r="AI14" s="1745">
        <v>3390.884</v>
      </c>
      <c r="AJ14" s="1745">
        <v>2673.7945999999997</v>
      </c>
      <c r="AK14" s="1745">
        <v>2672.3910999999998</v>
      </c>
      <c r="AL14" s="1745">
        <v>1687.5315000000001</v>
      </c>
      <c r="AM14" s="1155">
        <f>SUM(AI14:AL14)</f>
        <v>10424.601200000001</v>
      </c>
      <c r="AP14" s="2051" t="s">
        <v>260</v>
      </c>
      <c r="AQ14" s="263" t="s">
        <v>7</v>
      </c>
      <c r="AR14" s="161" t="s">
        <v>255</v>
      </c>
      <c r="AS14">
        <v>1606.5886999999998</v>
      </c>
      <c r="AT14">
        <v>1084.7814999999998</v>
      </c>
      <c r="AU14">
        <v>990.60980000000052</v>
      </c>
      <c r="AV14">
        <v>810.57599999999991</v>
      </c>
      <c r="AW14" s="1155">
        <f t="shared" si="4"/>
        <v>4492.5559999999996</v>
      </c>
      <c r="AY14" s="2051" t="s">
        <v>260</v>
      </c>
      <c r="AZ14" s="263" t="s">
        <v>7</v>
      </c>
      <c r="BA14" s="161" t="s">
        <v>255</v>
      </c>
      <c r="BB14" s="1746">
        <v>1044.291099999999</v>
      </c>
      <c r="BC14" s="1746">
        <v>1560.5517000000023</v>
      </c>
      <c r="BD14" s="1746">
        <v>1291.9842999999996</v>
      </c>
      <c r="BE14" s="1746">
        <v>1407.0749000000017</v>
      </c>
      <c r="BF14" s="1155">
        <f t="shared" si="0"/>
        <v>5303.9020000000028</v>
      </c>
      <c r="BG14" s="2"/>
      <c r="BH14" s="211"/>
      <c r="BJ14" s="2087" t="s">
        <v>260</v>
      </c>
      <c r="BK14" s="844" t="s">
        <v>7</v>
      </c>
      <c r="BL14" s="842" t="s">
        <v>255</v>
      </c>
      <c r="BM14" s="1749">
        <v>1197.2287999999999</v>
      </c>
      <c r="BN14" s="1749">
        <v>1280.6520000000005</v>
      </c>
      <c r="BO14" s="1749">
        <v>1213.6471999999999</v>
      </c>
      <c r="BP14" s="1749">
        <v>1688.6885000000002</v>
      </c>
      <c r="BQ14" s="1155">
        <v>5380.2165000000005</v>
      </c>
      <c r="BT14" s="2087" t="s">
        <v>260</v>
      </c>
      <c r="BU14" s="844" t="s">
        <v>7</v>
      </c>
      <c r="BV14" s="842" t="s">
        <v>255</v>
      </c>
      <c r="BW14" s="1749"/>
      <c r="BX14" s="1751" t="s">
        <v>18</v>
      </c>
      <c r="BY14" s="1751" t="s">
        <v>18</v>
      </c>
      <c r="BZ14" s="1751" t="s">
        <v>18</v>
      </c>
      <c r="CA14" s="1155" t="s">
        <v>18</v>
      </c>
      <c r="CE14" s="2087" t="s">
        <v>260</v>
      </c>
      <c r="CF14" s="844" t="s">
        <v>7</v>
      </c>
      <c r="CG14" s="842" t="s">
        <v>255</v>
      </c>
      <c r="CH14" s="1749"/>
      <c r="CI14" s="1751" t="s">
        <v>18</v>
      </c>
      <c r="CJ14" s="1751" t="s">
        <v>18</v>
      </c>
      <c r="CK14" s="1751" t="s">
        <v>18</v>
      </c>
      <c r="CL14" s="1155" t="s">
        <v>18</v>
      </c>
      <c r="CP14" s="2087" t="s">
        <v>260</v>
      </c>
      <c r="CQ14" s="844" t="s">
        <v>7</v>
      </c>
      <c r="CR14" s="842" t="s">
        <v>255</v>
      </c>
      <c r="CS14" s="1189">
        <v>1406.9270999999976</v>
      </c>
      <c r="CT14" s="1190">
        <v>2518.5023999999999</v>
      </c>
      <c r="CU14" s="1190">
        <v>1421.0123999999983</v>
      </c>
      <c r="CV14" s="1190">
        <v>1746.3614000000014</v>
      </c>
      <c r="CW14" s="1191">
        <f t="shared" si="5"/>
        <v>7092.8032999999978</v>
      </c>
      <c r="CZ14" s="2039" t="s">
        <v>260</v>
      </c>
      <c r="DA14" s="1310" t="s">
        <v>7</v>
      </c>
      <c r="DB14" s="1311" t="s">
        <v>255</v>
      </c>
      <c r="DC14" s="20">
        <v>1878.5707999999995</v>
      </c>
      <c r="DD14" s="20">
        <v>892.92059999999992</v>
      </c>
      <c r="DE14" s="20">
        <v>2621.9709000000003</v>
      </c>
      <c r="DF14" s="20">
        <v>980.46369999999899</v>
      </c>
      <c r="DG14" s="1326">
        <f t="shared" ref="DG14:DG20" si="8">SUM(DC14:DF14)</f>
        <v>6373.9259999999986</v>
      </c>
      <c r="DH14" s="35"/>
      <c r="DJ14" s="2039" t="s">
        <v>260</v>
      </c>
      <c r="DK14" s="1310" t="s">
        <v>7</v>
      </c>
      <c r="DL14" s="1311" t="s">
        <v>255</v>
      </c>
      <c r="DM14" s="20">
        <v>1020.7358999999999</v>
      </c>
      <c r="DN14" s="20">
        <v>1250.7413999999999</v>
      </c>
      <c r="DO14" s="20">
        <v>1354.7965000000002</v>
      </c>
      <c r="DP14" s="20">
        <v>1136.7840000000001</v>
      </c>
      <c r="DQ14" s="2">
        <f>SUM(DM14:DP14)</f>
        <v>4763.0578000000005</v>
      </c>
      <c r="DR14"/>
    </row>
    <row r="15" spans="1:122" ht="15" customHeight="1">
      <c r="B15" s="269"/>
      <c r="C15" s="265"/>
      <c r="D15" s="924" t="s">
        <v>256</v>
      </c>
      <c r="E15" s="743"/>
      <c r="F15" s="1747"/>
      <c r="G15" s="1747"/>
      <c r="H15" s="1747"/>
      <c r="I15" s="925"/>
      <c r="K15" s="1"/>
      <c r="L15" s="269"/>
      <c r="M15" s="265"/>
      <c r="N15" s="924" t="s">
        <v>256</v>
      </c>
      <c r="O15" s="1747"/>
      <c r="P15" s="1747"/>
      <c r="Q15" s="1154"/>
      <c r="R15" s="1747"/>
      <c r="S15" s="925"/>
      <c r="V15" s="2052"/>
      <c r="W15" s="265"/>
      <c r="X15" s="924" t="s">
        <v>256</v>
      </c>
      <c r="Y15" s="1743"/>
      <c r="Z15" s="1743"/>
      <c r="AA15" s="1741"/>
      <c r="AB15" s="1743"/>
      <c r="AC15" s="1743"/>
      <c r="AF15" s="2052"/>
      <c r="AG15" s="265"/>
      <c r="AH15" s="924" t="s">
        <v>256</v>
      </c>
      <c r="AI15" s="1748"/>
      <c r="AJ15" s="1748"/>
      <c r="AK15" s="1744"/>
      <c r="AL15" s="1748"/>
      <c r="AM15" s="1748"/>
      <c r="AP15" s="2052"/>
      <c r="AQ15" s="265"/>
      <c r="AR15" s="924" t="s">
        <v>256</v>
      </c>
      <c r="AS15">
        <v>0</v>
      </c>
      <c r="AT15">
        <v>0</v>
      </c>
      <c r="AU15">
        <v>1</v>
      </c>
      <c r="AV15">
        <v>2</v>
      </c>
      <c r="AW15" s="1155">
        <f t="shared" si="4"/>
        <v>3</v>
      </c>
      <c r="AY15" s="2052"/>
      <c r="AZ15" s="265"/>
      <c r="BA15" s="924" t="s">
        <v>256</v>
      </c>
      <c r="BB15"/>
      <c r="BC15"/>
      <c r="BD15"/>
      <c r="BE15"/>
      <c r="BF15" s="1155">
        <f t="shared" si="0"/>
        <v>0</v>
      </c>
      <c r="BG15" s="2"/>
      <c r="BH15" s="211"/>
      <c r="BJ15" s="2088"/>
      <c r="BK15" s="845"/>
      <c r="BL15" s="853" t="s">
        <v>256</v>
      </c>
      <c r="BM15" s="836"/>
      <c r="BN15" s="1749">
        <v>2</v>
      </c>
      <c r="BO15" s="1749">
        <v>3</v>
      </c>
      <c r="BP15" s="1749">
        <v>3</v>
      </c>
      <c r="BQ15" s="1155">
        <f t="shared" si="2"/>
        <v>8</v>
      </c>
      <c r="BT15" s="2088"/>
      <c r="BU15" s="845"/>
      <c r="BV15" s="853" t="s">
        <v>256</v>
      </c>
      <c r="BW15" s="836"/>
      <c r="BX15" s="1751" t="s">
        <v>18</v>
      </c>
      <c r="BY15" s="1751" t="s">
        <v>18</v>
      </c>
      <c r="BZ15" s="1751" t="s">
        <v>18</v>
      </c>
      <c r="CA15" s="1155" t="s">
        <v>18</v>
      </c>
      <c r="CE15" s="2088"/>
      <c r="CF15" s="845"/>
      <c r="CG15" s="853" t="s">
        <v>256</v>
      </c>
      <c r="CH15" s="836"/>
      <c r="CI15" s="1751" t="s">
        <v>18</v>
      </c>
      <c r="CJ15" s="1751" t="s">
        <v>18</v>
      </c>
      <c r="CK15" s="1751" t="s">
        <v>18</v>
      </c>
      <c r="CL15" s="1155" t="s">
        <v>18</v>
      </c>
      <c r="CP15" s="2088"/>
      <c r="CQ15" s="845"/>
      <c r="CR15" s="853" t="s">
        <v>256</v>
      </c>
      <c r="CS15" s="1192">
        <v>1</v>
      </c>
      <c r="CT15" s="1193" t="s">
        <v>18</v>
      </c>
      <c r="CU15" s="1193" t="s">
        <v>18</v>
      </c>
      <c r="CV15" s="1194" t="s">
        <v>18</v>
      </c>
      <c r="CW15" s="1185">
        <f t="shared" si="5"/>
        <v>1</v>
      </c>
      <c r="CX15" s="30">
        <f>CW15/CW14*1000</f>
        <v>0.14098797861770682</v>
      </c>
      <c r="CZ15" s="2040"/>
      <c r="DA15" s="1312"/>
      <c r="DB15" s="1313" t="s">
        <v>256</v>
      </c>
      <c r="DC15" s="1327">
        <v>1</v>
      </c>
      <c r="DD15" s="1328">
        <v>2</v>
      </c>
      <c r="DE15" s="1328">
        <v>1</v>
      </c>
      <c r="DF15" s="1328">
        <v>0</v>
      </c>
      <c r="DG15" s="1326">
        <f t="shared" si="8"/>
        <v>4</v>
      </c>
      <c r="DH15" s="35">
        <f>DG15/DG14*1000</f>
        <v>0.62755670523943974</v>
      </c>
      <c r="DJ15" s="2040"/>
      <c r="DK15" s="1312"/>
      <c r="DL15" s="1313" t="s">
        <v>256</v>
      </c>
      <c r="DM15" s="1">
        <v>0</v>
      </c>
      <c r="DN15">
        <v>2</v>
      </c>
      <c r="DO15">
        <v>0</v>
      </c>
      <c r="DP15">
        <v>3</v>
      </c>
      <c r="DQ15" s="1">
        <f t="shared" ref="DQ15:DQ16" si="9">SUM(DM15:DP15)</f>
        <v>5</v>
      </c>
      <c r="DR15" s="35">
        <f>DQ15/DQ14*1000</f>
        <v>1.0497458166474487</v>
      </c>
    </row>
    <row r="16" spans="1:122" ht="12.75" customHeight="1">
      <c r="B16" s="269"/>
      <c r="C16" s="265"/>
      <c r="D16" s="924" t="s">
        <v>257</v>
      </c>
      <c r="E16" s="743"/>
      <c r="F16" s="1747"/>
      <c r="G16" s="1747"/>
      <c r="H16" s="1747"/>
      <c r="I16" s="925"/>
      <c r="K16" s="1"/>
      <c r="L16" s="269"/>
      <c r="M16" s="265"/>
      <c r="N16" s="924" t="s">
        <v>257</v>
      </c>
      <c r="O16" s="1747"/>
      <c r="P16" s="1747"/>
      <c r="Q16" s="1154"/>
      <c r="R16" s="1747"/>
      <c r="S16" s="925"/>
      <c r="V16" s="2052"/>
      <c r="W16" s="265"/>
      <c r="X16" s="924" t="s">
        <v>257</v>
      </c>
      <c r="Y16" s="1743"/>
      <c r="Z16" s="1743"/>
      <c r="AA16" s="1741"/>
      <c r="AB16" s="1743"/>
      <c r="AC16" s="1743"/>
      <c r="AF16" s="2052"/>
      <c r="AG16" s="265"/>
      <c r="AH16" s="924" t="s">
        <v>257</v>
      </c>
      <c r="AI16" s="1748"/>
      <c r="AJ16" s="1748"/>
      <c r="AK16" s="1744"/>
      <c r="AL16" s="1748"/>
      <c r="AM16" s="1748"/>
      <c r="AP16" s="2052"/>
      <c r="AQ16" s="265"/>
      <c r="AR16" s="924" t="s">
        <v>257</v>
      </c>
      <c r="AS16">
        <v>0</v>
      </c>
      <c r="AT16">
        <v>0</v>
      </c>
      <c r="AU16">
        <v>24</v>
      </c>
      <c r="AV16">
        <v>38</v>
      </c>
      <c r="AW16" s="1155">
        <f t="shared" si="4"/>
        <v>62</v>
      </c>
      <c r="AY16" s="2052"/>
      <c r="AZ16" s="265"/>
      <c r="BA16" s="924" t="s">
        <v>257</v>
      </c>
      <c r="BB16"/>
      <c r="BC16"/>
      <c r="BD16"/>
      <c r="BE16"/>
      <c r="BF16" s="1155">
        <f t="shared" si="0"/>
        <v>0</v>
      </c>
      <c r="BG16" s="2"/>
      <c r="BH16" s="211"/>
      <c r="BJ16" s="2088"/>
      <c r="BK16" s="845"/>
      <c r="BL16" s="853" t="s">
        <v>257</v>
      </c>
      <c r="BM16" s="836"/>
      <c r="BN16" s="1749">
        <v>48</v>
      </c>
      <c r="BO16" s="1749">
        <v>223</v>
      </c>
      <c r="BP16" s="1749">
        <v>104</v>
      </c>
      <c r="BQ16" s="1155">
        <f t="shared" si="2"/>
        <v>375</v>
      </c>
      <c r="BT16" s="2088"/>
      <c r="BU16" s="845"/>
      <c r="BV16" s="853" t="s">
        <v>257</v>
      </c>
      <c r="BW16" s="836"/>
      <c r="BX16" s="1751" t="s">
        <v>18</v>
      </c>
      <c r="BY16" s="1751" t="s">
        <v>18</v>
      </c>
      <c r="BZ16" s="1751" t="s">
        <v>18</v>
      </c>
      <c r="CA16" s="1155" t="s">
        <v>18</v>
      </c>
      <c r="CE16" s="2088"/>
      <c r="CF16" s="845"/>
      <c r="CG16" s="853" t="s">
        <v>257</v>
      </c>
      <c r="CH16" s="836"/>
      <c r="CI16" s="1751" t="s">
        <v>18</v>
      </c>
      <c r="CJ16" s="1751" t="s">
        <v>18</v>
      </c>
      <c r="CK16" s="1751" t="s">
        <v>18</v>
      </c>
      <c r="CL16" s="1155" t="s">
        <v>18</v>
      </c>
      <c r="CP16" s="2088"/>
      <c r="CQ16" s="845"/>
      <c r="CR16" s="853" t="s">
        <v>257</v>
      </c>
      <c r="CS16" s="1178">
        <v>101</v>
      </c>
      <c r="CT16" s="1193" t="s">
        <v>18</v>
      </c>
      <c r="CU16" s="1193" t="s">
        <v>18</v>
      </c>
      <c r="CV16" s="1194" t="s">
        <v>18</v>
      </c>
      <c r="CW16" s="1185">
        <f t="shared" si="5"/>
        <v>101</v>
      </c>
      <c r="CZ16" s="2040"/>
      <c r="DA16" s="1312"/>
      <c r="DB16" s="1313" t="s">
        <v>257</v>
      </c>
      <c r="DC16" s="1327">
        <v>18</v>
      </c>
      <c r="DD16" s="1328">
        <v>43</v>
      </c>
      <c r="DE16" s="1328">
        <v>23</v>
      </c>
      <c r="DF16" s="1328">
        <v>0</v>
      </c>
      <c r="DG16" s="1326">
        <f t="shared" si="8"/>
        <v>84</v>
      </c>
      <c r="DH16" s="35"/>
      <c r="DJ16" s="2040"/>
      <c r="DK16" s="1312"/>
      <c r="DL16" s="1313" t="s">
        <v>257</v>
      </c>
      <c r="DM16">
        <v>0</v>
      </c>
      <c r="DN16">
        <v>125</v>
      </c>
      <c r="DO16">
        <v>0</v>
      </c>
      <c r="DP16">
        <v>133</v>
      </c>
      <c r="DQ16" s="1">
        <f t="shared" si="9"/>
        <v>258</v>
      </c>
      <c r="DR16"/>
    </row>
    <row r="17" spans="1:122" ht="15.75" customHeight="1" thickBot="1">
      <c r="B17" s="270"/>
      <c r="C17" s="267"/>
      <c r="D17" s="926" t="s">
        <v>258</v>
      </c>
      <c r="E17" s="744"/>
      <c r="F17" s="745"/>
      <c r="G17" s="745"/>
      <c r="H17" s="745"/>
      <c r="I17" s="746"/>
      <c r="K17" s="1"/>
      <c r="L17" s="270"/>
      <c r="M17" s="267"/>
      <c r="N17" s="926" t="s">
        <v>258</v>
      </c>
      <c r="O17" s="745"/>
      <c r="P17" s="745"/>
      <c r="Q17" s="745"/>
      <c r="R17" s="745"/>
      <c r="S17" s="746"/>
      <c r="V17" s="2053"/>
      <c r="W17" s="267"/>
      <c r="X17" s="926" t="s">
        <v>258</v>
      </c>
      <c r="Y17" s="1743"/>
      <c r="Z17" s="1743"/>
      <c r="AA17" s="1743"/>
      <c r="AB17" s="1743"/>
      <c r="AC17" s="1743"/>
      <c r="AF17" s="2053"/>
      <c r="AG17" s="267"/>
      <c r="AH17" s="926" t="s">
        <v>258</v>
      </c>
      <c r="AI17" s="1748"/>
      <c r="AJ17" s="1748"/>
      <c r="AK17" s="1748"/>
      <c r="AL17" s="1748"/>
      <c r="AM17" s="1748"/>
      <c r="AP17" s="2053"/>
      <c r="AQ17" s="267"/>
      <c r="AR17" s="926" t="s">
        <v>258</v>
      </c>
      <c r="AS17" s="1748"/>
      <c r="AT17" s="1748"/>
      <c r="AU17" s="1748"/>
      <c r="AV17" s="1748"/>
      <c r="AW17" s="1155">
        <f t="shared" si="4"/>
        <v>0</v>
      </c>
      <c r="AY17" s="2053"/>
      <c r="AZ17" s="267"/>
      <c r="BA17" s="926" t="s">
        <v>258</v>
      </c>
      <c r="BB17" s="1748"/>
      <c r="BC17" s="1748"/>
      <c r="BD17" s="1748"/>
      <c r="BE17" s="1748"/>
      <c r="BF17" s="1155">
        <f t="shared" si="0"/>
        <v>0</v>
      </c>
      <c r="BG17" s="2"/>
      <c r="BH17" s="211"/>
      <c r="BJ17" s="2089"/>
      <c r="BK17" s="846"/>
      <c r="BL17" s="854" t="s">
        <v>258</v>
      </c>
      <c r="BM17" s="836"/>
      <c r="BN17" s="836"/>
      <c r="BO17" s="836"/>
      <c r="BP17" s="836"/>
      <c r="BQ17" s="1155">
        <f t="shared" si="2"/>
        <v>0</v>
      </c>
      <c r="BT17" s="2089"/>
      <c r="BU17" s="846"/>
      <c r="BV17" s="854" t="s">
        <v>258</v>
      </c>
      <c r="BW17" s="836"/>
      <c r="BX17" s="836"/>
      <c r="BY17" s="836"/>
      <c r="BZ17" s="836"/>
      <c r="CA17" s="1155" t="s">
        <v>18</v>
      </c>
      <c r="CE17" s="2089"/>
      <c r="CF17" s="846"/>
      <c r="CG17" s="854" t="s">
        <v>258</v>
      </c>
      <c r="CH17" s="836"/>
      <c r="CI17" s="836"/>
      <c r="CJ17" s="836"/>
      <c r="CK17" s="836"/>
      <c r="CL17" s="1155" t="s">
        <v>18</v>
      </c>
      <c r="CP17" s="2089"/>
      <c r="CQ17" s="846"/>
      <c r="CR17" s="854" t="s">
        <v>258</v>
      </c>
      <c r="CS17" s="1181"/>
      <c r="CT17" s="1182"/>
      <c r="CU17" s="1182"/>
      <c r="CV17" s="1182"/>
      <c r="CW17" s="1195">
        <f t="shared" si="5"/>
        <v>0</v>
      </c>
      <c r="CZ17" s="2041"/>
      <c r="DA17" s="1314"/>
      <c r="DB17" s="1315" t="s">
        <v>258</v>
      </c>
      <c r="DC17" s="1316"/>
      <c r="DD17" s="1317"/>
      <c r="DE17" s="1317"/>
      <c r="DF17" s="1317"/>
      <c r="DG17" s="1318">
        <f t="shared" si="8"/>
        <v>0</v>
      </c>
      <c r="DH17" s="35"/>
      <c r="DJ17" s="2041"/>
      <c r="DK17" s="1314"/>
      <c r="DL17" s="1315" t="s">
        <v>258</v>
      </c>
      <c r="DQ17" s="1">
        <f t="shared" si="6"/>
        <v>0</v>
      </c>
      <c r="DR17"/>
    </row>
    <row r="18" spans="1:122" ht="12.75" customHeight="1">
      <c r="B18" s="271" t="s">
        <v>261</v>
      </c>
      <c r="C18" s="263" t="s">
        <v>7</v>
      </c>
      <c r="D18" s="161" t="s">
        <v>255</v>
      </c>
      <c r="E18" s="184">
        <v>1434.96</v>
      </c>
      <c r="F18" s="183">
        <v>2101.2935000000002</v>
      </c>
      <c r="G18" s="183">
        <v>4480.8082000000004</v>
      </c>
      <c r="H18" s="183">
        <v>5867.1154999999999</v>
      </c>
      <c r="I18" s="185">
        <v>13863.1945</v>
      </c>
      <c r="K18" s="1"/>
      <c r="L18" s="271" t="s">
        <v>261</v>
      </c>
      <c r="M18" s="263" t="s">
        <v>7</v>
      </c>
      <c r="N18" s="161" t="s">
        <v>255</v>
      </c>
      <c r="O18" s="321">
        <v>1850.5</v>
      </c>
      <c r="P18" s="321">
        <v>4292.1000000000004</v>
      </c>
      <c r="Q18" s="321">
        <v>9166.5769999999993</v>
      </c>
      <c r="R18" s="321">
        <v>8101.8</v>
      </c>
      <c r="S18" s="164">
        <f>SUM(O18:R18)</f>
        <v>23410.976999999999</v>
      </c>
      <c r="V18" s="2054" t="s">
        <v>261</v>
      </c>
      <c r="W18" s="263" t="s">
        <v>7</v>
      </c>
      <c r="X18" s="161" t="s">
        <v>255</v>
      </c>
      <c r="Y18" s="1741"/>
      <c r="Z18" s="1741"/>
      <c r="AA18" s="1742">
        <v>379.5</v>
      </c>
      <c r="AB18" s="1741"/>
      <c r="AC18" s="1743">
        <f t="shared" si="1"/>
        <v>379.5</v>
      </c>
      <c r="AF18" s="2054" t="s">
        <v>261</v>
      </c>
      <c r="AG18" s="263" t="s">
        <v>7</v>
      </c>
      <c r="AH18" s="161" t="s">
        <v>255</v>
      </c>
      <c r="AI18" s="1745">
        <v>2742.9814999999999</v>
      </c>
      <c r="AJ18" s="1745">
        <v>5198.4825000000001</v>
      </c>
      <c r="AK18" s="1745">
        <v>5579.8339999999998</v>
      </c>
      <c r="AL18" s="1745">
        <v>8440.2980000000007</v>
      </c>
      <c r="AM18" s="1155">
        <f>SUM(AI18:AL18)</f>
        <v>21961.595999999998</v>
      </c>
      <c r="AP18" s="2054" t="s">
        <v>261</v>
      </c>
      <c r="AQ18" s="263" t="s">
        <v>7</v>
      </c>
      <c r="AR18" s="161" t="s">
        <v>255</v>
      </c>
      <c r="AS18">
        <v>479.54559999999998</v>
      </c>
      <c r="AT18">
        <v>669.67359999999996</v>
      </c>
      <c r="AU18">
        <v>483.67349999999999</v>
      </c>
      <c r="AV18">
        <v>1343.1698000000001</v>
      </c>
      <c r="AW18" s="1155">
        <f t="shared" si="4"/>
        <v>2976.0625</v>
      </c>
      <c r="AY18" s="2054" t="s">
        <v>261</v>
      </c>
      <c r="AZ18" s="263" t="s">
        <v>7</v>
      </c>
      <c r="BA18" s="161" t="s">
        <v>255</v>
      </c>
      <c r="BB18" s="1746">
        <v>1151.0815</v>
      </c>
      <c r="BC18" s="1746">
        <v>2298.8245000000002</v>
      </c>
      <c r="BD18" s="1746">
        <v>2884.89</v>
      </c>
      <c r="BE18" s="1746">
        <v>3492.0479999999998</v>
      </c>
      <c r="BF18" s="1155">
        <f t="shared" ref="BF18:BF25" si="10">SUM(BB18:BE18)</f>
        <v>9826.844000000001</v>
      </c>
      <c r="BG18" s="2"/>
      <c r="BH18" s="211"/>
      <c r="BJ18" s="2071" t="s">
        <v>261</v>
      </c>
      <c r="BK18" s="844" t="s">
        <v>7</v>
      </c>
      <c r="BL18" s="842" t="s">
        <v>255</v>
      </c>
      <c r="BM18" s="1749">
        <v>16449.5</v>
      </c>
      <c r="BN18" s="1749">
        <v>6499.5</v>
      </c>
      <c r="BO18" s="1749">
        <v>36629</v>
      </c>
      <c r="BP18" s="1749">
        <v>39267</v>
      </c>
      <c r="BQ18" s="1155">
        <f t="shared" si="2"/>
        <v>98845</v>
      </c>
      <c r="BT18" s="2071" t="s">
        <v>261</v>
      </c>
      <c r="BU18" s="844" t="s">
        <v>7</v>
      </c>
      <c r="BV18" s="842" t="s">
        <v>255</v>
      </c>
      <c r="BW18">
        <v>1259.4000000000001</v>
      </c>
      <c r="BX18">
        <v>1698.3</v>
      </c>
      <c r="BY18">
        <v>4129.95</v>
      </c>
      <c r="BZ18">
        <v>4420.768</v>
      </c>
      <c r="CA18" s="1155">
        <f>SUM(BW18:BZ18)</f>
        <v>11508.418</v>
      </c>
      <c r="CE18" s="2071" t="s">
        <v>261</v>
      </c>
      <c r="CF18" s="844" t="s">
        <v>7</v>
      </c>
      <c r="CG18" s="842" t="s">
        <v>255</v>
      </c>
      <c r="CH18" s="130">
        <v>1259.4000000000001</v>
      </c>
      <c r="CI18" s="130">
        <v>1698.3</v>
      </c>
      <c r="CJ18" s="130">
        <v>4129.95</v>
      </c>
      <c r="CK18" s="130">
        <v>4420.768</v>
      </c>
      <c r="CL18" s="1750">
        <f>SUM(CH18:CK18)</f>
        <v>11508.418</v>
      </c>
      <c r="CP18" s="2071" t="s">
        <v>261</v>
      </c>
      <c r="CQ18" s="844" t="s">
        <v>7</v>
      </c>
      <c r="CR18" s="842" t="s">
        <v>255</v>
      </c>
      <c r="CS18" s="1196">
        <v>1265.5250000000001</v>
      </c>
      <c r="CT18" s="1197">
        <v>5470.7</v>
      </c>
      <c r="CU18" s="1197">
        <v>16610.849999999999</v>
      </c>
      <c r="CV18" s="1197">
        <v>19772.349999999999</v>
      </c>
      <c r="CW18" s="1198">
        <f t="shared" si="5"/>
        <v>43119.424999999996</v>
      </c>
      <c r="CZ18" s="2042" t="s">
        <v>261</v>
      </c>
      <c r="DA18" s="1310" t="s">
        <v>7</v>
      </c>
      <c r="DB18" s="1311" t="s">
        <v>255</v>
      </c>
      <c r="DC18" s="20">
        <v>1236.626</v>
      </c>
      <c r="DD18" s="20">
        <v>9621.2980000000007</v>
      </c>
      <c r="DE18" s="20">
        <v>26220.171999999999</v>
      </c>
      <c r="DF18" s="20">
        <v>38130.42</v>
      </c>
      <c r="DG18" s="1329">
        <f t="shared" si="8"/>
        <v>75208.516000000003</v>
      </c>
      <c r="DH18" s="35"/>
      <c r="DJ18" s="2042" t="s">
        <v>261</v>
      </c>
      <c r="DK18" s="1310" t="s">
        <v>7</v>
      </c>
      <c r="DL18" s="1311" t="s">
        <v>255</v>
      </c>
      <c r="DM18" s="20">
        <v>4505.17</v>
      </c>
      <c r="DN18" s="20">
        <v>484.63049999999998</v>
      </c>
      <c r="DO18" s="20">
        <v>12091.012000000001</v>
      </c>
      <c r="DP18" s="20">
        <v>1892.501</v>
      </c>
      <c r="DQ18" s="20">
        <f t="shared" si="6"/>
        <v>18973.3135</v>
      </c>
      <c r="DR18"/>
    </row>
    <row r="19" spans="1:122" ht="15" customHeight="1">
      <c r="B19" s="272"/>
      <c r="C19" s="265"/>
      <c r="D19" s="924" t="s">
        <v>256</v>
      </c>
      <c r="E19" s="743">
        <v>0</v>
      </c>
      <c r="F19" s="1747">
        <v>0</v>
      </c>
      <c r="G19" s="1747">
        <v>1</v>
      </c>
      <c r="H19" s="1747">
        <v>2</v>
      </c>
      <c r="I19" s="925">
        <f>SUM(E19:H19)</f>
        <v>3</v>
      </c>
      <c r="K19" s="1"/>
      <c r="L19" s="272"/>
      <c r="M19" s="265"/>
      <c r="N19" s="924" t="s">
        <v>256</v>
      </c>
      <c r="O19" s="1154">
        <v>1</v>
      </c>
      <c r="P19" s="1154">
        <v>7</v>
      </c>
      <c r="Q19" s="1154">
        <v>1</v>
      </c>
      <c r="R19" s="1154">
        <v>1</v>
      </c>
      <c r="S19" s="925">
        <f>SUM(O19:R19)</f>
        <v>10</v>
      </c>
      <c r="T19" s="1">
        <f>S19/S18*1000</f>
        <v>0.42715005016663765</v>
      </c>
      <c r="V19" s="2055"/>
      <c r="W19" s="265"/>
      <c r="X19" s="924" t="s">
        <v>256</v>
      </c>
      <c r="Y19" s="1741"/>
      <c r="Z19" s="1741"/>
      <c r="AA19" s="1742">
        <v>1</v>
      </c>
      <c r="AB19" s="1741"/>
      <c r="AC19" s="1743">
        <f t="shared" si="1"/>
        <v>1</v>
      </c>
      <c r="AD19" s="30">
        <f>AC19/AC18*1000</f>
        <v>2.6350461133069829</v>
      </c>
      <c r="AF19" s="2055"/>
      <c r="AG19" s="265"/>
      <c r="AH19" s="924" t="s">
        <v>256</v>
      </c>
      <c r="AI19" s="1748"/>
      <c r="AJ19" s="1748"/>
      <c r="AK19" s="1748"/>
      <c r="AL19" s="1748"/>
      <c r="AM19" s="1155">
        <v>2</v>
      </c>
      <c r="AN19" s="418">
        <f>AM19/AM18*1000</f>
        <v>9.1068062630785138E-2</v>
      </c>
      <c r="AP19" s="2055"/>
      <c r="AQ19" s="265"/>
      <c r="AR19" s="924" t="s">
        <v>256</v>
      </c>
      <c r="AS19">
        <v>3</v>
      </c>
      <c r="AT19">
        <v>0</v>
      </c>
      <c r="AU19">
        <v>0</v>
      </c>
      <c r="AV19">
        <v>1</v>
      </c>
      <c r="AW19" s="1155">
        <f t="shared" si="4"/>
        <v>4</v>
      </c>
      <c r="AX19" s="418">
        <f>AW19/AW18*1000</f>
        <v>1.3440577944851628</v>
      </c>
      <c r="AY19" s="2055"/>
      <c r="AZ19" s="265"/>
      <c r="BA19" s="924" t="s">
        <v>256</v>
      </c>
      <c r="BB19" t="s">
        <v>18</v>
      </c>
      <c r="BC19" t="s">
        <v>18</v>
      </c>
      <c r="BD19" t="s">
        <v>18</v>
      </c>
      <c r="BE19" s="1746">
        <v>1</v>
      </c>
      <c r="BF19" s="1155">
        <f t="shared" si="10"/>
        <v>1</v>
      </c>
      <c r="BG19" s="2">
        <f>BF19/BF18*1000</f>
        <v>0.10176207132218644</v>
      </c>
      <c r="BH19" s="211"/>
      <c r="BJ19" s="2072"/>
      <c r="BK19" s="845"/>
      <c r="BL19" s="853" t="s">
        <v>256</v>
      </c>
      <c r="BM19" s="836"/>
      <c r="BN19" s="836"/>
      <c r="BO19" s="836"/>
      <c r="BP19" s="836"/>
      <c r="BQ19" s="1155">
        <f t="shared" si="2"/>
        <v>0</v>
      </c>
      <c r="BR19" s="1">
        <f>BQ19/BQ18*1000</f>
        <v>0</v>
      </c>
      <c r="BT19" s="2072"/>
      <c r="BU19" s="845"/>
      <c r="BV19" s="853" t="s">
        <v>256</v>
      </c>
      <c r="BW19">
        <v>2</v>
      </c>
      <c r="BX19">
        <v>3</v>
      </c>
      <c r="BY19">
        <v>9</v>
      </c>
      <c r="BZ19">
        <v>7</v>
      </c>
      <c r="CA19" s="1155">
        <f t="shared" si="7"/>
        <v>21</v>
      </c>
      <c r="CB19" s="1">
        <f>CA19/CA18*1000</f>
        <v>1.8247512386150728</v>
      </c>
      <c r="CE19" s="2072"/>
      <c r="CF19" s="845"/>
      <c r="CG19" s="853" t="s">
        <v>256</v>
      </c>
      <c r="CH19" s="130">
        <v>2</v>
      </c>
      <c r="CI19" s="130">
        <v>3</v>
      </c>
      <c r="CJ19" s="130">
        <v>9</v>
      </c>
      <c r="CK19" s="130">
        <v>7</v>
      </c>
      <c r="CL19" s="1750">
        <f>SUM(CH19:CK19)</f>
        <v>21</v>
      </c>
      <c r="CM19" s="1">
        <f>CL19/CL18*1000</f>
        <v>1.8247512386150728</v>
      </c>
      <c r="CP19" s="2072"/>
      <c r="CQ19" s="845"/>
      <c r="CR19" s="853" t="s">
        <v>256</v>
      </c>
      <c r="CS19" s="806">
        <v>0</v>
      </c>
      <c r="CT19" s="1199">
        <v>1</v>
      </c>
      <c r="CU19" s="1199">
        <v>3</v>
      </c>
      <c r="CV19" s="1199">
        <v>4</v>
      </c>
      <c r="CW19" s="1200">
        <f>SUM(CS19:CV19)</f>
        <v>8</v>
      </c>
      <c r="CX19" s="30">
        <f>CW19/CW18*1000</f>
        <v>0.1855312309939198</v>
      </c>
      <c r="CZ19" s="2043"/>
      <c r="DA19" s="1312"/>
      <c r="DB19" s="1313" t="s">
        <v>256</v>
      </c>
      <c r="DC19">
        <v>146</v>
      </c>
      <c r="DD19">
        <v>396</v>
      </c>
      <c r="DE19">
        <v>617</v>
      </c>
      <c r="DF19">
        <v>371</v>
      </c>
      <c r="DG19" s="1330">
        <f t="shared" si="8"/>
        <v>1530</v>
      </c>
      <c r="DH19" s="35">
        <f>DG19/DG18*1000</f>
        <v>20.343440894379569</v>
      </c>
      <c r="DJ19" s="2043"/>
      <c r="DK19" s="1312"/>
      <c r="DL19" s="1313" t="s">
        <v>256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35">
        <f>DQ19/DQ18*1000</f>
        <v>0</v>
      </c>
    </row>
    <row r="20" spans="1:122" ht="12.75" customHeight="1">
      <c r="B20" s="272"/>
      <c r="C20" s="265"/>
      <c r="D20" s="924" t="s">
        <v>257</v>
      </c>
      <c r="E20" s="743">
        <v>0</v>
      </c>
      <c r="F20" s="1747">
        <v>0</v>
      </c>
      <c r="G20" s="1747">
        <v>51</v>
      </c>
      <c r="H20" s="1747">
        <v>63</v>
      </c>
      <c r="I20" s="925">
        <f>SUM(E20:H20)</f>
        <v>114</v>
      </c>
      <c r="K20" s="1"/>
      <c r="L20" s="272"/>
      <c r="M20" s="265"/>
      <c r="N20" s="924" t="s">
        <v>257</v>
      </c>
      <c r="O20" s="1154">
        <v>9</v>
      </c>
      <c r="P20" s="1154">
        <v>121</v>
      </c>
      <c r="Q20" s="1154">
        <v>79</v>
      </c>
      <c r="R20" s="1154">
        <v>48</v>
      </c>
      <c r="S20" s="925">
        <f>SUM(O20:R20)</f>
        <v>257</v>
      </c>
      <c r="V20" s="2055"/>
      <c r="W20" s="265"/>
      <c r="X20" s="924" t="s">
        <v>257</v>
      </c>
      <c r="Y20" s="1741"/>
      <c r="Z20" s="1741"/>
      <c r="AA20" s="1742">
        <v>36</v>
      </c>
      <c r="AB20" s="1741"/>
      <c r="AC20" s="1743">
        <f t="shared" si="1"/>
        <v>36</v>
      </c>
      <c r="AF20" s="2055"/>
      <c r="AG20" s="265"/>
      <c r="AH20" s="924" t="s">
        <v>257</v>
      </c>
      <c r="AI20" s="1748"/>
      <c r="AJ20" s="1748"/>
      <c r="AK20" s="1748"/>
      <c r="AL20" s="1748"/>
      <c r="AM20" s="1155">
        <v>137.24196008061887</v>
      </c>
      <c r="AP20" s="2055"/>
      <c r="AQ20" s="265"/>
      <c r="AR20" s="924" t="s">
        <v>257</v>
      </c>
      <c r="AS20">
        <v>74</v>
      </c>
      <c r="AT20">
        <v>0</v>
      </c>
      <c r="AU20">
        <v>0</v>
      </c>
      <c r="AV20">
        <v>46</v>
      </c>
      <c r="AW20" s="1155">
        <f t="shared" si="4"/>
        <v>120</v>
      </c>
      <c r="AY20" s="2055"/>
      <c r="AZ20" s="265"/>
      <c r="BA20" s="924" t="s">
        <v>257</v>
      </c>
      <c r="BB20" t="s">
        <v>18</v>
      </c>
      <c r="BC20" t="s">
        <v>18</v>
      </c>
      <c r="BD20" t="s">
        <v>18</v>
      </c>
      <c r="BE20" s="1746">
        <v>79</v>
      </c>
      <c r="BF20" s="1155">
        <f t="shared" si="10"/>
        <v>79</v>
      </c>
      <c r="BG20" s="2"/>
      <c r="BH20" s="211"/>
      <c r="BJ20" s="2072"/>
      <c r="BK20" s="845"/>
      <c r="BL20" s="853" t="s">
        <v>257</v>
      </c>
      <c r="BM20" s="836"/>
      <c r="BN20" s="836"/>
      <c r="BO20" s="836"/>
      <c r="BP20" s="836"/>
      <c r="BQ20" s="1155">
        <f t="shared" si="2"/>
        <v>0</v>
      </c>
      <c r="BT20" s="2072"/>
      <c r="BU20" s="845"/>
      <c r="BV20" s="853" t="s">
        <v>257</v>
      </c>
      <c r="BW20">
        <v>11</v>
      </c>
      <c r="BX20">
        <v>25</v>
      </c>
      <c r="BY20">
        <v>236</v>
      </c>
      <c r="BZ20">
        <v>117</v>
      </c>
      <c r="CA20" s="1155">
        <f t="shared" si="7"/>
        <v>389</v>
      </c>
      <c r="CE20" s="2072"/>
      <c r="CF20" s="845"/>
      <c r="CG20" s="853" t="s">
        <v>257</v>
      </c>
      <c r="CH20" s="130">
        <v>11</v>
      </c>
      <c r="CI20" s="130">
        <v>25</v>
      </c>
      <c r="CJ20" s="130">
        <v>236</v>
      </c>
      <c r="CK20" s="130">
        <v>117</v>
      </c>
      <c r="CL20" s="1750">
        <f>SUM(CH20:CK20)</f>
        <v>389</v>
      </c>
      <c r="CP20" s="2072"/>
      <c r="CQ20" s="845"/>
      <c r="CR20" s="853" t="s">
        <v>257</v>
      </c>
      <c r="CS20" s="806">
        <v>0</v>
      </c>
      <c r="CT20" s="1199">
        <v>71</v>
      </c>
      <c r="CU20" s="1199">
        <v>197</v>
      </c>
      <c r="CV20" s="1199">
        <v>187</v>
      </c>
      <c r="CW20" s="1200">
        <f>SUM(CS20:CV20)</f>
        <v>455</v>
      </c>
      <c r="CZ20" s="2043"/>
      <c r="DA20" s="1312"/>
      <c r="DB20" s="1313" t="s">
        <v>257</v>
      </c>
      <c r="DC20" s="1327">
        <v>3</v>
      </c>
      <c r="DD20" s="1328">
        <v>9</v>
      </c>
      <c r="DE20" s="1328">
        <v>11</v>
      </c>
      <c r="DF20" s="1328">
        <v>9</v>
      </c>
      <c r="DG20" s="1330">
        <f t="shared" si="8"/>
        <v>32</v>
      </c>
      <c r="DH20" s="35"/>
      <c r="DJ20" s="2043"/>
      <c r="DK20" s="1312"/>
      <c r="DL20" s="1313" t="s">
        <v>257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35"/>
    </row>
    <row r="21" spans="1:122" ht="13.5" customHeight="1" thickBot="1">
      <c r="A21" s="35"/>
      <c r="B21" s="273"/>
      <c r="C21" s="267"/>
      <c r="D21" s="926" t="s">
        <v>258</v>
      </c>
      <c r="E21" s="747"/>
      <c r="F21" s="748"/>
      <c r="G21" s="748"/>
      <c r="H21" s="748"/>
      <c r="I21" s="749"/>
      <c r="K21" s="1"/>
      <c r="L21" s="273"/>
      <c r="M21" s="267"/>
      <c r="N21" s="926" t="s">
        <v>258</v>
      </c>
      <c r="O21" s="745"/>
      <c r="P21" s="745"/>
      <c r="Q21" s="745"/>
      <c r="R21" s="745"/>
      <c r="S21" s="746"/>
      <c r="V21" s="2056"/>
      <c r="W21" s="267"/>
      <c r="X21" s="926" t="s">
        <v>258</v>
      </c>
      <c r="Y21" s="1743"/>
      <c r="Z21" s="1743"/>
      <c r="AA21" s="1743"/>
      <c r="AB21" s="1743"/>
      <c r="AC21" s="1743"/>
      <c r="AF21" s="2056"/>
      <c r="AG21" s="267"/>
      <c r="AH21" s="926" t="s">
        <v>258</v>
      </c>
      <c r="AI21" s="1748"/>
      <c r="AJ21" s="1748"/>
      <c r="AK21" s="1748"/>
      <c r="AL21" s="1748"/>
      <c r="AM21" s="1748"/>
      <c r="AP21" s="2056"/>
      <c r="AQ21" s="267"/>
      <c r="AR21" s="926" t="s">
        <v>258</v>
      </c>
      <c r="AS21" s="1748"/>
      <c r="AT21" s="1748"/>
      <c r="AU21" s="1748"/>
      <c r="AV21" s="1748"/>
      <c r="AW21" s="1155">
        <f t="shared" si="4"/>
        <v>0</v>
      </c>
      <c r="AY21" s="2056"/>
      <c r="AZ21" s="267"/>
      <c r="BA21" s="926" t="s">
        <v>258</v>
      </c>
      <c r="BB21" s="1748"/>
      <c r="BC21" s="1748"/>
      <c r="BD21" s="1748"/>
      <c r="BE21" s="1748"/>
      <c r="BF21" s="1155">
        <f t="shared" si="10"/>
        <v>0</v>
      </c>
      <c r="BG21" s="2"/>
      <c r="BH21" s="211"/>
      <c r="BJ21" s="2073"/>
      <c r="BK21" s="846"/>
      <c r="BL21" s="854" t="s">
        <v>258</v>
      </c>
      <c r="BM21" s="836"/>
      <c r="BN21" s="836"/>
      <c r="BO21" s="836"/>
      <c r="BP21" s="836"/>
      <c r="BQ21" s="1155">
        <f t="shared" si="2"/>
        <v>0</v>
      </c>
      <c r="BT21" s="2073"/>
      <c r="BU21" s="846"/>
      <c r="BV21" s="854" t="s">
        <v>258</v>
      </c>
      <c r="BW21" s="836"/>
      <c r="BX21" s="836"/>
      <c r="BY21" s="836"/>
      <c r="BZ21" s="836"/>
      <c r="CA21" s="1155">
        <f t="shared" si="7"/>
        <v>0</v>
      </c>
      <c r="CE21" s="2073"/>
      <c r="CF21" s="846"/>
      <c r="CG21" s="854" t="s">
        <v>258</v>
      </c>
      <c r="CH21" s="890"/>
      <c r="CI21" s="890"/>
      <c r="CJ21" s="890"/>
      <c r="CK21" s="890"/>
      <c r="CL21" s="1750">
        <f>SUM(CH21:CK21)</f>
        <v>0</v>
      </c>
      <c r="CP21" s="2073"/>
      <c r="CQ21" s="846"/>
      <c r="CR21" s="854" t="s">
        <v>258</v>
      </c>
      <c r="CS21" s="1181"/>
      <c r="CT21" s="1182"/>
      <c r="CU21" s="1182"/>
      <c r="CV21" s="1182"/>
      <c r="CW21" s="1183">
        <f>SUM(CS21:CV21)</f>
        <v>0</v>
      </c>
      <c r="CZ21" s="2044"/>
      <c r="DA21" s="1314"/>
      <c r="DB21" s="1315" t="s">
        <v>258</v>
      </c>
      <c r="DC21" s="1316"/>
      <c r="DD21" s="1317"/>
      <c r="DE21" s="1317"/>
      <c r="DF21" s="1317"/>
      <c r="DG21" s="1318">
        <f t="shared" ref="DG21:DG33" si="11">SUM(DC21:DF21)</f>
        <v>0</v>
      </c>
      <c r="DH21" s="35"/>
      <c r="DJ21" s="2044"/>
      <c r="DK21" s="1314"/>
      <c r="DL21" s="1315" t="s">
        <v>258</v>
      </c>
    </row>
    <row r="22" spans="1:122" ht="12.75" customHeight="1">
      <c r="A22" s="35"/>
      <c r="B22" s="271" t="s">
        <v>261</v>
      </c>
      <c r="C22" s="274" t="s">
        <v>22</v>
      </c>
      <c r="D22" s="167" t="s">
        <v>255</v>
      </c>
      <c r="E22" s="171">
        <v>797</v>
      </c>
      <c r="F22" s="163">
        <v>0</v>
      </c>
      <c r="G22" s="163">
        <v>1107</v>
      </c>
      <c r="H22" s="163">
        <v>1284</v>
      </c>
      <c r="I22" s="164">
        <f t="shared" ref="I22:I33" si="12">SUM(E22:H22)</f>
        <v>3188</v>
      </c>
      <c r="K22" s="1"/>
      <c r="L22" s="271" t="s">
        <v>261</v>
      </c>
      <c r="M22" s="274" t="s">
        <v>22</v>
      </c>
      <c r="N22" s="167" t="s">
        <v>255</v>
      </c>
      <c r="O22" s="322">
        <v>3068</v>
      </c>
      <c r="P22" s="323">
        <v>222</v>
      </c>
      <c r="Q22" s="323">
        <v>9718</v>
      </c>
      <c r="R22" s="323">
        <v>11335</v>
      </c>
      <c r="S22" s="324">
        <f>SUM(O22:R22)</f>
        <v>24343</v>
      </c>
      <c r="V22" s="2054" t="s">
        <v>261</v>
      </c>
      <c r="W22" s="274" t="s">
        <v>22</v>
      </c>
      <c r="X22" s="385" t="s">
        <v>255</v>
      </c>
      <c r="Y22" s="322">
        <v>12</v>
      </c>
      <c r="Z22" s="323">
        <v>209</v>
      </c>
      <c r="AA22">
        <v>6496</v>
      </c>
      <c r="AB22" s="323">
        <v>5499</v>
      </c>
      <c r="AC22" s="324">
        <f>SUM(Y22:AB22)</f>
        <v>12216</v>
      </c>
      <c r="AF22" s="2054" t="s">
        <v>261</v>
      </c>
      <c r="AG22" s="274" t="s">
        <v>22</v>
      </c>
      <c r="AH22" s="492" t="s">
        <v>255</v>
      </c>
      <c r="AI22" s="1752">
        <v>5885</v>
      </c>
      <c r="AJ22" s="1752">
        <v>0</v>
      </c>
      <c r="AK22" s="1644">
        <v>899</v>
      </c>
      <c r="AL22" s="1752">
        <v>4648</v>
      </c>
      <c r="AM22" s="1753">
        <f>SUM(AI22:AL22)</f>
        <v>11432</v>
      </c>
      <c r="AP22" s="2054" t="s">
        <v>261</v>
      </c>
      <c r="AQ22" s="274" t="s">
        <v>22</v>
      </c>
      <c r="AR22" s="492" t="s">
        <v>255</v>
      </c>
      <c r="AS22" s="341">
        <v>1602</v>
      </c>
      <c r="AT22" s="342">
        <v>39</v>
      </c>
      <c r="AU22" s="508">
        <v>4423</v>
      </c>
      <c r="AV22" s="342">
        <v>4442</v>
      </c>
      <c r="AW22" s="509">
        <f>SUM(AS22:AV22)</f>
        <v>10506</v>
      </c>
      <c r="AY22" s="2054" t="s">
        <v>261</v>
      </c>
      <c r="AZ22" s="274" t="s">
        <v>22</v>
      </c>
      <c r="BA22" s="492" t="s">
        <v>255</v>
      </c>
      <c r="BB22" s="606">
        <v>3517</v>
      </c>
      <c r="BC22" s="332">
        <v>0</v>
      </c>
      <c r="BD22" s="332">
        <v>4214</v>
      </c>
      <c r="BE22" s="342">
        <v>5402</v>
      </c>
      <c r="BF22" s="509">
        <f t="shared" si="10"/>
        <v>13133</v>
      </c>
      <c r="BG22" s="2"/>
      <c r="BH22" s="604"/>
      <c r="BJ22" s="2071" t="s">
        <v>261</v>
      </c>
      <c r="BK22" s="847" t="s">
        <v>22</v>
      </c>
      <c r="BL22" s="848" t="s">
        <v>255</v>
      </c>
      <c r="BM22" s="859">
        <v>3478</v>
      </c>
      <c r="BN22" s="858">
        <v>0</v>
      </c>
      <c r="BO22" s="858">
        <v>0</v>
      </c>
      <c r="BP22" s="857">
        <v>0</v>
      </c>
      <c r="BQ22" s="1155">
        <f t="shared" si="2"/>
        <v>3478</v>
      </c>
      <c r="BT22" s="2071" t="s">
        <v>261</v>
      </c>
      <c r="BU22" s="847" t="s">
        <v>22</v>
      </c>
      <c r="BV22" s="848" t="s">
        <v>255</v>
      </c>
      <c r="BW22" s="606">
        <v>0</v>
      </c>
      <c r="BX22" s="332">
        <v>0</v>
      </c>
      <c r="BY22" s="332">
        <v>895</v>
      </c>
      <c r="BZ22" s="1055">
        <v>4815</v>
      </c>
      <c r="CA22" s="1056">
        <f>SUM(BW22:BZ22)</f>
        <v>5710</v>
      </c>
      <c r="CE22" s="2071" t="s">
        <v>261</v>
      </c>
      <c r="CF22" s="847" t="s">
        <v>22</v>
      </c>
      <c r="CG22" s="848" t="s">
        <v>255</v>
      </c>
      <c r="CH22" s="1078">
        <v>0</v>
      </c>
      <c r="CI22" s="1079">
        <v>0</v>
      </c>
      <c r="CJ22" s="1079">
        <v>1159.6320489786726</v>
      </c>
      <c r="CK22" s="1080">
        <v>2680.9520925951711</v>
      </c>
      <c r="CL22" s="1081">
        <f>SUM(CH22:CK22)</f>
        <v>3840.5841415738437</v>
      </c>
      <c r="CP22" s="2071" t="s">
        <v>261</v>
      </c>
      <c r="CQ22" s="847" t="s">
        <v>22</v>
      </c>
      <c r="CR22" s="848" t="s">
        <v>255</v>
      </c>
      <c r="CS22" s="1201">
        <v>0</v>
      </c>
      <c r="CT22" s="1202">
        <v>535</v>
      </c>
      <c r="CU22" s="1202">
        <v>8200</v>
      </c>
      <c r="CV22" s="1203">
        <v>4546</v>
      </c>
      <c r="CW22" s="1204">
        <v>13281</v>
      </c>
      <c r="CZ22" s="2042" t="s">
        <v>261</v>
      </c>
      <c r="DA22" s="1331" t="s">
        <v>22</v>
      </c>
      <c r="DB22" s="1332" t="s">
        <v>255</v>
      </c>
      <c r="DC22" s="606">
        <v>0</v>
      </c>
      <c r="DD22" s="332">
        <v>558</v>
      </c>
      <c r="DE22" s="332">
        <v>2816</v>
      </c>
      <c r="DF22" s="1055">
        <v>9101</v>
      </c>
      <c r="DG22" s="1333">
        <f t="shared" si="11"/>
        <v>12475</v>
      </c>
      <c r="DH22" s="35"/>
      <c r="DJ22" s="2042" t="s">
        <v>261</v>
      </c>
      <c r="DK22" s="1331" t="s">
        <v>22</v>
      </c>
      <c r="DL22" s="1332" t="s">
        <v>255</v>
      </c>
      <c r="DM22" s="606">
        <v>0</v>
      </c>
      <c r="DN22" s="606">
        <v>0</v>
      </c>
      <c r="DO22" s="606">
        <v>0</v>
      </c>
      <c r="DP22" s="606">
        <v>1754</v>
      </c>
      <c r="DQ22" s="1066">
        <f>SUM(DM22:DP22)</f>
        <v>1754</v>
      </c>
    </row>
    <row r="23" spans="1:122">
      <c r="A23" s="35"/>
      <c r="B23" s="272"/>
      <c r="C23" s="275"/>
      <c r="D23" s="168" t="s">
        <v>256</v>
      </c>
      <c r="E23" s="743">
        <v>0</v>
      </c>
      <c r="F23" s="1747">
        <v>0</v>
      </c>
      <c r="G23" s="1747">
        <v>0</v>
      </c>
      <c r="H23" s="1747">
        <v>79</v>
      </c>
      <c r="I23" s="925">
        <f t="shared" si="12"/>
        <v>79</v>
      </c>
      <c r="K23" s="1"/>
      <c r="L23" s="272"/>
      <c r="M23" s="275"/>
      <c r="N23" s="168" t="s">
        <v>256</v>
      </c>
      <c r="O23" s="325">
        <v>85</v>
      </c>
      <c r="P23" s="326">
        <v>0</v>
      </c>
      <c r="Q23" s="326">
        <v>65</v>
      </c>
      <c r="R23" s="326">
        <v>76</v>
      </c>
      <c r="S23" s="327">
        <f>SUM(O23:R23)</f>
        <v>226</v>
      </c>
      <c r="T23" s="1">
        <f>S23/S22*1000</f>
        <v>9.2839830752166943</v>
      </c>
      <c r="V23" s="2055"/>
      <c r="W23" s="275"/>
      <c r="X23" s="386" t="s">
        <v>256</v>
      </c>
      <c r="Y23">
        <v>4</v>
      </c>
      <c r="Z23">
        <v>0</v>
      </c>
      <c r="AA23" s="325">
        <v>48</v>
      </c>
      <c r="AB23" s="326">
        <v>73</v>
      </c>
      <c r="AC23" s="327">
        <f>SUM(Y23:AB23)</f>
        <v>125</v>
      </c>
      <c r="AD23" s="418">
        <f>AC23/AC22*1000</f>
        <v>10.232481990831696</v>
      </c>
      <c r="AF23" s="2055"/>
      <c r="AG23" s="275"/>
      <c r="AH23" s="168" t="s">
        <v>256</v>
      </c>
      <c r="AI23" s="1754">
        <v>26</v>
      </c>
      <c r="AJ23" s="1754"/>
      <c r="AK23" s="1752">
        <v>12</v>
      </c>
      <c r="AL23" s="1752">
        <v>90</v>
      </c>
      <c r="AM23" s="1753">
        <f>SUM(AI23:AL23)</f>
        <v>128</v>
      </c>
      <c r="AN23" s="418">
        <f>AM23/AM22*1000</f>
        <v>11.196641007697689</v>
      </c>
      <c r="AP23" s="2055"/>
      <c r="AQ23" s="275"/>
      <c r="AR23" s="168" t="s">
        <v>256</v>
      </c>
      <c r="AS23" s="510">
        <v>33</v>
      </c>
      <c r="AT23" s="510"/>
      <c r="AU23" s="344">
        <v>46</v>
      </c>
      <c r="AV23" s="345">
        <v>24</v>
      </c>
      <c r="AW23" s="511">
        <f>SUM(AS23:AV23)</f>
        <v>103</v>
      </c>
      <c r="AX23" s="418">
        <f>AW23/AW22*1000</f>
        <v>9.8039215686274517</v>
      </c>
      <c r="AY23" s="2055"/>
      <c r="AZ23" s="275"/>
      <c r="BA23" s="168" t="s">
        <v>256</v>
      </c>
      <c r="BB23" s="510">
        <v>59</v>
      </c>
      <c r="BC23" s="510">
        <v>0</v>
      </c>
      <c r="BD23" s="344">
        <v>47</v>
      </c>
      <c r="BE23" s="345">
        <v>51</v>
      </c>
      <c r="BF23" s="511">
        <f t="shared" si="10"/>
        <v>157</v>
      </c>
      <c r="BG23" s="2">
        <f>BF23/BF22*1000</f>
        <v>11.954618137516182</v>
      </c>
      <c r="BH23" s="604"/>
      <c r="BJ23" s="2072"/>
      <c r="BK23" s="849"/>
      <c r="BL23" s="850" t="s">
        <v>256</v>
      </c>
      <c r="BM23" s="860">
        <v>28</v>
      </c>
      <c r="BN23" s="858">
        <v>0</v>
      </c>
      <c r="BO23" s="858">
        <v>0</v>
      </c>
      <c r="BP23" s="857">
        <v>0</v>
      </c>
      <c r="BQ23" s="1155">
        <f t="shared" si="2"/>
        <v>28</v>
      </c>
      <c r="BR23" s="1">
        <f>BQ23/BQ22*1000</f>
        <v>8.0506037952846476</v>
      </c>
      <c r="BT23" s="2072"/>
      <c r="BU23" s="849"/>
      <c r="BV23" s="850" t="s">
        <v>256</v>
      </c>
      <c r="BW23" s="606">
        <v>0</v>
      </c>
      <c r="BX23" s="332">
        <v>0</v>
      </c>
      <c r="BY23" s="1057">
        <v>11</v>
      </c>
      <c r="BZ23" s="1058">
        <v>62</v>
      </c>
      <c r="CA23" s="1059">
        <f>SUM(BW23:BZ23)</f>
        <v>73</v>
      </c>
      <c r="CB23" s="1">
        <f>CA23/CA22*1000</f>
        <v>12.784588441331</v>
      </c>
      <c r="CE23" s="2072"/>
      <c r="CF23" s="849"/>
      <c r="CG23" s="850" t="s">
        <v>256</v>
      </c>
      <c r="CH23" s="1078">
        <v>0</v>
      </c>
      <c r="CI23" s="1079">
        <v>0</v>
      </c>
      <c r="CJ23" s="1082">
        <v>24</v>
      </c>
      <c r="CK23" s="1083">
        <v>78</v>
      </c>
      <c r="CL23" s="1084">
        <v>102</v>
      </c>
      <c r="CM23" s="1">
        <f>CL23/CL22*1000</f>
        <v>26.558459921724598</v>
      </c>
      <c r="CP23" s="2072"/>
      <c r="CQ23" s="849"/>
      <c r="CR23" s="850" t="s">
        <v>256</v>
      </c>
      <c r="CS23" s="1205">
        <v>0</v>
      </c>
      <c r="CT23" s="1145">
        <v>0</v>
      </c>
      <c r="CU23" s="1206">
        <v>42</v>
      </c>
      <c r="CV23" s="1206">
        <v>62</v>
      </c>
      <c r="CW23" s="1207">
        <v>102</v>
      </c>
      <c r="CX23" s="30">
        <f>CW23/CW22*1000</f>
        <v>7.6801445674271518</v>
      </c>
      <c r="CZ23" s="2043"/>
      <c r="DA23" s="1334"/>
      <c r="DB23" s="1335" t="s">
        <v>256</v>
      </c>
      <c r="DC23" s="606">
        <v>0</v>
      </c>
      <c r="DD23" s="332">
        <v>0</v>
      </c>
      <c r="DE23" s="1057">
        <v>5</v>
      </c>
      <c r="DF23" s="1336">
        <v>15</v>
      </c>
      <c r="DG23" s="1337">
        <f t="shared" si="11"/>
        <v>20</v>
      </c>
      <c r="DH23" s="35">
        <f>DG23/DG22*1000</f>
        <v>1.6032064128256514</v>
      </c>
      <c r="DJ23" s="2043"/>
      <c r="DK23" s="1334"/>
      <c r="DL23" s="1335" t="s">
        <v>256</v>
      </c>
      <c r="DM23" s="606">
        <v>0</v>
      </c>
      <c r="DN23" s="606">
        <v>0</v>
      </c>
      <c r="DO23" s="606">
        <v>0</v>
      </c>
      <c r="DP23" s="606">
        <v>20</v>
      </c>
      <c r="DQ23" s="1059">
        <f>SUM(DM23:DP23)</f>
        <v>20</v>
      </c>
      <c r="DR23" s="35">
        <f>DQ23/DQ22*1000</f>
        <v>11.402508551881414</v>
      </c>
    </row>
    <row r="24" spans="1:122" ht="12.75" customHeight="1">
      <c r="A24" s="35"/>
      <c r="B24" s="272"/>
      <c r="C24" s="275"/>
      <c r="D24" s="168" t="s">
        <v>257</v>
      </c>
      <c r="E24" s="743">
        <v>0</v>
      </c>
      <c r="F24" s="1747">
        <v>0</v>
      </c>
      <c r="G24" s="1747">
        <v>0</v>
      </c>
      <c r="H24" s="1747">
        <v>12117</v>
      </c>
      <c r="I24" s="925">
        <f t="shared" si="12"/>
        <v>12117</v>
      </c>
      <c r="K24" s="1"/>
      <c r="L24" s="272"/>
      <c r="M24" s="275"/>
      <c r="N24" s="168" t="s">
        <v>257</v>
      </c>
      <c r="O24" s="325">
        <v>20888</v>
      </c>
      <c r="P24" s="326">
        <v>0</v>
      </c>
      <c r="Q24" s="326">
        <v>19034</v>
      </c>
      <c r="R24" s="326">
        <v>26384</v>
      </c>
      <c r="S24" s="327">
        <f>SUM(O24:R24)</f>
        <v>66306</v>
      </c>
      <c r="V24" s="2055"/>
      <c r="W24" s="275"/>
      <c r="X24" s="386" t="s">
        <v>257</v>
      </c>
      <c r="Y24">
        <v>567</v>
      </c>
      <c r="Z24">
        <v>0</v>
      </c>
      <c r="AA24" s="325">
        <v>10401</v>
      </c>
      <c r="AB24" s="326">
        <v>11777</v>
      </c>
      <c r="AC24" s="327">
        <f>SUM(Y24:AB24)</f>
        <v>22745</v>
      </c>
      <c r="AF24" s="2055"/>
      <c r="AG24" s="275"/>
      <c r="AH24" s="168" t="s">
        <v>257</v>
      </c>
      <c r="AI24" s="1754">
        <v>6945</v>
      </c>
      <c r="AJ24" s="1754"/>
      <c r="AK24" s="1752">
        <v>3420</v>
      </c>
      <c r="AL24" s="1752">
        <v>13443</v>
      </c>
      <c r="AM24" s="1753">
        <f>SUM(AI24:AL24)</f>
        <v>23808</v>
      </c>
      <c r="AP24" s="2055"/>
      <c r="AQ24" s="275"/>
      <c r="AR24" s="168" t="s">
        <v>257</v>
      </c>
      <c r="AS24" s="510">
        <v>10345</v>
      </c>
      <c r="AT24" s="510"/>
      <c r="AU24" s="344">
        <v>9203</v>
      </c>
      <c r="AV24" s="345">
        <v>3362</v>
      </c>
      <c r="AW24" s="511">
        <f>SUM(AS24:AV24)</f>
        <v>22910</v>
      </c>
      <c r="AY24" s="2055"/>
      <c r="AZ24" s="275"/>
      <c r="BA24" s="168" t="s">
        <v>257</v>
      </c>
      <c r="BB24" s="510">
        <v>15778</v>
      </c>
      <c r="BC24" s="510">
        <v>0</v>
      </c>
      <c r="BD24" s="344">
        <v>9486</v>
      </c>
      <c r="BE24" s="345">
        <v>8474</v>
      </c>
      <c r="BF24" s="511">
        <f t="shared" si="10"/>
        <v>33738</v>
      </c>
      <c r="BG24" s="2"/>
      <c r="BH24" s="604"/>
      <c r="BJ24" s="2072"/>
      <c r="BK24" s="849"/>
      <c r="BL24" s="850" t="s">
        <v>257</v>
      </c>
      <c r="BM24" s="860">
        <v>5209</v>
      </c>
      <c r="BN24" s="858">
        <v>0</v>
      </c>
      <c r="BO24" s="858">
        <v>0</v>
      </c>
      <c r="BP24" s="857">
        <v>0</v>
      </c>
      <c r="BQ24" s="1155">
        <f t="shared" si="2"/>
        <v>5209</v>
      </c>
      <c r="BT24" s="2072"/>
      <c r="BU24" s="849"/>
      <c r="BV24" s="850" t="s">
        <v>257</v>
      </c>
      <c r="BW24" s="606">
        <v>0</v>
      </c>
      <c r="BX24" s="332">
        <v>0</v>
      </c>
      <c r="BY24" s="1057">
        <v>1159</v>
      </c>
      <c r="BZ24" s="1058">
        <v>16671</v>
      </c>
      <c r="CA24" s="1059">
        <f>SUM(BW24:BZ24)</f>
        <v>17830</v>
      </c>
      <c r="CE24" s="2072"/>
      <c r="CF24" s="849"/>
      <c r="CG24" s="850" t="s">
        <v>257</v>
      </c>
      <c r="CH24" s="1085">
        <v>0</v>
      </c>
      <c r="CI24" s="1086">
        <v>0</v>
      </c>
      <c r="CJ24" s="1087">
        <v>1582</v>
      </c>
      <c r="CK24" s="1083">
        <v>13090</v>
      </c>
      <c r="CL24" s="1084">
        <f t="shared" ref="CL24:CL33" si="13">SUM(CH24:CK24)</f>
        <v>14672</v>
      </c>
      <c r="CP24" s="2072"/>
      <c r="CQ24" s="849"/>
      <c r="CR24" s="850" t="s">
        <v>257</v>
      </c>
      <c r="CS24" s="1205">
        <v>0</v>
      </c>
      <c r="CT24" s="1145">
        <v>0</v>
      </c>
      <c r="CU24" s="1206">
        <v>11029</v>
      </c>
      <c r="CV24" s="1206">
        <v>13087</v>
      </c>
      <c r="CW24" s="1207">
        <v>24116</v>
      </c>
      <c r="CZ24" s="2043"/>
      <c r="DA24" s="1334"/>
      <c r="DB24" s="1335" t="s">
        <v>257</v>
      </c>
      <c r="DC24" s="606">
        <v>0</v>
      </c>
      <c r="DD24" s="332">
        <v>0</v>
      </c>
      <c r="DE24" s="1057">
        <v>1210</v>
      </c>
      <c r="DF24" s="1336">
        <v>503</v>
      </c>
      <c r="DG24" s="1337">
        <f t="shared" si="11"/>
        <v>1713</v>
      </c>
      <c r="DH24" s="35"/>
      <c r="DJ24" s="2043"/>
      <c r="DK24" s="1334"/>
      <c r="DL24" s="1335" t="s">
        <v>257</v>
      </c>
      <c r="DM24" s="606">
        <v>0</v>
      </c>
      <c r="DN24" s="606">
        <v>0</v>
      </c>
      <c r="DO24" s="606">
        <v>0</v>
      </c>
      <c r="DP24" s="606">
        <v>2955</v>
      </c>
      <c r="DQ24" s="1059">
        <f>SUM(DM24:DP24)</f>
        <v>2955</v>
      </c>
    </row>
    <row r="25" spans="1:122" ht="13.8" thickBot="1">
      <c r="A25" s="35"/>
      <c r="B25" s="273"/>
      <c r="C25" s="276"/>
      <c r="D25" s="169" t="s">
        <v>258</v>
      </c>
      <c r="E25" s="744"/>
      <c r="F25" s="745"/>
      <c r="G25" s="745">
        <v>479</v>
      </c>
      <c r="H25" s="745">
        <v>653</v>
      </c>
      <c r="I25" s="746">
        <f t="shared" si="12"/>
        <v>1132</v>
      </c>
      <c r="K25" s="1"/>
      <c r="L25" s="273"/>
      <c r="M25" s="276"/>
      <c r="N25" s="169" t="s">
        <v>258</v>
      </c>
      <c r="O25" s="328">
        <v>598</v>
      </c>
      <c r="P25" s="329">
        <v>0</v>
      </c>
      <c r="Q25" s="329">
        <v>672</v>
      </c>
      <c r="R25" s="329">
        <v>1176</v>
      </c>
      <c r="S25" s="330">
        <f>SUM(O25:R25)</f>
        <v>2446</v>
      </c>
      <c r="V25" s="2056"/>
      <c r="W25" s="276"/>
      <c r="X25" s="387" t="s">
        <v>258</v>
      </c>
      <c r="Y25" s="328">
        <v>0</v>
      </c>
      <c r="Z25" s="348">
        <v>0</v>
      </c>
      <c r="AA25" s="329">
        <v>468</v>
      </c>
      <c r="AB25" s="329">
        <v>598</v>
      </c>
      <c r="AC25" s="330">
        <f>SUM(Y25:AB25)</f>
        <v>1066</v>
      </c>
      <c r="AF25" s="2056"/>
      <c r="AG25" s="276"/>
      <c r="AH25" s="493" t="s">
        <v>258</v>
      </c>
      <c r="AI25" s="1752">
        <v>257</v>
      </c>
      <c r="AJ25" s="1752"/>
      <c r="AK25" s="1752">
        <v>453</v>
      </c>
      <c r="AL25" s="1752">
        <v>542</v>
      </c>
      <c r="AM25" s="1755">
        <f>SUM(AI25:AL25)</f>
        <v>1252</v>
      </c>
      <c r="AP25" s="2056"/>
      <c r="AQ25" s="276"/>
      <c r="AR25" s="493" t="s">
        <v>258</v>
      </c>
      <c r="AS25" s="347">
        <v>172</v>
      </c>
      <c r="AT25" s="348"/>
      <c r="AU25" s="348">
        <v>365</v>
      </c>
      <c r="AV25" s="348">
        <v>533</v>
      </c>
      <c r="AW25" s="512">
        <f>SUM(AS25:AV25)</f>
        <v>1070</v>
      </c>
      <c r="AY25" s="2056"/>
      <c r="AZ25" s="276"/>
      <c r="BA25" s="493" t="s">
        <v>258</v>
      </c>
      <c r="BB25" s="607">
        <v>510</v>
      </c>
      <c r="BC25" s="608">
        <v>0</v>
      </c>
      <c r="BD25" s="608">
        <v>492</v>
      </c>
      <c r="BE25" s="608">
        <v>880</v>
      </c>
      <c r="BF25" s="609">
        <f t="shared" si="10"/>
        <v>1882</v>
      </c>
      <c r="BH25" s="697"/>
      <c r="BJ25" s="2073"/>
      <c r="BK25" s="851"/>
      <c r="BL25" s="852" t="s">
        <v>258</v>
      </c>
      <c r="BM25" s="834">
        <v>347</v>
      </c>
      <c r="BN25" s="858">
        <v>0</v>
      </c>
      <c r="BO25" s="858">
        <v>0</v>
      </c>
      <c r="BP25" s="857">
        <v>0</v>
      </c>
      <c r="BQ25" s="1155">
        <f t="shared" si="2"/>
        <v>347</v>
      </c>
      <c r="BT25" s="2073"/>
      <c r="BU25" s="851"/>
      <c r="BV25" s="852" t="s">
        <v>258</v>
      </c>
      <c r="BW25" s="1060">
        <v>0</v>
      </c>
      <c r="BX25" s="1061">
        <v>0</v>
      </c>
      <c r="BY25" s="1061">
        <v>110</v>
      </c>
      <c r="BZ25" s="1061">
        <v>1300</v>
      </c>
      <c r="CA25" s="1062">
        <f>SUM(BW25:BZ25)</f>
        <v>1410</v>
      </c>
      <c r="CE25" s="2073"/>
      <c r="CF25" s="851"/>
      <c r="CG25" s="852" t="s">
        <v>258</v>
      </c>
      <c r="CH25" s="1060">
        <v>0</v>
      </c>
      <c r="CI25" s="1061">
        <v>0</v>
      </c>
      <c r="CJ25" s="1061">
        <v>222</v>
      </c>
      <c r="CK25" s="1061">
        <v>621</v>
      </c>
      <c r="CL25" s="1067">
        <f t="shared" si="13"/>
        <v>843</v>
      </c>
      <c r="CP25" s="2073"/>
      <c r="CQ25" s="851"/>
      <c r="CR25" s="852" t="s">
        <v>258</v>
      </c>
      <c r="CS25" s="1208">
        <v>0</v>
      </c>
      <c r="CT25" s="1209">
        <v>0</v>
      </c>
      <c r="CU25" s="1209">
        <v>376</v>
      </c>
      <c r="CV25" s="1209">
        <v>782</v>
      </c>
      <c r="CW25" s="1210">
        <v>1158</v>
      </c>
      <c r="CZ25" s="2044"/>
      <c r="DA25" s="1338"/>
      <c r="DB25" s="1339" t="s">
        <v>258</v>
      </c>
      <c r="DC25" s="1060">
        <v>0</v>
      </c>
      <c r="DD25" s="1061">
        <v>0</v>
      </c>
      <c r="DE25" s="1061">
        <v>107</v>
      </c>
      <c r="DF25" s="1061">
        <v>141</v>
      </c>
      <c r="DG25" s="1340">
        <f t="shared" si="11"/>
        <v>248</v>
      </c>
      <c r="DH25" s="35"/>
      <c r="DJ25" s="2044"/>
      <c r="DK25" s="1338"/>
      <c r="DL25" s="1339" t="s">
        <v>258</v>
      </c>
      <c r="DM25" s="1060">
        <v>150</v>
      </c>
      <c r="DN25" s="1061">
        <v>0</v>
      </c>
      <c r="DO25" s="1061">
        <v>0</v>
      </c>
      <c r="DP25" s="1061">
        <v>617</v>
      </c>
      <c r="DQ25" s="1059">
        <f>SUM(DM25:DP25)</f>
        <v>767</v>
      </c>
    </row>
    <row r="26" spans="1:122" ht="12.75" customHeight="1">
      <c r="B26" s="277" t="s">
        <v>29</v>
      </c>
      <c r="C26" s="278" t="s">
        <v>29</v>
      </c>
      <c r="D26" s="170" t="s">
        <v>255</v>
      </c>
      <c r="E26" s="184">
        <v>19150.625199999999</v>
      </c>
      <c r="F26" s="183">
        <v>27832.107519999998</v>
      </c>
      <c r="G26" s="183">
        <v>12187.027719999998</v>
      </c>
      <c r="H26" s="183">
        <v>8895.5834800000011</v>
      </c>
      <c r="I26" s="185">
        <f t="shared" si="12"/>
        <v>68065.343919999999</v>
      </c>
      <c r="J26" s="2">
        <f>+I26+I30</f>
        <v>85416.343919999999</v>
      </c>
      <c r="K26" s="1"/>
      <c r="L26" s="277" t="s">
        <v>29</v>
      </c>
      <c r="M26" s="278" t="s">
        <v>29</v>
      </c>
      <c r="N26" s="170" t="s">
        <v>255</v>
      </c>
      <c r="O26" s="184"/>
      <c r="P26" s="183"/>
      <c r="Q26" s="183"/>
      <c r="R26" s="183"/>
      <c r="S26" s="185"/>
      <c r="T26" s="2">
        <f>+S26+S30</f>
        <v>21768</v>
      </c>
      <c r="V26" s="2048" t="s">
        <v>29</v>
      </c>
      <c r="W26" s="278" t="s">
        <v>29</v>
      </c>
      <c r="X26" s="170" t="s">
        <v>255</v>
      </c>
      <c r="Y26" s="415"/>
      <c r="Z26" s="416"/>
      <c r="AA26" s="416"/>
      <c r="AB26" s="416"/>
      <c r="AC26" s="417"/>
      <c r="AF26" s="2048" t="s">
        <v>29</v>
      </c>
      <c r="AG26" s="278" t="s">
        <v>29</v>
      </c>
      <c r="AH26" s="170" t="s">
        <v>255</v>
      </c>
      <c r="AI26" s="1756"/>
      <c r="AJ26" s="1756"/>
      <c r="AK26" s="1756"/>
      <c r="AL26" s="1756"/>
      <c r="AM26" s="1756"/>
      <c r="AP26" s="2048" t="s">
        <v>29</v>
      </c>
      <c r="AQ26" s="278" t="s">
        <v>29</v>
      </c>
      <c r="AR26" s="170" t="s">
        <v>255</v>
      </c>
      <c r="AS26" s="1756"/>
      <c r="AT26" s="1756"/>
      <c r="AU26" s="1756"/>
      <c r="AV26" s="1756"/>
      <c r="AW26" s="1155">
        <f t="shared" si="4"/>
        <v>0</v>
      </c>
      <c r="AY26" s="2048" t="s">
        <v>29</v>
      </c>
      <c r="AZ26" s="278" t="s">
        <v>29</v>
      </c>
      <c r="BA26" s="170" t="s">
        <v>255</v>
      </c>
      <c r="BB26" s="1">
        <v>6637.8887999999997</v>
      </c>
      <c r="BC26" s="1">
        <v>10421.40228</v>
      </c>
      <c r="BD26" s="1">
        <v>8916.1492799999996</v>
      </c>
      <c r="BE26" s="1">
        <v>4064.94</v>
      </c>
      <c r="BF26" s="1757">
        <f>SUM(BB26:BE26)</f>
        <v>30040.380359999999</v>
      </c>
      <c r="BH26" s="211"/>
      <c r="BJ26" s="2048" t="s">
        <v>29</v>
      </c>
      <c r="BK26" s="278" t="s">
        <v>29</v>
      </c>
      <c r="BL26" s="1758" t="s">
        <v>255</v>
      </c>
      <c r="BM26" s="1759">
        <v>6555.9008399999993</v>
      </c>
      <c r="BN26" s="1759">
        <v>12596.0406</v>
      </c>
      <c r="BO26" s="1759">
        <v>6030.1651199999997</v>
      </c>
      <c r="BP26" s="1759">
        <v>3611.6842799999999</v>
      </c>
      <c r="BQ26" s="1155">
        <f t="shared" si="2"/>
        <v>28793.790840000001</v>
      </c>
      <c r="BT26" s="2048" t="s">
        <v>29</v>
      </c>
      <c r="BU26" s="278" t="s">
        <v>29</v>
      </c>
      <c r="BV26" s="1758" t="s">
        <v>255</v>
      </c>
      <c r="BW26" s="1199"/>
      <c r="BX26" s="1199"/>
      <c r="BY26" s="1199" t="s">
        <v>18</v>
      </c>
      <c r="BZ26" s="1155" t="s">
        <v>18</v>
      </c>
      <c r="CA26" s="2">
        <v>41921.547259835439</v>
      </c>
      <c r="CC26" s="1090"/>
      <c r="CE26" s="2048" t="s">
        <v>29</v>
      </c>
      <c r="CF26" s="278" t="s">
        <v>29</v>
      </c>
      <c r="CG26" s="1758" t="s">
        <v>255</v>
      </c>
      <c r="CH26" s="1199">
        <v>4605.3757574773299</v>
      </c>
      <c r="CI26" s="1199">
        <v>8474.1120112321369</v>
      </c>
      <c r="CJ26" s="1199">
        <v>5064.0604222791526</v>
      </c>
      <c r="CK26" s="1155">
        <v>3816.2631646436726</v>
      </c>
      <c r="CL26" s="1067">
        <f t="shared" si="13"/>
        <v>21959.81135563229</v>
      </c>
      <c r="CP26" s="2048" t="s">
        <v>29</v>
      </c>
      <c r="CQ26" s="278" t="s">
        <v>29</v>
      </c>
      <c r="CR26" s="1758" t="s">
        <v>255</v>
      </c>
      <c r="CS26" s="1234"/>
      <c r="CT26" s="1190" t="s">
        <v>18</v>
      </c>
      <c r="CU26" s="1190" t="s">
        <v>18</v>
      </c>
      <c r="CV26" s="1235" t="s">
        <v>18</v>
      </c>
      <c r="CW26" s="1236" t="s">
        <v>18</v>
      </c>
      <c r="CZ26" s="2045" t="s">
        <v>29</v>
      </c>
      <c r="DA26" s="1341" t="s">
        <v>29</v>
      </c>
      <c r="DB26" s="1342" t="s">
        <v>255</v>
      </c>
      <c r="DC26" s="1343"/>
      <c r="DD26" s="1343" t="s">
        <v>18</v>
      </c>
      <c r="DE26" s="1343" t="s">
        <v>18</v>
      </c>
      <c r="DF26" s="1344" t="s">
        <v>18</v>
      </c>
      <c r="DG26" s="1345">
        <f t="shared" si="11"/>
        <v>0</v>
      </c>
      <c r="DH26" s="35"/>
      <c r="DJ26" s="2045" t="s">
        <v>29</v>
      </c>
      <c r="DK26" s="1341" t="s">
        <v>29</v>
      </c>
      <c r="DL26" s="1342" t="s">
        <v>255</v>
      </c>
      <c r="DM26" s="1944"/>
      <c r="DN26" s="1945"/>
      <c r="DO26" s="1946"/>
      <c r="DP26" s="1946"/>
      <c r="DQ26" s="1947"/>
    </row>
    <row r="27" spans="1:122">
      <c r="B27" s="279"/>
      <c r="C27" s="280"/>
      <c r="D27" s="929" t="s">
        <v>256</v>
      </c>
      <c r="E27" s="743">
        <v>10</v>
      </c>
      <c r="F27" s="1747">
        <v>5</v>
      </c>
      <c r="G27" s="1747">
        <v>6</v>
      </c>
      <c r="H27" s="1747">
        <v>20</v>
      </c>
      <c r="I27" s="925">
        <f t="shared" si="12"/>
        <v>41</v>
      </c>
      <c r="J27" s="2">
        <f>+I27+I31</f>
        <v>110</v>
      </c>
      <c r="K27" s="1">
        <f>+J27/J26*1000</f>
        <v>1.2878097440347573</v>
      </c>
      <c r="L27" s="279"/>
      <c r="M27" s="280"/>
      <c r="N27" s="929" t="s">
        <v>256</v>
      </c>
      <c r="O27" s="743"/>
      <c r="P27" s="1747"/>
      <c r="Q27" s="1747"/>
      <c r="R27" s="1747"/>
      <c r="S27" s="925"/>
      <c r="T27" s="2">
        <f>+S27+S31</f>
        <v>9</v>
      </c>
      <c r="U27" s="1">
        <f>+T27/T26*1000</f>
        <v>0.41345093715545755</v>
      </c>
      <c r="V27" s="2049"/>
      <c r="W27" s="280"/>
      <c r="X27" s="929" t="s">
        <v>256</v>
      </c>
      <c r="Y27" s="750"/>
      <c r="Z27" s="1743"/>
      <c r="AA27" s="1743"/>
      <c r="AB27" s="1743"/>
      <c r="AC27" s="930"/>
      <c r="AF27" s="2049"/>
      <c r="AG27" s="280"/>
      <c r="AH27" s="929" t="s">
        <v>256</v>
      </c>
      <c r="AI27" s="1756"/>
      <c r="AJ27" s="1756"/>
      <c r="AK27" s="1756"/>
      <c r="AL27" s="1756"/>
      <c r="AM27" s="1756"/>
      <c r="AP27" s="2049"/>
      <c r="AQ27" s="280"/>
      <c r="AR27" s="929" t="s">
        <v>256</v>
      </c>
      <c r="AS27" s="1756"/>
      <c r="AT27" s="1756"/>
      <c r="AU27" s="1756"/>
      <c r="AV27" s="1756"/>
      <c r="AW27" s="1155">
        <f t="shared" si="4"/>
        <v>0</v>
      </c>
      <c r="AY27" s="2049"/>
      <c r="AZ27" s="280"/>
      <c r="BA27" s="929" t="s">
        <v>256</v>
      </c>
      <c r="BB27" s="1760"/>
      <c r="BC27" s="1760"/>
      <c r="BD27" s="1760"/>
      <c r="BE27" s="1760"/>
      <c r="BF27" s="1757">
        <v>2</v>
      </c>
      <c r="BG27" s="35">
        <f>BF27/BF26*1000</f>
        <v>6.6577053154196486E-2</v>
      </c>
      <c r="BH27" s="211"/>
      <c r="BJ27" s="2049"/>
      <c r="BK27" s="280"/>
      <c r="BL27" s="1758" t="s">
        <v>256</v>
      </c>
      <c r="BM27" s="1134"/>
      <c r="BN27" s="1134"/>
      <c r="BO27" s="1134"/>
      <c r="BP27" s="1134"/>
      <c r="BQ27" s="1155">
        <f t="shared" si="2"/>
        <v>0</v>
      </c>
      <c r="BT27" s="2049"/>
      <c r="BU27" s="280"/>
      <c r="BV27" s="1758" t="s">
        <v>256</v>
      </c>
      <c r="BW27" s="1199"/>
      <c r="BX27" s="1199"/>
      <c r="BY27" s="1199"/>
      <c r="BZ27" s="1199"/>
      <c r="CA27" s="1155">
        <v>726.48</v>
      </c>
      <c r="CB27" s="418">
        <f>CA27/CA26*1000</f>
        <v>17.329513042473799</v>
      </c>
      <c r="CC27" s="1090"/>
      <c r="CE27" s="2049"/>
      <c r="CF27" s="280"/>
      <c r="CG27" s="1758" t="s">
        <v>256</v>
      </c>
      <c r="CH27" s="1199"/>
      <c r="CI27" s="1199"/>
      <c r="CJ27" s="1199"/>
      <c r="CK27" s="1199"/>
      <c r="CL27" s="1067">
        <f t="shared" si="13"/>
        <v>0</v>
      </c>
      <c r="CM27" s="418">
        <f>CL27/CL26*1000</f>
        <v>0</v>
      </c>
      <c r="CP27" s="2049"/>
      <c r="CQ27" s="280"/>
      <c r="CR27" s="1758" t="s">
        <v>256</v>
      </c>
      <c r="CS27" s="1199"/>
      <c r="CT27" s="1199"/>
      <c r="CU27" s="1199"/>
      <c r="CV27" s="1199"/>
      <c r="CW27" s="1067" t="s">
        <v>18</v>
      </c>
      <c r="CX27" s="30" t="s">
        <v>18</v>
      </c>
      <c r="CZ27" s="2046"/>
      <c r="DA27" s="1346"/>
      <c r="DB27" s="1342" t="s">
        <v>256</v>
      </c>
      <c r="DC27" s="1328"/>
      <c r="DD27" s="1328"/>
      <c r="DE27" s="1328">
        <v>7</v>
      </c>
      <c r="DF27" s="1328"/>
      <c r="DG27" s="1347">
        <f t="shared" si="11"/>
        <v>7</v>
      </c>
      <c r="DH27" s="35" t="s">
        <v>18</v>
      </c>
      <c r="DJ27" s="2046"/>
      <c r="DK27" s="1346"/>
      <c r="DL27" s="1342" t="s">
        <v>256</v>
      </c>
      <c r="DM27" s="2090"/>
      <c r="DN27" s="2091"/>
      <c r="DO27" s="2091"/>
      <c r="DP27" s="2091"/>
      <c r="DQ27" s="2092"/>
    </row>
    <row r="28" spans="1:122" ht="12.75" customHeight="1">
      <c r="B28" s="279"/>
      <c r="C28" s="280"/>
      <c r="D28" s="929" t="s">
        <v>257</v>
      </c>
      <c r="E28" s="743">
        <v>152</v>
      </c>
      <c r="F28" s="1747">
        <v>375</v>
      </c>
      <c r="G28" s="1747">
        <v>671</v>
      </c>
      <c r="H28" s="1747">
        <v>1485</v>
      </c>
      <c r="I28" s="925">
        <f t="shared" si="12"/>
        <v>2683</v>
      </c>
      <c r="J28" s="2">
        <f>+I28+I32</f>
        <v>23857</v>
      </c>
      <c r="K28" s="1"/>
      <c r="L28" s="279"/>
      <c r="M28" s="280"/>
      <c r="N28" s="929" t="s">
        <v>257</v>
      </c>
      <c r="O28" s="743"/>
      <c r="P28" s="1747"/>
      <c r="Q28" s="1747"/>
      <c r="R28" s="1747"/>
      <c r="S28" s="925"/>
      <c r="T28" s="2">
        <f>+S28+S32</f>
        <v>1870</v>
      </c>
      <c r="V28" s="2049"/>
      <c r="W28" s="280"/>
      <c r="X28" s="929" t="s">
        <v>257</v>
      </c>
      <c r="Y28" s="750"/>
      <c r="Z28" s="1743"/>
      <c r="AA28" s="1743"/>
      <c r="AB28" s="1743"/>
      <c r="AC28" s="930"/>
      <c r="AF28" s="2049"/>
      <c r="AG28" s="280"/>
      <c r="AH28" s="929" t="s">
        <v>257</v>
      </c>
      <c r="AI28" s="1756"/>
      <c r="AJ28" s="1756"/>
      <c r="AK28" s="1756"/>
      <c r="AL28" s="1756"/>
      <c r="AM28" s="1756"/>
      <c r="AP28" s="2049"/>
      <c r="AQ28" s="280"/>
      <c r="AR28" s="929" t="s">
        <v>257</v>
      </c>
      <c r="AS28" s="1756"/>
      <c r="AT28" s="1756"/>
      <c r="AU28" s="1756"/>
      <c r="AV28" s="1756"/>
      <c r="AW28" s="1155">
        <f t="shared" si="4"/>
        <v>0</v>
      </c>
      <c r="AY28" s="2049"/>
      <c r="AZ28" s="280"/>
      <c r="BA28" s="929" t="s">
        <v>257</v>
      </c>
      <c r="BB28" s="1760"/>
      <c r="BC28" s="1760"/>
      <c r="BD28" s="1760"/>
      <c r="BE28" s="1760"/>
      <c r="BF28" s="1757">
        <v>91</v>
      </c>
      <c r="BH28" s="211"/>
      <c r="BJ28" s="2049"/>
      <c r="BK28" s="280"/>
      <c r="BL28" s="1758" t="s">
        <v>257</v>
      </c>
      <c r="BM28" s="1134"/>
      <c r="BN28" s="1134"/>
      <c r="BO28" s="1134"/>
      <c r="BP28" s="1134"/>
      <c r="BQ28" s="1155">
        <f t="shared" si="2"/>
        <v>0</v>
      </c>
      <c r="BT28" s="2049"/>
      <c r="BU28" s="280"/>
      <c r="BV28" s="1758" t="s">
        <v>257</v>
      </c>
      <c r="BW28" s="1199">
        <v>696</v>
      </c>
      <c r="BX28" s="1199">
        <v>3405</v>
      </c>
      <c r="BY28" s="1199">
        <v>4</v>
      </c>
      <c r="BZ28" s="1199">
        <v>0</v>
      </c>
      <c r="CA28" s="1155">
        <v>4105</v>
      </c>
      <c r="CE28" s="2049"/>
      <c r="CF28" s="280"/>
      <c r="CG28" s="1758" t="s">
        <v>257</v>
      </c>
      <c r="CH28" s="1199" t="s">
        <v>18</v>
      </c>
      <c r="CI28" s="1199" t="s">
        <v>18</v>
      </c>
      <c r="CJ28" s="1199" t="s">
        <v>18</v>
      </c>
      <c r="CK28" s="1199" t="s">
        <v>18</v>
      </c>
      <c r="CL28" s="1067">
        <f t="shared" si="13"/>
        <v>0</v>
      </c>
      <c r="CM28" s="1" t="s">
        <v>18</v>
      </c>
      <c r="CP28" s="2049"/>
      <c r="CQ28" s="280"/>
      <c r="CR28" s="1758" t="s">
        <v>257</v>
      </c>
      <c r="CS28" s="1199" t="s">
        <v>18</v>
      </c>
      <c r="CT28" s="1199" t="s">
        <v>18</v>
      </c>
      <c r="CU28" s="1199" t="s">
        <v>18</v>
      </c>
      <c r="CV28" s="1199" t="s">
        <v>18</v>
      </c>
      <c r="CW28" s="1067" t="s">
        <v>18</v>
      </c>
      <c r="CX28" s="1" t="s">
        <v>18</v>
      </c>
      <c r="CZ28" s="2046"/>
      <c r="DA28" s="1346"/>
      <c r="DB28" s="1342" t="s">
        <v>257</v>
      </c>
      <c r="DC28" s="1328" t="s">
        <v>18</v>
      </c>
      <c r="DD28" s="1328" t="s">
        <v>18</v>
      </c>
      <c r="DE28" s="1328" t="s">
        <v>18</v>
      </c>
      <c r="DF28" s="1328" t="s">
        <v>18</v>
      </c>
      <c r="DG28" s="1347">
        <f t="shared" si="11"/>
        <v>0</v>
      </c>
      <c r="DH28" s="35" t="s">
        <v>18</v>
      </c>
      <c r="DJ28" s="2046"/>
      <c r="DK28" s="1346"/>
      <c r="DL28" s="1342" t="s">
        <v>257</v>
      </c>
    </row>
    <row r="29" spans="1:122" ht="13.8" thickBot="1">
      <c r="B29" s="281"/>
      <c r="C29" s="282"/>
      <c r="D29" s="931" t="s">
        <v>258</v>
      </c>
      <c r="E29" s="747"/>
      <c r="F29" s="748"/>
      <c r="G29" s="748"/>
      <c r="H29" s="748"/>
      <c r="I29" s="749">
        <f t="shared" si="12"/>
        <v>0</v>
      </c>
      <c r="L29" s="281"/>
      <c r="M29" s="282"/>
      <c r="N29" s="931" t="s">
        <v>258</v>
      </c>
      <c r="O29" s="747"/>
      <c r="P29" s="748"/>
      <c r="Q29" s="748"/>
      <c r="R29" s="748"/>
      <c r="S29" s="749"/>
      <c r="V29" s="2050"/>
      <c r="W29" s="282"/>
      <c r="X29" s="931" t="s">
        <v>258</v>
      </c>
      <c r="Y29" s="751"/>
      <c r="Z29" s="752"/>
      <c r="AA29" s="752"/>
      <c r="AB29" s="752"/>
      <c r="AC29" s="753"/>
      <c r="AF29" s="2050"/>
      <c r="AG29" s="282"/>
      <c r="AH29" s="931" t="s">
        <v>258</v>
      </c>
      <c r="AI29" s="1756"/>
      <c r="AJ29" s="1756"/>
      <c r="AK29" s="1756"/>
      <c r="AL29" s="1756"/>
      <c r="AM29" s="1756"/>
      <c r="AP29" s="2050"/>
      <c r="AQ29" s="282"/>
      <c r="AR29" s="931" t="s">
        <v>258</v>
      </c>
      <c r="AS29" s="1756"/>
      <c r="AT29" s="1756"/>
      <c r="AU29" s="1756"/>
      <c r="AV29" s="1756"/>
      <c r="AW29" s="1155">
        <f t="shared" si="4"/>
        <v>0</v>
      </c>
      <c r="AY29" s="2050"/>
      <c r="AZ29" s="282"/>
      <c r="BA29" s="931" t="s">
        <v>258</v>
      </c>
      <c r="BB29" s="1760"/>
      <c r="BC29" s="1760"/>
      <c r="BD29" s="1760"/>
      <c r="BE29" s="1760"/>
      <c r="BF29" s="1757">
        <f>SUM(BB29:BE29)</f>
        <v>0</v>
      </c>
      <c r="BH29" s="211"/>
      <c r="BJ29" s="2050"/>
      <c r="BK29" s="282"/>
      <c r="BL29" s="1758" t="s">
        <v>258</v>
      </c>
      <c r="BM29" s="1134"/>
      <c r="BN29" s="1134"/>
      <c r="BO29" s="1134"/>
      <c r="BP29" s="1134"/>
      <c r="BQ29" s="1155">
        <f t="shared" si="2"/>
        <v>0</v>
      </c>
      <c r="BT29" s="2050"/>
      <c r="BU29" s="282"/>
      <c r="BV29" s="1758" t="s">
        <v>258</v>
      </c>
      <c r="BW29" s="1199"/>
      <c r="BX29" s="1199"/>
      <c r="BY29" s="1199"/>
      <c r="BZ29" s="1199"/>
      <c r="CA29" s="1155">
        <f>SUM(BW29:BZ29)</f>
        <v>0</v>
      </c>
      <c r="CE29" s="2050"/>
      <c r="CF29" s="282"/>
      <c r="CG29" s="1758" t="s">
        <v>258</v>
      </c>
      <c r="CH29" s="1199"/>
      <c r="CI29" s="1199"/>
      <c r="CJ29" s="1199"/>
      <c r="CK29" s="1199"/>
      <c r="CL29" s="1067">
        <f t="shared" si="13"/>
        <v>0</v>
      </c>
      <c r="CP29" s="2050"/>
      <c r="CQ29" s="282"/>
      <c r="CR29" s="1758" t="s">
        <v>258</v>
      </c>
      <c r="CS29" s="1199"/>
      <c r="CT29" s="1199"/>
      <c r="CU29" s="1199"/>
      <c r="CV29" s="1199"/>
      <c r="CW29" s="1067" t="s">
        <v>18</v>
      </c>
      <c r="CZ29" s="2047"/>
      <c r="DA29" s="1348"/>
      <c r="DB29" s="1342" t="s">
        <v>258</v>
      </c>
      <c r="DC29" s="1328"/>
      <c r="DD29" s="1328"/>
      <c r="DE29" s="1328"/>
      <c r="DF29" s="1328"/>
      <c r="DG29" s="1347">
        <f t="shared" si="11"/>
        <v>0</v>
      </c>
      <c r="DH29" s="2"/>
      <c r="DJ29" s="2047"/>
      <c r="DK29" s="1348"/>
      <c r="DL29" s="1342" t="s">
        <v>258</v>
      </c>
    </row>
    <row r="30" spans="1:122">
      <c r="B30" s="277" t="s">
        <v>29</v>
      </c>
      <c r="C30" s="274" t="s">
        <v>22</v>
      </c>
      <c r="D30" s="170" t="s">
        <v>255</v>
      </c>
      <c r="E30" s="171">
        <v>6782</v>
      </c>
      <c r="F30" s="163">
        <v>7833</v>
      </c>
      <c r="G30" s="163">
        <v>1068</v>
      </c>
      <c r="H30" s="163">
        <v>1668</v>
      </c>
      <c r="I30" s="164">
        <f t="shared" si="12"/>
        <v>17351</v>
      </c>
      <c r="L30" s="277" t="s">
        <v>29</v>
      </c>
      <c r="M30" s="274" t="s">
        <v>22</v>
      </c>
      <c r="N30" s="170" t="s">
        <v>255</v>
      </c>
      <c r="O30" s="331">
        <v>10863</v>
      </c>
      <c r="P30" s="332">
        <v>8378</v>
      </c>
      <c r="Q30" s="332">
        <v>1225</v>
      </c>
      <c r="R30" s="332">
        <v>1302</v>
      </c>
      <c r="S30" s="333">
        <f>SUM(O30:R30)</f>
        <v>21768</v>
      </c>
      <c r="V30" s="2048" t="s">
        <v>29</v>
      </c>
      <c r="W30" s="274" t="s">
        <v>22</v>
      </c>
      <c r="X30" s="170" t="s">
        <v>255</v>
      </c>
      <c r="Y30" s="331">
        <v>4778</v>
      </c>
      <c r="Z30" s="332">
        <v>6335</v>
      </c>
      <c r="AA30" s="332">
        <v>2701</v>
      </c>
      <c r="AB30" s="332">
        <v>3335</v>
      </c>
      <c r="AC30" s="333">
        <v>17149</v>
      </c>
      <c r="AF30" s="2048" t="s">
        <v>29</v>
      </c>
      <c r="AG30" s="274" t="s">
        <v>22</v>
      </c>
      <c r="AH30" s="170" t="s">
        <v>255</v>
      </c>
      <c r="AI30" s="1761">
        <v>5191</v>
      </c>
      <c r="AJ30" s="1761">
        <v>3611</v>
      </c>
      <c r="AK30" s="1761">
        <v>450</v>
      </c>
      <c r="AL30" s="1761">
        <v>1390</v>
      </c>
      <c r="AM30" s="1761">
        <v>10642</v>
      </c>
      <c r="AP30" s="2048" t="s">
        <v>29</v>
      </c>
      <c r="AQ30" s="274" t="s">
        <v>22</v>
      </c>
      <c r="AR30" s="170" t="s">
        <v>255</v>
      </c>
      <c r="AS30" s="513">
        <v>1205</v>
      </c>
      <c r="AT30" s="514">
        <v>738</v>
      </c>
      <c r="AU30" s="514">
        <v>1107</v>
      </c>
      <c r="AV30" s="514">
        <v>2308</v>
      </c>
      <c r="AW30" s="515">
        <f>SUM(AS30:AV30)</f>
        <v>5358</v>
      </c>
      <c r="AY30" s="2048" t="s">
        <v>29</v>
      </c>
      <c r="AZ30" s="274" t="s">
        <v>22</v>
      </c>
      <c r="BA30" s="170" t="s">
        <v>255</v>
      </c>
      <c r="BB30" s="513">
        <v>308</v>
      </c>
      <c r="BC30" s="514">
        <v>1142</v>
      </c>
      <c r="BD30" s="514">
        <v>69</v>
      </c>
      <c r="BE30" s="514">
        <v>41</v>
      </c>
      <c r="BF30" s="515">
        <f>SUM(BB30:BE30)</f>
        <v>1560</v>
      </c>
      <c r="BH30" s="605"/>
      <c r="BJ30" s="2048" t="s">
        <v>29</v>
      </c>
      <c r="BK30" s="274" t="s">
        <v>22</v>
      </c>
      <c r="BL30" s="170" t="s">
        <v>255</v>
      </c>
      <c r="BM30" s="513">
        <v>473</v>
      </c>
      <c r="BN30" s="514">
        <v>1682</v>
      </c>
      <c r="BO30" s="514">
        <v>330</v>
      </c>
      <c r="BP30" s="514">
        <v>489</v>
      </c>
      <c r="BQ30" s="515">
        <f>SUM(BM30:BP30)</f>
        <v>2974</v>
      </c>
      <c r="BT30" s="2048" t="s">
        <v>29</v>
      </c>
      <c r="BU30" s="274" t="s">
        <v>22</v>
      </c>
      <c r="BV30" s="848" t="s">
        <v>255</v>
      </c>
      <c r="BW30" s="331">
        <v>5282</v>
      </c>
      <c r="BX30" s="332" t="e">
        <v>#REF!</v>
      </c>
      <c r="BY30" s="332">
        <v>316</v>
      </c>
      <c r="BZ30" s="332">
        <v>426</v>
      </c>
      <c r="CA30" s="333" t="e">
        <f>SUM(BW30:BZ30)</f>
        <v>#REF!</v>
      </c>
      <c r="CE30" s="2048" t="s">
        <v>29</v>
      </c>
      <c r="CF30" s="274" t="s">
        <v>22</v>
      </c>
      <c r="CG30" s="848" t="s">
        <v>255</v>
      </c>
      <c r="CH30" s="1088">
        <v>5568</v>
      </c>
      <c r="CI30" s="1079">
        <v>944</v>
      </c>
      <c r="CJ30" s="1079">
        <v>7</v>
      </c>
      <c r="CK30" s="1079">
        <v>0</v>
      </c>
      <c r="CL30" s="1067">
        <f t="shared" si="13"/>
        <v>6519</v>
      </c>
      <c r="CP30" s="2048" t="s">
        <v>29</v>
      </c>
      <c r="CQ30" s="274" t="s">
        <v>22</v>
      </c>
      <c r="CR30" s="848" t="s">
        <v>255</v>
      </c>
      <c r="CS30" s="1211">
        <v>6829</v>
      </c>
      <c r="CT30" s="1212">
        <v>2300</v>
      </c>
      <c r="CU30" s="1212">
        <v>3</v>
      </c>
      <c r="CV30" s="1212">
        <v>459</v>
      </c>
      <c r="CW30" s="1213">
        <v>9591</v>
      </c>
      <c r="CZ30" s="2045" t="s">
        <v>29</v>
      </c>
      <c r="DA30" s="1349" t="s">
        <v>22</v>
      </c>
      <c r="DB30" s="1332" t="s">
        <v>255</v>
      </c>
      <c r="DC30" s="331">
        <v>2348</v>
      </c>
      <c r="DD30" s="332">
        <v>82</v>
      </c>
      <c r="DE30" s="332">
        <v>0</v>
      </c>
      <c r="DF30" s="332">
        <v>225</v>
      </c>
      <c r="DG30" s="1350">
        <f t="shared" si="11"/>
        <v>2655</v>
      </c>
      <c r="DH30" s="2"/>
      <c r="DJ30" s="2045" t="s">
        <v>29</v>
      </c>
      <c r="DK30" s="1349" t="s">
        <v>22</v>
      </c>
      <c r="DL30" s="1332" t="s">
        <v>255</v>
      </c>
      <c r="DM30" s="879">
        <v>6545.3</v>
      </c>
      <c r="DN30" s="332">
        <v>2869.412917928571</v>
      </c>
      <c r="DO30" s="332">
        <v>493.5</v>
      </c>
      <c r="DP30" s="332">
        <v>0</v>
      </c>
      <c r="DQ30" s="333">
        <f>SUM(DM30:DP30)</f>
        <v>9908.2129179285712</v>
      </c>
    </row>
    <row r="31" spans="1:122">
      <c r="B31" s="279"/>
      <c r="C31" s="275"/>
      <c r="D31" s="929" t="s">
        <v>256</v>
      </c>
      <c r="E31" s="743">
        <v>0</v>
      </c>
      <c r="F31" s="1747">
        <v>44</v>
      </c>
      <c r="G31" s="1747">
        <v>0</v>
      </c>
      <c r="H31" s="1747">
        <v>25</v>
      </c>
      <c r="I31" s="925">
        <f t="shared" si="12"/>
        <v>69</v>
      </c>
      <c r="L31" s="279"/>
      <c r="M31" s="275"/>
      <c r="N31" s="929" t="s">
        <v>256</v>
      </c>
      <c r="O31" s="334">
        <v>0</v>
      </c>
      <c r="P31" s="335">
        <v>4</v>
      </c>
      <c r="Q31" s="336">
        <v>5</v>
      </c>
      <c r="R31" s="336">
        <v>0</v>
      </c>
      <c r="S31" s="337">
        <f>SUM(O31:R31)</f>
        <v>9</v>
      </c>
      <c r="T31" s="1">
        <f>S31/S30*1000</f>
        <v>0.41345093715545755</v>
      </c>
      <c r="V31" s="2049"/>
      <c r="W31" s="275"/>
      <c r="X31" s="929" t="s">
        <v>256</v>
      </c>
      <c r="Y31" s="334">
        <v>48</v>
      </c>
      <c r="Z31" s="335">
        <v>37</v>
      </c>
      <c r="AA31" s="336">
        <v>12</v>
      </c>
      <c r="AB31" s="336">
        <v>0</v>
      </c>
      <c r="AC31" s="337">
        <f>SUM(Y31:AB31)</f>
        <v>97</v>
      </c>
      <c r="AD31" s="418">
        <f>AC31/AC30*1000</f>
        <v>5.6563064901743543</v>
      </c>
      <c r="AF31" s="2049"/>
      <c r="AG31" s="275"/>
      <c r="AH31" s="929" t="s">
        <v>256</v>
      </c>
      <c r="AI31" s="1762">
        <v>0</v>
      </c>
      <c r="AJ31" s="1763">
        <v>6</v>
      </c>
      <c r="AK31" s="1762">
        <v>3</v>
      </c>
      <c r="AL31" s="1762">
        <v>0</v>
      </c>
      <c r="AM31" s="1761">
        <v>9</v>
      </c>
      <c r="AN31" s="418">
        <f>AM31/AM30*1000</f>
        <v>0.84570569441834242</v>
      </c>
      <c r="AP31" s="2049"/>
      <c r="AQ31" s="275"/>
      <c r="AR31" s="929" t="s">
        <v>256</v>
      </c>
      <c r="AS31" s="516"/>
      <c r="AT31" s="335">
        <v>4</v>
      </c>
      <c r="AU31" s="335">
        <v>3</v>
      </c>
      <c r="AV31" s="335"/>
      <c r="AW31" s="517">
        <f>SUM(AS31:AV31)</f>
        <v>7</v>
      </c>
      <c r="AX31" s="418">
        <f>AW31/AW30*1000</f>
        <v>1.3064576334453153</v>
      </c>
      <c r="AY31" s="2049"/>
      <c r="AZ31" s="275"/>
      <c r="BA31" s="929" t="s">
        <v>256</v>
      </c>
      <c r="BB31" s="516">
        <v>0</v>
      </c>
      <c r="BC31" s="335">
        <v>10</v>
      </c>
      <c r="BD31" s="335">
        <v>8</v>
      </c>
      <c r="BE31" s="335">
        <v>0</v>
      </c>
      <c r="BF31" s="517">
        <f>SUM(BB31:BE31)</f>
        <v>18</v>
      </c>
      <c r="BG31" s="2">
        <f>BF31/BF30*1000</f>
        <v>11.538461538461538</v>
      </c>
      <c r="BH31" s="605"/>
      <c r="BI31" s="418"/>
      <c r="BJ31" s="2049"/>
      <c r="BK31" s="275"/>
      <c r="BL31" s="929" t="s">
        <v>256</v>
      </c>
      <c r="BM31" s="516">
        <v>0</v>
      </c>
      <c r="BN31" s="335">
        <v>5</v>
      </c>
      <c r="BO31" s="335">
        <v>6</v>
      </c>
      <c r="BP31" s="335">
        <v>28</v>
      </c>
      <c r="BQ31" s="517">
        <f>SUM(BM31:BP31)</f>
        <v>39</v>
      </c>
      <c r="BR31" s="1">
        <f>BQ31/BQ30*1000</f>
        <v>13.113651647612643</v>
      </c>
      <c r="BT31" s="2049"/>
      <c r="BU31" s="275"/>
      <c r="BV31" s="850" t="s">
        <v>256</v>
      </c>
      <c r="BW31" s="334">
        <v>72</v>
      </c>
      <c r="BX31" s="336">
        <v>51</v>
      </c>
      <c r="BY31" s="336">
        <v>8</v>
      </c>
      <c r="BZ31" s="336">
        <v>12</v>
      </c>
      <c r="CA31" s="337">
        <v>143</v>
      </c>
      <c r="CB31" s="1" t="e">
        <f>CA31/CA30*1000</f>
        <v>#REF!</v>
      </c>
      <c r="CE31" s="2049"/>
      <c r="CF31" s="275"/>
      <c r="CG31" s="850" t="s">
        <v>256</v>
      </c>
      <c r="CH31" s="334">
        <v>90</v>
      </c>
      <c r="CI31" s="336">
        <v>47</v>
      </c>
      <c r="CJ31" s="336"/>
      <c r="CK31" s="336"/>
      <c r="CL31" s="337">
        <f t="shared" si="13"/>
        <v>137</v>
      </c>
      <c r="CM31" s="1">
        <f>CL31/CL30*1000</f>
        <v>21.015493173799662</v>
      </c>
      <c r="CP31" s="2049"/>
      <c r="CQ31" s="275"/>
      <c r="CR31" s="850" t="s">
        <v>256</v>
      </c>
      <c r="CS31" s="1214">
        <v>0</v>
      </c>
      <c r="CT31" s="1215">
        <v>3</v>
      </c>
      <c r="CU31" s="1215">
        <v>2</v>
      </c>
      <c r="CV31" s="1215">
        <v>20</v>
      </c>
      <c r="CW31" s="1216">
        <v>25</v>
      </c>
      <c r="CX31" s="30">
        <f>CW31/CW30*1000</f>
        <v>2.6066103638828069</v>
      </c>
      <c r="CZ31" s="2046"/>
      <c r="DA31" s="1351"/>
      <c r="DB31" s="1335" t="s">
        <v>256</v>
      </c>
      <c r="DC31" s="334">
        <v>12</v>
      </c>
      <c r="DD31" s="336">
        <v>4</v>
      </c>
      <c r="DE31" s="1352">
        <v>10</v>
      </c>
      <c r="DF31" s="1352">
        <v>3</v>
      </c>
      <c r="DG31" s="1347">
        <f t="shared" si="11"/>
        <v>29</v>
      </c>
      <c r="DH31" s="30">
        <f>DG31/DG30*1000</f>
        <v>10.922787193973633</v>
      </c>
      <c r="DJ31" s="2046"/>
      <c r="DK31" s="1351"/>
      <c r="DL31" s="1335" t="s">
        <v>256</v>
      </c>
      <c r="DM31" s="350">
        <v>0</v>
      </c>
      <c r="DN31" s="351">
        <v>0</v>
      </c>
      <c r="DO31" s="351">
        <v>0</v>
      </c>
      <c r="DP31" s="336">
        <v>0</v>
      </c>
      <c r="DQ31" s="337">
        <f>SUM(DM31:DP31)</f>
        <v>0</v>
      </c>
      <c r="DR31" s="35">
        <f>DQ31/DQ30*1000</f>
        <v>0</v>
      </c>
    </row>
    <row r="32" spans="1:122">
      <c r="B32" s="279"/>
      <c r="C32" s="275"/>
      <c r="D32" s="929" t="s">
        <v>257</v>
      </c>
      <c r="E32" s="743">
        <v>0</v>
      </c>
      <c r="F32" s="1747">
        <v>12881</v>
      </c>
      <c r="G32" s="1747">
        <v>0</v>
      </c>
      <c r="H32" s="1747">
        <v>8293</v>
      </c>
      <c r="I32" s="925">
        <f t="shared" si="12"/>
        <v>21174</v>
      </c>
      <c r="L32" s="279"/>
      <c r="M32" s="275"/>
      <c r="N32" s="929" t="s">
        <v>257</v>
      </c>
      <c r="O32" s="334">
        <v>0</v>
      </c>
      <c r="P32" s="335">
        <v>809</v>
      </c>
      <c r="Q32" s="336">
        <v>1061</v>
      </c>
      <c r="R32" s="336">
        <v>0</v>
      </c>
      <c r="S32" s="337">
        <f>SUM(O32:R32)</f>
        <v>1870</v>
      </c>
      <c r="V32" s="2049"/>
      <c r="W32" s="275"/>
      <c r="X32" s="929" t="s">
        <v>257</v>
      </c>
      <c r="Y32" s="334">
        <v>13811</v>
      </c>
      <c r="Z32" s="335">
        <v>10848</v>
      </c>
      <c r="AA32" s="336">
        <v>7732</v>
      </c>
      <c r="AB32" s="336">
        <v>0</v>
      </c>
      <c r="AC32" s="337">
        <f>SUM(Y32:AB32)</f>
        <v>32391</v>
      </c>
      <c r="AF32" s="2049"/>
      <c r="AG32" s="275"/>
      <c r="AH32" s="929" t="s">
        <v>257</v>
      </c>
      <c r="AI32" s="1762">
        <v>0</v>
      </c>
      <c r="AJ32" s="1763">
        <v>1826</v>
      </c>
      <c r="AK32" s="1762">
        <v>604</v>
      </c>
      <c r="AL32" s="1762">
        <v>0</v>
      </c>
      <c r="AM32" s="1761">
        <v>2430</v>
      </c>
      <c r="AP32" s="2049"/>
      <c r="AQ32" s="275"/>
      <c r="AR32" s="929" t="s">
        <v>257</v>
      </c>
      <c r="AS32" s="516"/>
      <c r="AT32" s="335">
        <v>1192</v>
      </c>
      <c r="AU32" s="335">
        <v>844</v>
      </c>
      <c r="AV32" s="335"/>
      <c r="AW32" s="517">
        <f>SUM(AS32:AV32)</f>
        <v>2036</v>
      </c>
      <c r="AY32" s="2049"/>
      <c r="AZ32" s="275"/>
      <c r="BA32" s="929" t="s">
        <v>257</v>
      </c>
      <c r="BB32" s="516">
        <v>0</v>
      </c>
      <c r="BC32" s="335">
        <v>1913</v>
      </c>
      <c r="BD32" s="335">
        <v>1063</v>
      </c>
      <c r="BE32" s="335">
        <v>0</v>
      </c>
      <c r="BF32" s="517">
        <f>SUM(BB32:BE32)</f>
        <v>2976</v>
      </c>
      <c r="BH32" s="605"/>
      <c r="BJ32" s="2049"/>
      <c r="BK32" s="275"/>
      <c r="BL32" s="929" t="s">
        <v>257</v>
      </c>
      <c r="BM32" s="516">
        <v>0</v>
      </c>
      <c r="BN32" s="335">
        <v>1125</v>
      </c>
      <c r="BO32" s="335">
        <v>931</v>
      </c>
      <c r="BP32" s="335">
        <v>5157</v>
      </c>
      <c r="BQ32" s="517">
        <f>SUM(BM32:BP32)</f>
        <v>7213</v>
      </c>
      <c r="BT32" s="2049"/>
      <c r="BU32" s="275"/>
      <c r="BV32" s="850" t="s">
        <v>257</v>
      </c>
      <c r="BW32" s="334">
        <f>14217+9685</f>
        <v>23902</v>
      </c>
      <c r="BX32" s="336">
        <f>1528+4438+1555</f>
        <v>7521</v>
      </c>
      <c r="BY32" s="336">
        <v>1043</v>
      </c>
      <c r="BZ32" s="336">
        <v>3526</v>
      </c>
      <c r="CA32" s="337">
        <v>35992</v>
      </c>
      <c r="CE32" s="2049"/>
      <c r="CF32" s="275"/>
      <c r="CG32" s="850" t="s">
        <v>257</v>
      </c>
      <c r="CH32" s="334">
        <v>29053</v>
      </c>
      <c r="CI32" s="336">
        <v>5088</v>
      </c>
      <c r="CJ32" s="336"/>
      <c r="CK32" s="336"/>
      <c r="CL32" s="337">
        <f t="shared" si="13"/>
        <v>34141</v>
      </c>
      <c r="CP32" s="2049"/>
      <c r="CQ32" s="275"/>
      <c r="CR32" s="850" t="s">
        <v>257</v>
      </c>
      <c r="CS32" s="1214">
        <v>0</v>
      </c>
      <c r="CT32" s="1215">
        <v>313</v>
      </c>
      <c r="CU32" s="1215">
        <v>17</v>
      </c>
      <c r="CV32" s="1215">
        <v>4631</v>
      </c>
      <c r="CW32" s="1216">
        <v>4961</v>
      </c>
      <c r="CZ32" s="2046"/>
      <c r="DA32" s="1351"/>
      <c r="DB32" s="1335" t="s">
        <v>257</v>
      </c>
      <c r="DC32" s="334">
        <v>3007</v>
      </c>
      <c r="DD32" s="336">
        <v>968</v>
      </c>
      <c r="DE32" s="1352">
        <v>0</v>
      </c>
      <c r="DF32" s="1352">
        <v>44</v>
      </c>
      <c r="DG32" s="1353">
        <f t="shared" si="11"/>
        <v>4019</v>
      </c>
      <c r="DJ32" s="2046"/>
      <c r="DK32" s="1351"/>
      <c r="DL32" s="1335" t="s">
        <v>257</v>
      </c>
      <c r="DM32" s="350">
        <v>0</v>
      </c>
      <c r="DN32" s="351">
        <v>0</v>
      </c>
      <c r="DO32" s="351">
        <v>0</v>
      </c>
      <c r="DP32" s="336">
        <v>0</v>
      </c>
      <c r="DQ32" s="337">
        <f t="shared" ref="DQ32:DQ33" si="14">SUM(DM32:DP32)</f>
        <v>0</v>
      </c>
    </row>
    <row r="33" spans="2:122" ht="13.8" thickBot="1">
      <c r="B33" s="281"/>
      <c r="C33" s="276"/>
      <c r="D33" s="931" t="s">
        <v>258</v>
      </c>
      <c r="E33" s="744">
        <v>0</v>
      </c>
      <c r="F33" s="745">
        <v>511</v>
      </c>
      <c r="G33" s="745">
        <v>0</v>
      </c>
      <c r="H33" s="745">
        <v>486</v>
      </c>
      <c r="I33" s="746">
        <f t="shared" si="12"/>
        <v>997</v>
      </c>
      <c r="L33" s="281"/>
      <c r="M33" s="276"/>
      <c r="N33" s="931" t="s">
        <v>258</v>
      </c>
      <c r="O33" s="338">
        <v>0</v>
      </c>
      <c r="P33" s="339">
        <v>124</v>
      </c>
      <c r="Q33" s="339">
        <v>142</v>
      </c>
      <c r="R33" s="339">
        <v>0</v>
      </c>
      <c r="S33" s="340">
        <f>SUM(O33:R33)</f>
        <v>266</v>
      </c>
      <c r="V33" s="2050"/>
      <c r="W33" s="276"/>
      <c r="X33" s="931" t="s">
        <v>258</v>
      </c>
      <c r="Y33" s="338">
        <v>419</v>
      </c>
      <c r="Z33" s="339">
        <v>426</v>
      </c>
      <c r="AA33" s="339">
        <v>261</v>
      </c>
      <c r="AB33" s="339">
        <v>0</v>
      </c>
      <c r="AC33" s="340">
        <f>SUM(Y33:AB33)</f>
        <v>1106</v>
      </c>
      <c r="AF33" s="2050"/>
      <c r="AG33" s="276"/>
      <c r="AH33" s="931" t="s">
        <v>258</v>
      </c>
      <c r="AI33" s="1762">
        <v>0</v>
      </c>
      <c r="AJ33" s="1762">
        <v>136</v>
      </c>
      <c r="AK33" s="1762">
        <v>105</v>
      </c>
      <c r="AL33" s="1762">
        <v>0</v>
      </c>
      <c r="AM33" s="1764">
        <v>241</v>
      </c>
      <c r="AP33" s="2050"/>
      <c r="AQ33" s="276"/>
      <c r="AR33" s="931" t="s">
        <v>258</v>
      </c>
      <c r="AS33" s="518"/>
      <c r="AT33" s="519">
        <v>85</v>
      </c>
      <c r="AU33" s="519">
        <v>94</v>
      </c>
      <c r="AV33" s="519"/>
      <c r="AW33" s="520">
        <f>SUM(AS33:AV33)</f>
        <v>179</v>
      </c>
      <c r="AY33" s="2050"/>
      <c r="AZ33" s="276"/>
      <c r="BA33" s="931" t="s">
        <v>258</v>
      </c>
      <c r="BB33" s="610">
        <v>0</v>
      </c>
      <c r="BC33" s="611">
        <v>195</v>
      </c>
      <c r="BD33" s="611">
        <v>127</v>
      </c>
      <c r="BE33" s="611">
        <v>0</v>
      </c>
      <c r="BF33" s="612">
        <f>SUM(BB33:BE33)</f>
        <v>322</v>
      </c>
      <c r="BH33" s="698"/>
      <c r="BJ33" s="2050"/>
      <c r="BK33" s="276"/>
      <c r="BL33" s="931" t="s">
        <v>258</v>
      </c>
      <c r="BM33" s="518">
        <v>0</v>
      </c>
      <c r="BN33" s="519">
        <v>65</v>
      </c>
      <c r="BO33" s="519">
        <v>87</v>
      </c>
      <c r="BP33" s="519">
        <v>312</v>
      </c>
      <c r="BQ33" s="520">
        <f>SUM(BM33:BP33)</f>
        <v>464</v>
      </c>
      <c r="BT33" s="2050"/>
      <c r="BU33" s="276"/>
      <c r="BV33" s="852" t="s">
        <v>258</v>
      </c>
      <c r="BW33" s="350">
        <v>469</v>
      </c>
      <c r="BX33" s="351">
        <v>560</v>
      </c>
      <c r="BY33" s="351">
        <v>159</v>
      </c>
      <c r="BZ33" s="351">
        <v>202</v>
      </c>
      <c r="CA33" s="1063">
        <f>SUM(BW33:BZ33)</f>
        <v>1390</v>
      </c>
      <c r="CE33" s="2050"/>
      <c r="CF33" s="276"/>
      <c r="CG33" s="852" t="s">
        <v>258</v>
      </c>
      <c r="CH33" s="350">
        <v>428</v>
      </c>
      <c r="CI33" s="351">
        <v>366</v>
      </c>
      <c r="CJ33" s="351"/>
      <c r="CK33" s="351"/>
      <c r="CL33" s="337">
        <f t="shared" si="13"/>
        <v>794</v>
      </c>
      <c r="CP33" s="2050"/>
      <c r="CQ33" s="276"/>
      <c r="CR33" s="852" t="s">
        <v>258</v>
      </c>
      <c r="CS33" s="1217">
        <v>0</v>
      </c>
      <c r="CT33" s="1218">
        <v>68</v>
      </c>
      <c r="CU33" s="1218">
        <v>151</v>
      </c>
      <c r="CV33" s="1218">
        <v>185</v>
      </c>
      <c r="CW33" s="1216">
        <v>404</v>
      </c>
      <c r="CZ33" s="2047"/>
      <c r="DA33" s="1354"/>
      <c r="DB33" s="1339" t="s">
        <v>258</v>
      </c>
      <c r="DC33" s="350">
        <v>138</v>
      </c>
      <c r="DD33" s="351">
        <v>142</v>
      </c>
      <c r="DE33" s="351">
        <v>78</v>
      </c>
      <c r="DF33" s="351">
        <v>0</v>
      </c>
      <c r="DG33" s="1353">
        <f t="shared" si="11"/>
        <v>358</v>
      </c>
      <c r="DJ33" s="2047"/>
      <c r="DK33" s="1354"/>
      <c r="DL33" s="1339" t="s">
        <v>258</v>
      </c>
      <c r="DM33" s="350">
        <v>113</v>
      </c>
      <c r="DN33" s="351">
        <v>0</v>
      </c>
      <c r="DO33" s="351">
        <v>0</v>
      </c>
      <c r="DP33" s="351">
        <v>77</v>
      </c>
      <c r="DQ33" s="337">
        <f t="shared" si="14"/>
        <v>190</v>
      </c>
    </row>
    <row r="34" spans="2:122">
      <c r="B34" s="1"/>
      <c r="C34" s="1"/>
      <c r="D34" s="1"/>
      <c r="E34" s="1"/>
      <c r="F34" s="1"/>
      <c r="G34" s="1"/>
      <c r="H34" s="1"/>
      <c r="I34" s="1"/>
      <c r="L34" s="1"/>
      <c r="M34" s="1"/>
      <c r="N34" s="1"/>
      <c r="O34" s="1"/>
      <c r="P34" s="1"/>
      <c r="Q34" s="1"/>
      <c r="R34" s="1"/>
      <c r="S34" s="1"/>
      <c r="AF34" s="1"/>
      <c r="AG34" s="1"/>
      <c r="AH34" s="1"/>
      <c r="AI34" s="1"/>
      <c r="AJ34" s="1"/>
      <c r="AK34" s="1"/>
      <c r="CS34" s="2"/>
      <c r="CT34" s="2"/>
      <c r="CU34" s="2"/>
      <c r="CV34" s="2"/>
      <c r="CW34" s="2"/>
      <c r="CZ34" s="78"/>
      <c r="DA34" s="78"/>
      <c r="DB34" s="78"/>
      <c r="DC34" s="222"/>
      <c r="DD34" s="222"/>
      <c r="DE34" s="222"/>
      <c r="DF34" s="222"/>
      <c r="DG34" s="222"/>
      <c r="DJ34" s="78"/>
      <c r="DK34" s="78"/>
      <c r="DL34" s="78"/>
    </row>
    <row r="35" spans="2:122">
      <c r="B35" s="228" t="s">
        <v>262</v>
      </c>
      <c r="F35" s="155"/>
      <c r="G35" s="155"/>
      <c r="H35" s="155"/>
      <c r="I35" s="155"/>
      <c r="L35" s="228" t="s">
        <v>263</v>
      </c>
      <c r="P35" s="155"/>
      <c r="Q35" s="155"/>
      <c r="R35" s="155"/>
      <c r="S35" s="155"/>
      <c r="V35" s="228" t="s">
        <v>264</v>
      </c>
      <c r="W35" s="154"/>
      <c r="X35" s="154"/>
      <c r="Y35" s="154"/>
      <c r="Z35" s="155"/>
      <c r="AA35" s="155"/>
      <c r="AB35" s="155"/>
      <c r="AC35" s="155"/>
      <c r="AF35" s="228" t="s">
        <v>265</v>
      </c>
      <c r="AG35" s="154"/>
      <c r="AH35" s="154"/>
      <c r="AI35" s="154"/>
      <c r="AJ35" s="155"/>
      <c r="AK35" s="155"/>
      <c r="AL35" s="155"/>
      <c r="AM35" s="155"/>
      <c r="AP35" s="228" t="s">
        <v>266</v>
      </c>
      <c r="AQ35" s="154"/>
      <c r="AR35" s="154"/>
      <c r="AS35" s="154"/>
      <c r="AT35" s="155"/>
      <c r="AU35" s="155"/>
      <c r="AV35" s="155"/>
      <c r="AW35" s="155"/>
      <c r="AY35" s="228" t="s">
        <v>267</v>
      </c>
      <c r="AZ35" s="154"/>
      <c r="BA35" s="154"/>
      <c r="BB35" s="154"/>
      <c r="BC35" s="155"/>
      <c r="BD35" s="155"/>
      <c r="BE35" s="155"/>
      <c r="BF35" s="155"/>
      <c r="BJ35" s="228" t="s">
        <v>268</v>
      </c>
      <c r="BK35" s="154"/>
      <c r="BL35" s="154"/>
      <c r="BM35" s="154"/>
      <c r="BN35" s="155"/>
      <c r="BO35" s="155"/>
      <c r="BP35" s="155"/>
      <c r="BQ35" s="155"/>
      <c r="BT35" s="228" t="s">
        <v>269</v>
      </c>
      <c r="BU35" s="154"/>
      <c r="BV35" s="154"/>
      <c r="BW35" s="154"/>
      <c r="BX35" s="155"/>
      <c r="BY35" s="155"/>
      <c r="BZ35" s="155"/>
      <c r="CA35" s="155"/>
      <c r="CE35" s="228" t="s">
        <v>270</v>
      </c>
      <c r="CF35" s="154"/>
      <c r="CG35" s="154"/>
      <c r="CH35" s="154"/>
      <c r="CI35" s="155"/>
      <c r="CJ35" s="155"/>
      <c r="CK35" s="155"/>
      <c r="CL35" s="155"/>
      <c r="CP35" s="228" t="s">
        <v>271</v>
      </c>
      <c r="CQ35" s="154"/>
      <c r="CR35" s="154"/>
      <c r="CS35" s="154"/>
      <c r="CT35" s="155"/>
      <c r="CU35" s="155"/>
      <c r="CV35" s="155"/>
      <c r="CW35" s="155"/>
      <c r="CZ35" s="228" t="s">
        <v>272</v>
      </c>
      <c r="DA35" s="257"/>
      <c r="DB35" s="257"/>
      <c r="DC35" s="257"/>
      <c r="DD35" s="1355"/>
      <c r="DE35" s="1355"/>
      <c r="DF35" s="1355"/>
      <c r="DG35" s="1355"/>
      <c r="DJ35" s="228" t="s">
        <v>272</v>
      </c>
      <c r="DK35" s="257"/>
      <c r="DL35" s="257"/>
    </row>
    <row r="36" spans="2:122" ht="13.8" thickBot="1">
      <c r="B36" s="155"/>
      <c r="C36" s="155"/>
      <c r="D36" s="155"/>
      <c r="E36" s="155"/>
      <c r="F36" s="155"/>
      <c r="G36" s="155"/>
      <c r="H36" s="155"/>
      <c r="I36" s="155"/>
      <c r="L36" s="155"/>
      <c r="M36" s="155"/>
      <c r="N36" s="155"/>
      <c r="O36" s="155"/>
      <c r="P36" s="155"/>
      <c r="Q36" s="155"/>
      <c r="R36" s="155"/>
      <c r="S36" s="155"/>
      <c r="V36" s="155"/>
      <c r="W36" s="155"/>
      <c r="X36" s="155"/>
      <c r="Y36" s="155"/>
      <c r="Z36" s="155"/>
      <c r="AA36" s="155"/>
      <c r="AB36" s="155"/>
      <c r="AC36" s="155"/>
      <c r="AF36" s="155"/>
      <c r="AG36" s="155"/>
      <c r="AH36" s="155"/>
      <c r="AI36" s="155"/>
      <c r="AJ36" s="155"/>
      <c r="AK36" s="155"/>
      <c r="AL36" s="155"/>
      <c r="AM36" s="155"/>
      <c r="AP36" s="155"/>
      <c r="AQ36" s="155"/>
      <c r="AR36" s="155"/>
      <c r="AS36" s="155"/>
      <c r="AT36" s="155"/>
      <c r="AU36" s="155"/>
      <c r="AV36" s="155"/>
      <c r="AW36" s="155"/>
      <c r="AY36" s="155"/>
      <c r="AZ36" s="155"/>
      <c r="BA36" s="155"/>
      <c r="BB36" s="699"/>
      <c r="BC36" s="699"/>
      <c r="BD36" s="699"/>
      <c r="BE36" s="699"/>
      <c r="BF36" s="699"/>
      <c r="BG36" s="700"/>
      <c r="BH36" s="700"/>
      <c r="BJ36" s="155"/>
      <c r="BK36" s="155"/>
      <c r="BL36" s="155"/>
      <c r="BM36" s="699"/>
      <c r="BN36" s="699"/>
      <c r="BO36" s="699"/>
      <c r="BP36" s="699"/>
      <c r="BQ36" s="699"/>
      <c r="BT36" s="155"/>
      <c r="BU36" s="155"/>
      <c r="BV36" s="155"/>
      <c r="BW36" s="155"/>
      <c r="BX36" s="155"/>
      <c r="BY36" s="155"/>
      <c r="BZ36" s="155"/>
      <c r="CA36" s="155"/>
      <c r="CE36" s="155"/>
      <c r="CF36" s="155"/>
      <c r="CG36" s="155"/>
      <c r="CH36" s="155"/>
      <c r="CI36" s="155"/>
      <c r="CJ36" s="155"/>
      <c r="CK36" s="155"/>
      <c r="CL36" s="155"/>
      <c r="CP36" s="155"/>
      <c r="CQ36" s="155"/>
      <c r="CR36" s="155"/>
      <c r="CS36" s="155"/>
      <c r="CT36" s="155"/>
      <c r="CU36" s="155"/>
      <c r="CV36" s="155"/>
      <c r="CW36" s="155"/>
      <c r="CZ36" s="1355"/>
      <c r="DA36" s="1355"/>
      <c r="DB36" s="1355"/>
      <c r="DC36" s="1355"/>
      <c r="DD36" s="1355"/>
      <c r="DE36" s="1355"/>
      <c r="DF36" s="1355"/>
      <c r="DG36" s="1355"/>
      <c r="DJ36" s="1355"/>
      <c r="DK36" s="1355"/>
      <c r="DL36" s="1355"/>
    </row>
    <row r="37" spans="2:122" ht="13.8" thickBot="1">
      <c r="B37" s="174" t="s">
        <v>4</v>
      </c>
      <c r="C37" s="160" t="s">
        <v>5</v>
      </c>
      <c r="D37" s="179"/>
      <c r="E37" s="174" t="s">
        <v>250</v>
      </c>
      <c r="F37" s="181" t="s">
        <v>251</v>
      </c>
      <c r="G37" s="181" t="s">
        <v>252</v>
      </c>
      <c r="H37" s="181" t="s">
        <v>253</v>
      </c>
      <c r="I37" s="186">
        <v>2014</v>
      </c>
      <c r="L37" s="174" t="s">
        <v>4</v>
      </c>
      <c r="M37" s="160" t="s">
        <v>5</v>
      </c>
      <c r="N37" s="179"/>
      <c r="O37" s="174" t="s">
        <v>250</v>
      </c>
      <c r="P37" s="181" t="s">
        <v>251</v>
      </c>
      <c r="Q37" s="181" t="s">
        <v>252</v>
      </c>
      <c r="R37" s="181" t="s">
        <v>253</v>
      </c>
      <c r="S37" s="186">
        <v>2015</v>
      </c>
      <c r="V37" s="174" t="s">
        <v>4</v>
      </c>
      <c r="W37" s="160" t="s">
        <v>5</v>
      </c>
      <c r="X37" s="179"/>
      <c r="Y37" s="174" t="s">
        <v>250</v>
      </c>
      <c r="Z37" s="181" t="s">
        <v>251</v>
      </c>
      <c r="AA37" s="181" t="s">
        <v>252</v>
      </c>
      <c r="AB37" s="181" t="s">
        <v>253</v>
      </c>
      <c r="AC37" s="186">
        <v>2016</v>
      </c>
      <c r="AF37" s="174" t="s">
        <v>4</v>
      </c>
      <c r="AG37" s="160" t="s">
        <v>5</v>
      </c>
      <c r="AH37" s="179"/>
      <c r="AI37" s="174" t="s">
        <v>250</v>
      </c>
      <c r="AJ37" s="181" t="s">
        <v>251</v>
      </c>
      <c r="AK37" s="181" t="s">
        <v>252</v>
      </c>
      <c r="AL37" s="181" t="s">
        <v>253</v>
      </c>
      <c r="AM37" s="186">
        <v>2017</v>
      </c>
      <c r="AP37" s="174" t="s">
        <v>4</v>
      </c>
      <c r="AQ37" s="160" t="s">
        <v>5</v>
      </c>
      <c r="AR37" s="179"/>
      <c r="AS37" s="174" t="s">
        <v>250</v>
      </c>
      <c r="AT37" s="181" t="s">
        <v>251</v>
      </c>
      <c r="AU37" s="181" t="s">
        <v>252</v>
      </c>
      <c r="AV37" s="181" t="s">
        <v>253</v>
      </c>
      <c r="AW37" s="186">
        <v>2018</v>
      </c>
      <c r="AY37" s="174" t="s">
        <v>4</v>
      </c>
      <c r="AZ37" s="160" t="s">
        <v>5</v>
      </c>
      <c r="BA37" s="179"/>
      <c r="BB37" s="701" t="s">
        <v>250</v>
      </c>
      <c r="BC37" s="702" t="s">
        <v>251</v>
      </c>
      <c r="BD37" s="702" t="s">
        <v>252</v>
      </c>
      <c r="BE37" s="702" t="s">
        <v>253</v>
      </c>
      <c r="BF37" s="703">
        <v>2019</v>
      </c>
      <c r="BG37" s="700"/>
      <c r="BH37" s="700"/>
      <c r="BJ37" s="174" t="s">
        <v>4</v>
      </c>
      <c r="BK37" s="160" t="s">
        <v>5</v>
      </c>
      <c r="BL37" s="179"/>
      <c r="BM37" s="701" t="s">
        <v>250</v>
      </c>
      <c r="BN37" s="702" t="s">
        <v>251</v>
      </c>
      <c r="BO37" s="702" t="s">
        <v>252</v>
      </c>
      <c r="BP37" s="702" t="s">
        <v>253</v>
      </c>
      <c r="BQ37" s="703">
        <v>2020</v>
      </c>
      <c r="BT37" s="174" t="s">
        <v>4</v>
      </c>
      <c r="BU37" s="160" t="s">
        <v>5</v>
      </c>
      <c r="BV37" s="179"/>
      <c r="BW37" s="174" t="s">
        <v>250</v>
      </c>
      <c r="BX37" s="181" t="s">
        <v>251</v>
      </c>
      <c r="BY37" s="181" t="s">
        <v>252</v>
      </c>
      <c r="BZ37" s="181" t="s">
        <v>253</v>
      </c>
      <c r="CA37" s="1064">
        <v>2021</v>
      </c>
      <c r="CE37" s="174" t="s">
        <v>4</v>
      </c>
      <c r="CF37" s="160" t="s">
        <v>5</v>
      </c>
      <c r="CG37" s="179"/>
      <c r="CH37" s="174" t="s">
        <v>250</v>
      </c>
      <c r="CI37" s="181" t="s">
        <v>251</v>
      </c>
      <c r="CJ37" s="181" t="s">
        <v>252</v>
      </c>
      <c r="CK37" s="181" t="s">
        <v>253</v>
      </c>
      <c r="CL37" s="1064">
        <v>2022</v>
      </c>
      <c r="CP37" s="174" t="s">
        <v>4</v>
      </c>
      <c r="CQ37" s="160" t="s">
        <v>5</v>
      </c>
      <c r="CR37" s="179"/>
      <c r="CS37" s="174" t="s">
        <v>250</v>
      </c>
      <c r="CT37" s="181" t="s">
        <v>251</v>
      </c>
      <c r="CU37" s="181" t="s">
        <v>252</v>
      </c>
      <c r="CV37" s="181" t="s">
        <v>253</v>
      </c>
      <c r="CW37" s="1064">
        <v>2023</v>
      </c>
      <c r="CZ37" s="1356" t="s">
        <v>4</v>
      </c>
      <c r="DA37" s="1357" t="s">
        <v>5</v>
      </c>
      <c r="DB37" s="1358"/>
      <c r="DC37" s="1356" t="s">
        <v>250</v>
      </c>
      <c r="DD37" s="1359" t="s">
        <v>251</v>
      </c>
      <c r="DE37" s="1359" t="s">
        <v>252</v>
      </c>
      <c r="DF37" s="1359" t="s">
        <v>253</v>
      </c>
      <c r="DG37" s="1360">
        <v>2024</v>
      </c>
      <c r="DJ37" s="1356" t="s">
        <v>4</v>
      </c>
      <c r="DK37" s="1357" t="s">
        <v>5</v>
      </c>
      <c r="DL37" s="1358"/>
      <c r="DM37" s="1356" t="s">
        <v>250</v>
      </c>
      <c r="DN37" s="1359" t="s">
        <v>251</v>
      </c>
      <c r="DO37" s="1359" t="s">
        <v>252</v>
      </c>
      <c r="DP37" s="1359" t="s">
        <v>253</v>
      </c>
      <c r="DQ37" s="1360">
        <v>2024</v>
      </c>
    </row>
    <row r="38" spans="2:122" ht="12.75" customHeight="1">
      <c r="B38" s="754" t="s">
        <v>261</v>
      </c>
      <c r="C38" s="283" t="s">
        <v>22</v>
      </c>
      <c r="D38" s="180" t="s">
        <v>255</v>
      </c>
      <c r="E38" s="171">
        <v>63</v>
      </c>
      <c r="F38" s="163">
        <v>0</v>
      </c>
      <c r="G38" s="163">
        <v>6418</v>
      </c>
      <c r="H38" s="163">
        <v>5133</v>
      </c>
      <c r="I38" s="164">
        <f t="shared" ref="I38:I45" si="15">SUM(E38:H38)</f>
        <v>11614</v>
      </c>
      <c r="K38" s="192"/>
      <c r="L38" s="754" t="s">
        <v>261</v>
      </c>
      <c r="M38" s="283" t="s">
        <v>22</v>
      </c>
      <c r="N38" s="180" t="s">
        <v>255</v>
      </c>
      <c r="O38" s="341">
        <v>25</v>
      </c>
      <c r="P38" s="342">
        <v>0</v>
      </c>
      <c r="Q38" s="342">
        <v>13903</v>
      </c>
      <c r="R38" s="342">
        <v>895</v>
      </c>
      <c r="S38" s="343">
        <f>SUM(O38:R38)</f>
        <v>14823</v>
      </c>
      <c r="V38" s="2057" t="s">
        <v>261</v>
      </c>
      <c r="W38" s="283" t="s">
        <v>22</v>
      </c>
      <c r="X38" s="180" t="s">
        <v>255</v>
      </c>
      <c r="Y38" s="322">
        <v>3</v>
      </c>
      <c r="Z38" s="323">
        <v>639</v>
      </c>
      <c r="AA38" s="323">
        <v>16774</v>
      </c>
      <c r="AB38" s="323">
        <v>283</v>
      </c>
      <c r="AC38" s="443">
        <f>SUM(Y38:AB38)</f>
        <v>17699</v>
      </c>
      <c r="AF38" s="2057" t="s">
        <v>261</v>
      </c>
      <c r="AG38" s="283" t="s">
        <v>22</v>
      </c>
      <c r="AH38" s="180" t="s">
        <v>255</v>
      </c>
      <c r="AI38" s="1765">
        <v>953</v>
      </c>
      <c r="AJ38" s="1765">
        <v>0</v>
      </c>
      <c r="AK38" s="1765">
        <v>15291</v>
      </c>
      <c r="AL38" s="1765">
        <v>3142</v>
      </c>
      <c r="AM38" s="1765">
        <f>SUM(AI38:AL38)</f>
        <v>19386</v>
      </c>
      <c r="AP38" s="2057" t="s">
        <v>261</v>
      </c>
      <c r="AQ38" s="283" t="s">
        <v>22</v>
      </c>
      <c r="AR38" s="180" t="s">
        <v>255</v>
      </c>
      <c r="AS38" s="341">
        <v>197</v>
      </c>
      <c r="AT38" s="342">
        <v>462</v>
      </c>
      <c r="AU38" s="342">
        <v>6969</v>
      </c>
      <c r="AV38" s="342">
        <v>1228</v>
      </c>
      <c r="AW38" s="343">
        <f>SUM(AS38:AV38)</f>
        <v>8856</v>
      </c>
      <c r="AY38" s="2057" t="s">
        <v>261</v>
      </c>
      <c r="AZ38" s="283" t="s">
        <v>22</v>
      </c>
      <c r="BA38" s="180" t="s">
        <v>255</v>
      </c>
      <c r="BB38" s="704">
        <v>0</v>
      </c>
      <c r="BC38" s="705">
        <v>0</v>
      </c>
      <c r="BD38" s="705">
        <v>131</v>
      </c>
      <c r="BE38" s="705">
        <v>6</v>
      </c>
      <c r="BF38" s="706">
        <f>SUM(BB38:BE38)</f>
        <v>137</v>
      </c>
      <c r="BG38" s="700"/>
      <c r="BH38" s="700"/>
      <c r="BJ38" s="2057" t="s">
        <v>261</v>
      </c>
      <c r="BK38" s="283" t="s">
        <v>22</v>
      </c>
      <c r="BL38" s="180" t="s">
        <v>255</v>
      </c>
      <c r="BM38" s="704"/>
      <c r="BN38" s="705"/>
      <c r="BO38" s="705"/>
      <c r="BP38" s="705"/>
      <c r="BQ38" s="706"/>
      <c r="BT38" s="2057" t="s">
        <v>261</v>
      </c>
      <c r="BU38" s="283" t="s">
        <v>22</v>
      </c>
      <c r="BV38" s="180" t="s">
        <v>255</v>
      </c>
      <c r="BW38" s="1065">
        <v>0</v>
      </c>
      <c r="BX38" s="1055">
        <v>0</v>
      </c>
      <c r="BY38" s="1055">
        <v>8975</v>
      </c>
      <c r="BZ38" s="1055">
        <v>961</v>
      </c>
      <c r="CA38" s="1066">
        <f>SUM(BW38:BZ38)</f>
        <v>9936</v>
      </c>
      <c r="CE38" s="2057" t="s">
        <v>261</v>
      </c>
      <c r="CF38" s="283" t="s">
        <v>22</v>
      </c>
      <c r="CG38" s="180" t="s">
        <v>255</v>
      </c>
      <c r="CH38" s="1065">
        <v>0</v>
      </c>
      <c r="CI38" s="1055">
        <v>0</v>
      </c>
      <c r="CJ38" s="1055">
        <v>710.54023300000006</v>
      </c>
      <c r="CK38" s="1055">
        <v>12728</v>
      </c>
      <c r="CL38" s="1066">
        <f>SUM(CH38:CK38)</f>
        <v>13438.540233</v>
      </c>
      <c r="CP38" s="2057" t="s">
        <v>261</v>
      </c>
      <c r="CQ38" s="283" t="s">
        <v>22</v>
      </c>
      <c r="CR38" s="180" t="s">
        <v>255</v>
      </c>
      <c r="CS38" s="1219">
        <v>0</v>
      </c>
      <c r="CT38" s="1220">
        <v>46</v>
      </c>
      <c r="CU38" s="1220">
        <v>3443</v>
      </c>
      <c r="CV38" s="1220">
        <v>6220</v>
      </c>
      <c r="CW38" s="1221">
        <v>9709</v>
      </c>
      <c r="CZ38" s="2027" t="s">
        <v>261</v>
      </c>
      <c r="DA38" s="1349" t="s">
        <v>273</v>
      </c>
      <c r="DB38" s="1361" t="s">
        <v>255</v>
      </c>
      <c r="DC38" s="20">
        <v>1236.626</v>
      </c>
      <c r="DD38" s="20">
        <v>9621.2980000000007</v>
      </c>
      <c r="DE38" s="20">
        <v>26220.171999999999</v>
      </c>
      <c r="DF38" s="20">
        <v>38130.42</v>
      </c>
      <c r="DG38" s="1362">
        <f>SUM(DC38:DF38)</f>
        <v>75208.516000000003</v>
      </c>
      <c r="DJ38" s="2027" t="s">
        <v>261</v>
      </c>
      <c r="DK38" s="1349" t="s">
        <v>273</v>
      </c>
      <c r="DL38" s="1361" t="s">
        <v>255</v>
      </c>
      <c r="DM38" s="1948">
        <v>0</v>
      </c>
      <c r="DN38" s="1948">
        <v>0</v>
      </c>
      <c r="DO38" s="1948">
        <v>0</v>
      </c>
      <c r="DP38" s="1948">
        <v>10914</v>
      </c>
      <c r="DQ38" s="1949">
        <v>10914</v>
      </c>
    </row>
    <row r="39" spans="2:122" ht="13.8">
      <c r="B39" s="284"/>
      <c r="C39" s="285"/>
      <c r="D39" s="932" t="s">
        <v>256</v>
      </c>
      <c r="E39" s="743">
        <v>0</v>
      </c>
      <c r="F39" s="1747">
        <v>0</v>
      </c>
      <c r="G39" s="1747">
        <v>0</v>
      </c>
      <c r="H39" s="1747">
        <v>51</v>
      </c>
      <c r="I39" s="925">
        <f t="shared" si="15"/>
        <v>51</v>
      </c>
      <c r="K39" s="1">
        <f>+I39/I38*1000</f>
        <v>4.3912519373170307</v>
      </c>
      <c r="L39" s="284"/>
      <c r="M39" s="285"/>
      <c r="N39" s="932" t="s">
        <v>256</v>
      </c>
      <c r="O39" s="344">
        <v>3</v>
      </c>
      <c r="P39" s="345">
        <v>0</v>
      </c>
      <c r="Q39" s="345">
        <v>69</v>
      </c>
      <c r="R39" s="345">
        <v>13</v>
      </c>
      <c r="S39" s="346">
        <f>SUM(O39:R39)</f>
        <v>85</v>
      </c>
      <c r="T39" s="418">
        <f>S39/S38*1000</f>
        <v>5.7343317816906154</v>
      </c>
      <c r="U39" s="1">
        <f>+S39/S38*1000</f>
        <v>5.7343317816906154</v>
      </c>
      <c r="V39" s="2058"/>
      <c r="W39" s="285"/>
      <c r="X39" s="932" t="s">
        <v>256</v>
      </c>
      <c r="Y39" s="325">
        <v>1</v>
      </c>
      <c r="Z39" s="326">
        <v>0</v>
      </c>
      <c r="AA39" s="326">
        <v>93</v>
      </c>
      <c r="AB39" s="326">
        <v>17</v>
      </c>
      <c r="AC39" s="444">
        <f>SUM(Y39:AB39)</f>
        <v>111</v>
      </c>
      <c r="AD39" s="418">
        <f>AC39/AC38*1000</f>
        <v>6.2715407650149722</v>
      </c>
      <c r="AE39" s="460"/>
      <c r="AF39" s="2058"/>
      <c r="AG39" s="285"/>
      <c r="AH39" s="932" t="s">
        <v>256</v>
      </c>
      <c r="AI39" s="1765">
        <v>4</v>
      </c>
      <c r="AJ39" s="1765">
        <v>0</v>
      </c>
      <c r="AK39" s="1765">
        <v>60</v>
      </c>
      <c r="AL39" s="1765">
        <v>22</v>
      </c>
      <c r="AM39" s="1765">
        <f>SUM(AI39:AL39)</f>
        <v>86</v>
      </c>
      <c r="AN39" s="418">
        <f>AM39/AM38*1000</f>
        <v>4.4361910657175274</v>
      </c>
      <c r="AP39" s="2058"/>
      <c r="AQ39" s="285"/>
      <c r="AR39" s="932" t="s">
        <v>256</v>
      </c>
      <c r="AS39" s="344">
        <v>4</v>
      </c>
      <c r="AT39" s="345">
        <v>0</v>
      </c>
      <c r="AU39" s="345">
        <v>44</v>
      </c>
      <c r="AV39" s="345">
        <v>8</v>
      </c>
      <c r="AW39" s="346">
        <f>SUM(AS39:AV39)</f>
        <v>56</v>
      </c>
      <c r="AX39" s="418">
        <f>AW39/AW38*1000</f>
        <v>6.3233965672990067</v>
      </c>
      <c r="AY39" s="2058"/>
      <c r="AZ39" s="285"/>
      <c r="BA39" s="932" t="s">
        <v>256</v>
      </c>
      <c r="BB39" s="707">
        <v>0</v>
      </c>
      <c r="BC39" s="708">
        <v>0</v>
      </c>
      <c r="BD39" s="708">
        <v>14</v>
      </c>
      <c r="BE39" s="708">
        <v>2</v>
      </c>
      <c r="BF39" s="709">
        <f>SUM(BB39:BE39)</f>
        <v>16</v>
      </c>
      <c r="BG39" s="713">
        <f>BF39/BF38*1000</f>
        <v>116.78832116788321</v>
      </c>
      <c r="BH39" s="700"/>
      <c r="BJ39" s="2058"/>
      <c r="BK39" s="285"/>
      <c r="BL39" s="932" t="s">
        <v>256</v>
      </c>
      <c r="BM39" s="707"/>
      <c r="BN39" s="708"/>
      <c r="BO39" s="708"/>
      <c r="BP39" s="708"/>
      <c r="BQ39" s="709"/>
      <c r="BT39" s="2058"/>
      <c r="BU39" s="285"/>
      <c r="BV39" s="932" t="s">
        <v>256</v>
      </c>
      <c r="BW39" s="1057"/>
      <c r="BX39" s="1058"/>
      <c r="BY39" s="1058">
        <v>63</v>
      </c>
      <c r="BZ39" s="1058">
        <v>20</v>
      </c>
      <c r="CA39" s="1059">
        <f>SUM(BW39:BZ39)</f>
        <v>83</v>
      </c>
      <c r="CE39" s="2058"/>
      <c r="CF39" s="285"/>
      <c r="CG39" s="932" t="s">
        <v>256</v>
      </c>
      <c r="CH39" s="1057">
        <v>0</v>
      </c>
      <c r="CI39" s="1058">
        <v>0</v>
      </c>
      <c r="CJ39" s="1058">
        <v>10</v>
      </c>
      <c r="CK39" s="1058">
        <v>123</v>
      </c>
      <c r="CL39" s="1059">
        <f>SUM(CH39:CK39)</f>
        <v>133</v>
      </c>
      <c r="CP39" s="2058"/>
      <c r="CQ39" s="285"/>
      <c r="CR39" s="932" t="s">
        <v>256</v>
      </c>
      <c r="CS39" s="1222">
        <v>0</v>
      </c>
      <c r="CT39" s="1223">
        <v>0</v>
      </c>
      <c r="CU39" s="1223">
        <v>65</v>
      </c>
      <c r="CV39" s="1223">
        <v>44</v>
      </c>
      <c r="CW39" s="1224">
        <v>109</v>
      </c>
      <c r="CX39" s="1">
        <f>CW39/CW38*1000</f>
        <v>11.226696879184262</v>
      </c>
      <c r="CZ39" s="2028"/>
      <c r="DA39" s="1351"/>
      <c r="DB39" s="1363" t="s">
        <v>256</v>
      </c>
      <c r="DC39" s="1">
        <v>3</v>
      </c>
      <c r="DD39" s="1">
        <v>9</v>
      </c>
      <c r="DE39" s="1">
        <v>11</v>
      </c>
      <c r="DF39" s="1">
        <v>9</v>
      </c>
      <c r="DG39" s="1">
        <f>SUM(DC39:DF39)</f>
        <v>32</v>
      </c>
      <c r="DH39" s="30">
        <f>DG39/DG38*1000</f>
        <v>0.42548373112427851</v>
      </c>
      <c r="DJ39" s="2028"/>
      <c r="DK39" s="1351"/>
      <c r="DL39" s="1363" t="s">
        <v>256</v>
      </c>
      <c r="DM39" s="1951">
        <v>0</v>
      </c>
      <c r="DN39" s="1950">
        <v>0</v>
      </c>
      <c r="DO39" s="1950">
        <v>0</v>
      </c>
      <c r="DP39" s="1950">
        <v>69</v>
      </c>
      <c r="DQ39" s="1954">
        <v>69</v>
      </c>
      <c r="DR39" s="35">
        <f>DQ39/DQ38*1000</f>
        <v>6.3221550302363934</v>
      </c>
    </row>
    <row r="40" spans="2:122" ht="15" customHeight="1">
      <c r="B40" s="284"/>
      <c r="C40" s="285"/>
      <c r="D40" s="932" t="s">
        <v>257</v>
      </c>
      <c r="E40" s="743">
        <v>0</v>
      </c>
      <c r="F40" s="1747">
        <v>0</v>
      </c>
      <c r="G40" s="1747">
        <v>0</v>
      </c>
      <c r="H40" s="1747">
        <v>2580</v>
      </c>
      <c r="I40" s="925">
        <f t="shared" si="15"/>
        <v>2580</v>
      </c>
      <c r="K40" s="1"/>
      <c r="L40" s="284"/>
      <c r="M40" s="285"/>
      <c r="N40" s="932" t="s">
        <v>257</v>
      </c>
      <c r="O40" s="344">
        <v>494</v>
      </c>
      <c r="P40" s="345">
        <v>0</v>
      </c>
      <c r="Q40" s="345">
        <v>17115</v>
      </c>
      <c r="R40" s="345">
        <v>2298</v>
      </c>
      <c r="S40" s="346">
        <f>SUM(O40:R40)</f>
        <v>19907</v>
      </c>
      <c r="V40" s="2058"/>
      <c r="W40" s="285"/>
      <c r="X40" s="932" t="s">
        <v>257</v>
      </c>
      <c r="Y40" s="325">
        <v>66</v>
      </c>
      <c r="Z40" s="326">
        <v>0</v>
      </c>
      <c r="AA40" s="326">
        <v>22758</v>
      </c>
      <c r="AB40" s="326">
        <v>3310</v>
      </c>
      <c r="AC40" s="444">
        <f>SUM(Y40:AB40)</f>
        <v>26134</v>
      </c>
      <c r="AE40" s="460"/>
      <c r="AF40" s="2058"/>
      <c r="AG40" s="285"/>
      <c r="AH40" s="932" t="s">
        <v>257</v>
      </c>
      <c r="AI40" s="1765">
        <v>714</v>
      </c>
      <c r="AJ40" s="1765">
        <v>0</v>
      </c>
      <c r="AK40" s="1765">
        <v>16898</v>
      </c>
      <c r="AL40" s="1765">
        <v>6554</v>
      </c>
      <c r="AM40" s="1765">
        <f>SUM(AI40:AL40)</f>
        <v>24166</v>
      </c>
      <c r="AP40" s="2058"/>
      <c r="AQ40" s="285"/>
      <c r="AR40" s="932" t="s">
        <v>257</v>
      </c>
      <c r="AS40" s="344">
        <v>1226</v>
      </c>
      <c r="AT40" s="345">
        <v>0</v>
      </c>
      <c r="AU40" s="345">
        <v>9719</v>
      </c>
      <c r="AV40" s="345">
        <v>1376</v>
      </c>
      <c r="AW40" s="346">
        <f>SUM(AS40:AV40)</f>
        <v>12321</v>
      </c>
      <c r="AY40" s="2058"/>
      <c r="AZ40" s="285"/>
      <c r="BA40" s="932" t="s">
        <v>257</v>
      </c>
      <c r="BB40" s="707">
        <v>0</v>
      </c>
      <c r="BC40" s="708">
        <v>0</v>
      </c>
      <c r="BD40" s="708">
        <v>457</v>
      </c>
      <c r="BE40" s="708">
        <v>23</v>
      </c>
      <c r="BF40" s="709">
        <f>SUM(BB40:BE40)</f>
        <v>480</v>
      </c>
      <c r="BG40" s="700"/>
      <c r="BH40" s="700"/>
      <c r="BJ40" s="2058"/>
      <c r="BK40" s="285"/>
      <c r="BL40" s="932" t="s">
        <v>257</v>
      </c>
      <c r="BM40" s="707"/>
      <c r="BN40" s="708"/>
      <c r="BO40" s="708"/>
      <c r="BP40" s="708"/>
      <c r="BQ40" s="709"/>
      <c r="BT40" s="2058"/>
      <c r="BU40" s="285"/>
      <c r="BV40" s="932" t="s">
        <v>257</v>
      </c>
      <c r="BW40" s="1057"/>
      <c r="BX40" s="1058"/>
      <c r="BY40" s="1058">
        <v>14550</v>
      </c>
      <c r="BZ40" s="1058">
        <v>3814</v>
      </c>
      <c r="CA40" s="1059">
        <f>SUM(BW40:BZ40)</f>
        <v>18364</v>
      </c>
      <c r="CE40" s="2058"/>
      <c r="CF40" s="285"/>
      <c r="CG40" s="932" t="s">
        <v>257</v>
      </c>
      <c r="CH40" s="1057">
        <v>0</v>
      </c>
      <c r="CI40" s="1058">
        <v>0</v>
      </c>
      <c r="CJ40" s="1058">
        <v>834</v>
      </c>
      <c r="CK40" s="1058">
        <v>37026</v>
      </c>
      <c r="CL40" s="1059">
        <f>SUM(CH40:CK40)</f>
        <v>37860</v>
      </c>
      <c r="CP40" s="2058"/>
      <c r="CQ40" s="285"/>
      <c r="CR40" s="932" t="s">
        <v>257</v>
      </c>
      <c r="CS40" s="1222">
        <v>0</v>
      </c>
      <c r="CT40" s="1223">
        <v>0</v>
      </c>
      <c r="CU40" s="1223">
        <v>13091</v>
      </c>
      <c r="CV40" s="1223">
        <v>13015</v>
      </c>
      <c r="CW40" s="1224">
        <v>26106</v>
      </c>
      <c r="CZ40" s="2028"/>
      <c r="DA40" s="1351"/>
      <c r="DB40" s="1363" t="s">
        <v>257</v>
      </c>
      <c r="DC40">
        <v>146</v>
      </c>
      <c r="DD40">
        <v>396</v>
      </c>
      <c r="DE40">
        <v>617</v>
      </c>
      <c r="DF40">
        <v>371</v>
      </c>
      <c r="DG40" s="1362">
        <f>SUM(DC40:DF40)</f>
        <v>1530</v>
      </c>
      <c r="DJ40" s="2028"/>
      <c r="DK40" s="1351"/>
      <c r="DL40" s="1363" t="s">
        <v>257</v>
      </c>
      <c r="DM40" s="1951">
        <v>0</v>
      </c>
      <c r="DN40" s="1950">
        <v>0</v>
      </c>
      <c r="DO40" s="1950">
        <v>0</v>
      </c>
      <c r="DP40" s="1950">
        <v>23672</v>
      </c>
      <c r="DQ40" s="1954">
        <v>23672</v>
      </c>
    </row>
    <row r="41" spans="2:122" ht="14.4" thickBot="1">
      <c r="B41" s="286"/>
      <c r="C41" s="287"/>
      <c r="D41" s="933" t="s">
        <v>258</v>
      </c>
      <c r="E41" s="747">
        <v>0</v>
      </c>
      <c r="F41" s="748">
        <v>0</v>
      </c>
      <c r="G41" s="748">
        <v>181</v>
      </c>
      <c r="H41" s="748">
        <v>502</v>
      </c>
      <c r="I41" s="749">
        <f t="shared" si="15"/>
        <v>683</v>
      </c>
      <c r="K41" s="2"/>
      <c r="L41" s="286"/>
      <c r="M41" s="287"/>
      <c r="N41" s="933" t="s">
        <v>258</v>
      </c>
      <c r="O41" s="347">
        <v>0</v>
      </c>
      <c r="P41" s="348">
        <v>0</v>
      </c>
      <c r="Q41" s="348">
        <v>929</v>
      </c>
      <c r="R41" s="348">
        <v>522</v>
      </c>
      <c r="S41" s="349">
        <f>SUM(O41:R41)</f>
        <v>1451</v>
      </c>
      <c r="V41" s="2059"/>
      <c r="W41" s="287"/>
      <c r="X41" s="933" t="s">
        <v>258</v>
      </c>
      <c r="Y41" s="328">
        <v>0</v>
      </c>
      <c r="Z41" s="329">
        <v>0</v>
      </c>
      <c r="AA41" s="329">
        <v>500</v>
      </c>
      <c r="AB41" s="329">
        <v>522</v>
      </c>
      <c r="AC41" s="445">
        <f>SUM(Y41:AB41)</f>
        <v>1022</v>
      </c>
      <c r="AE41" s="460"/>
      <c r="AF41" s="2059"/>
      <c r="AG41" s="287"/>
      <c r="AH41" s="933" t="s">
        <v>258</v>
      </c>
      <c r="AI41" s="1765">
        <v>65</v>
      </c>
      <c r="AJ41" s="1765">
        <v>0</v>
      </c>
      <c r="AK41" s="1765">
        <v>700</v>
      </c>
      <c r="AL41" s="1765">
        <v>492</v>
      </c>
      <c r="AM41" s="1766">
        <f>SUM(AI41:AL41)</f>
        <v>1257</v>
      </c>
      <c r="AP41" s="2059"/>
      <c r="AQ41" s="287"/>
      <c r="AR41" s="933" t="s">
        <v>258</v>
      </c>
      <c r="AS41" s="347">
        <v>0</v>
      </c>
      <c r="AT41" s="348">
        <v>0</v>
      </c>
      <c r="AU41" s="348">
        <v>391</v>
      </c>
      <c r="AV41" s="348">
        <v>228</v>
      </c>
      <c r="AW41" s="349">
        <f>SUM(AS41:AV41)</f>
        <v>619</v>
      </c>
      <c r="AY41" s="2059"/>
      <c r="AZ41" s="287"/>
      <c r="BA41" s="933" t="s">
        <v>258</v>
      </c>
      <c r="BB41" s="710">
        <v>0</v>
      </c>
      <c r="BC41" s="711">
        <v>0</v>
      </c>
      <c r="BD41" s="711">
        <v>128</v>
      </c>
      <c r="BE41" s="711">
        <v>0</v>
      </c>
      <c r="BF41" s="712">
        <f>SUM(BB41:BE41)</f>
        <v>128</v>
      </c>
      <c r="BG41" s="700"/>
      <c r="BH41" s="700"/>
      <c r="BJ41" s="2059"/>
      <c r="BK41" s="287"/>
      <c r="BL41" s="933" t="s">
        <v>258</v>
      </c>
      <c r="BM41" s="710"/>
      <c r="BN41" s="711"/>
      <c r="BO41" s="711"/>
      <c r="BP41" s="711"/>
      <c r="BQ41" s="712"/>
      <c r="BT41" s="2059"/>
      <c r="BU41" s="287"/>
      <c r="BV41" s="933" t="s">
        <v>258</v>
      </c>
      <c r="BW41" s="1060"/>
      <c r="BX41" s="1061"/>
      <c r="BY41" s="1061">
        <v>537</v>
      </c>
      <c r="BZ41" s="1061">
        <v>371</v>
      </c>
      <c r="CA41" s="1067">
        <f>SUM(BW41:BZ41)</f>
        <v>908</v>
      </c>
      <c r="CE41" s="2059"/>
      <c r="CF41" s="287"/>
      <c r="CG41" s="933" t="s">
        <v>258</v>
      </c>
      <c r="CH41" s="1060">
        <v>0</v>
      </c>
      <c r="CI41" s="1061">
        <v>0</v>
      </c>
      <c r="CJ41" s="1061">
        <v>100</v>
      </c>
      <c r="CK41" s="1061">
        <v>472</v>
      </c>
      <c r="CL41" s="1067">
        <f>SUM(CH41:CK41)</f>
        <v>572</v>
      </c>
      <c r="CP41" s="2059"/>
      <c r="CQ41" s="287"/>
      <c r="CR41" s="933" t="s">
        <v>258</v>
      </c>
      <c r="CS41" s="1225">
        <v>0</v>
      </c>
      <c r="CT41" s="1218">
        <v>0</v>
      </c>
      <c r="CU41" s="1218">
        <v>458</v>
      </c>
      <c r="CV41" s="1218">
        <v>606</v>
      </c>
      <c r="CW41" s="1213">
        <v>1064</v>
      </c>
      <c r="CZ41" s="2029"/>
      <c r="DA41" s="1354"/>
      <c r="DB41" s="1364" t="s">
        <v>258</v>
      </c>
      <c r="DD41" s="1362"/>
      <c r="DE41" s="1362"/>
      <c r="DF41" s="1362"/>
      <c r="DG41" s="1362">
        <f>SUM(DC41:DF41)</f>
        <v>0</v>
      </c>
      <c r="DJ41" s="2029"/>
      <c r="DK41" s="1354"/>
      <c r="DL41" s="1364" t="s">
        <v>258</v>
      </c>
      <c r="DM41" s="1952">
        <v>134</v>
      </c>
      <c r="DN41" s="1953">
        <v>0</v>
      </c>
      <c r="DO41" s="1953">
        <v>0</v>
      </c>
      <c r="DP41" s="1953">
        <v>747</v>
      </c>
      <c r="DQ41" s="1954">
        <v>881</v>
      </c>
    </row>
    <row r="42" spans="2:122" ht="12.75" customHeight="1">
      <c r="B42" s="755" t="s">
        <v>29</v>
      </c>
      <c r="C42" s="288" t="s">
        <v>29</v>
      </c>
      <c r="D42" s="180" t="s">
        <v>255</v>
      </c>
      <c r="E42" s="171">
        <v>48560.513899999998</v>
      </c>
      <c r="F42" s="163">
        <v>70574.27264000001</v>
      </c>
      <c r="G42" s="163">
        <v>30902.82029</v>
      </c>
      <c r="H42" s="163">
        <v>22556.658110000004</v>
      </c>
      <c r="I42" s="164">
        <f t="shared" si="15"/>
        <v>172594.26494000002</v>
      </c>
      <c r="K42" s="2"/>
      <c r="L42" s="755" t="s">
        <v>29</v>
      </c>
      <c r="M42" s="288" t="s">
        <v>29</v>
      </c>
      <c r="N42" s="180" t="s">
        <v>255</v>
      </c>
      <c r="O42" s="171"/>
      <c r="P42" s="163"/>
      <c r="Q42" s="163"/>
      <c r="R42" s="163"/>
      <c r="S42" s="164"/>
      <c r="V42" s="2062" t="s">
        <v>29</v>
      </c>
      <c r="W42" s="288" t="s">
        <v>29</v>
      </c>
      <c r="X42" s="180" t="s">
        <v>255</v>
      </c>
      <c r="Y42" s="171"/>
      <c r="Z42" s="163"/>
      <c r="AA42" s="163"/>
      <c r="AB42" s="163"/>
      <c r="AC42" s="164"/>
      <c r="AE42" s="460"/>
      <c r="AF42" s="2062" t="s">
        <v>29</v>
      </c>
      <c r="AG42" s="288" t="s">
        <v>29</v>
      </c>
      <c r="AH42" s="180" t="s">
        <v>255</v>
      </c>
      <c r="AI42" s="1767"/>
      <c r="AJ42" s="1767"/>
      <c r="AK42" s="1767"/>
      <c r="AL42" s="1767"/>
      <c r="AM42" s="1767"/>
      <c r="AP42" s="2062" t="s">
        <v>29</v>
      </c>
      <c r="AQ42" s="288" t="s">
        <v>29</v>
      </c>
      <c r="AR42" s="180" t="s">
        <v>255</v>
      </c>
      <c r="AS42" s="1767"/>
      <c r="AT42" s="1767"/>
      <c r="AU42" s="1767"/>
      <c r="AV42" s="1767"/>
      <c r="AW42" s="1767"/>
      <c r="AY42" s="2062" t="s">
        <v>29</v>
      </c>
      <c r="AZ42" s="288" t="s">
        <v>29</v>
      </c>
      <c r="BA42" s="180" t="s">
        <v>255</v>
      </c>
      <c r="BB42" s="700">
        <v>48124.693800000001</v>
      </c>
      <c r="BC42" s="700">
        <v>75555.166530000002</v>
      </c>
      <c r="BD42" s="700">
        <v>64642.082280000002</v>
      </c>
      <c r="BE42" s="700">
        <v>29470.814999999999</v>
      </c>
      <c r="BF42" s="1768">
        <f>SUM(BB42:BE42)</f>
        <v>217792.75761</v>
      </c>
      <c r="BG42" s="700"/>
      <c r="BH42" s="700"/>
      <c r="BJ42" s="2062" t="s">
        <v>29</v>
      </c>
      <c r="BK42" s="288" t="s">
        <v>29</v>
      </c>
      <c r="BL42" s="180" t="s">
        <v>255</v>
      </c>
      <c r="BM42" s="700"/>
      <c r="BN42" s="700"/>
      <c r="BO42" s="700"/>
      <c r="BP42" s="700"/>
      <c r="BQ42" s="1768"/>
      <c r="BT42" s="2062" t="s">
        <v>29</v>
      </c>
      <c r="BU42" s="288" t="s">
        <v>29</v>
      </c>
      <c r="BV42" s="180" t="s">
        <v>255</v>
      </c>
      <c r="BW42" s="1068"/>
      <c r="BX42" s="1069"/>
      <c r="BY42" s="1070" t="s">
        <v>18</v>
      </c>
      <c r="BZ42" t="s">
        <v>18</v>
      </c>
      <c r="CA42" s="2">
        <v>75153.05354629764</v>
      </c>
      <c r="CE42" s="2062" t="s">
        <v>29</v>
      </c>
      <c r="CF42" s="288" t="s">
        <v>29</v>
      </c>
      <c r="CG42" s="180" t="s">
        <v>255</v>
      </c>
      <c r="CH42" s="1068">
        <v>25940.571261351695</v>
      </c>
      <c r="CI42" s="1069">
        <v>47731.893786763547</v>
      </c>
      <c r="CJ42" s="1070">
        <v>28524.191547809824</v>
      </c>
      <c r="CK42">
        <v>21495.758823540047</v>
      </c>
      <c r="CL42" s="1067">
        <f>SUM(CH42:CK42)</f>
        <v>123692.41541946511</v>
      </c>
      <c r="CP42" s="2062" t="s">
        <v>29</v>
      </c>
      <c r="CQ42" s="288" t="s">
        <v>29</v>
      </c>
      <c r="CR42" s="180" t="s">
        <v>255</v>
      </c>
      <c r="CS42" s="1068" t="s">
        <v>18</v>
      </c>
      <c r="CT42" s="1069" t="s">
        <v>18</v>
      </c>
      <c r="CU42" s="1070" t="s">
        <v>18</v>
      </c>
      <c r="CV42" s="73" t="s">
        <v>18</v>
      </c>
      <c r="CW42" s="1067">
        <v>103670.86016478858</v>
      </c>
      <c r="CZ42" s="2030" t="s">
        <v>29</v>
      </c>
      <c r="DA42" s="1365" t="s">
        <v>29</v>
      </c>
      <c r="DB42" s="1361" t="s">
        <v>255</v>
      </c>
      <c r="DD42" s="1328" t="s">
        <v>18</v>
      </c>
      <c r="DE42" s="1366" t="s">
        <v>18</v>
      </c>
      <c r="DF42" s="1367" t="s">
        <v>18</v>
      </c>
      <c r="DG42" s="1494">
        <v>243953.57046896493</v>
      </c>
      <c r="DJ42" s="2030" t="s">
        <v>29</v>
      </c>
      <c r="DK42" s="1365" t="s">
        <v>29</v>
      </c>
      <c r="DL42" s="1361" t="s">
        <v>255</v>
      </c>
    </row>
    <row r="43" spans="2:122">
      <c r="B43" s="289"/>
      <c r="C43" s="289"/>
      <c r="D43" s="932" t="s">
        <v>256</v>
      </c>
      <c r="E43" s="743">
        <v>25</v>
      </c>
      <c r="F43" s="1747">
        <v>26</v>
      </c>
      <c r="G43" s="1747">
        <v>12</v>
      </c>
      <c r="H43" s="1747">
        <v>27</v>
      </c>
      <c r="I43" s="925">
        <f t="shared" si="15"/>
        <v>90</v>
      </c>
      <c r="L43" s="289"/>
      <c r="M43" s="289"/>
      <c r="N43" s="932" t="s">
        <v>256</v>
      </c>
      <c r="O43" s="743"/>
      <c r="P43" s="1747"/>
      <c r="Q43" s="1747"/>
      <c r="R43" s="1747"/>
      <c r="S43" s="925"/>
      <c r="V43" s="2063"/>
      <c r="W43" s="289"/>
      <c r="X43" s="932" t="s">
        <v>256</v>
      </c>
      <c r="Y43" s="743"/>
      <c r="Z43" s="1747"/>
      <c r="AA43" s="1747"/>
      <c r="AB43" s="1747"/>
      <c r="AC43" s="925"/>
      <c r="AF43" s="2063"/>
      <c r="AG43" s="289"/>
      <c r="AH43" s="932" t="s">
        <v>256</v>
      </c>
      <c r="AI43" s="1767"/>
      <c r="AJ43" s="1767"/>
      <c r="AK43" s="1767"/>
      <c r="AL43" s="1767"/>
      <c r="AM43" s="1767"/>
      <c r="AP43" s="2063"/>
      <c r="AQ43" s="289"/>
      <c r="AR43" s="932" t="s">
        <v>256</v>
      </c>
      <c r="AS43" s="1767"/>
      <c r="AT43" s="1767"/>
      <c r="AU43" s="1767"/>
      <c r="AV43" s="1767"/>
      <c r="AW43" s="1767"/>
      <c r="AY43" s="2063"/>
      <c r="AZ43" s="289"/>
      <c r="BA43" s="932" t="s">
        <v>256</v>
      </c>
      <c r="BB43" s="1768"/>
      <c r="BC43" s="1768"/>
      <c r="BD43" s="1768"/>
      <c r="BE43" s="1768"/>
      <c r="BF43" s="1768">
        <v>1</v>
      </c>
      <c r="BG43" s="714">
        <f>BF43/BF42*1000</f>
        <v>4.5915209071859643E-3</v>
      </c>
      <c r="BH43" s="700"/>
      <c r="BJ43" s="2063"/>
      <c r="BK43" s="289"/>
      <c r="BL43" s="932" t="s">
        <v>256</v>
      </c>
      <c r="BM43" s="1768"/>
      <c r="BN43" s="1768"/>
      <c r="BO43" s="1768"/>
      <c r="BP43" s="1768"/>
      <c r="BQ43" s="1768"/>
      <c r="BT43" s="2063"/>
      <c r="BU43" s="289"/>
      <c r="BV43" s="932" t="s">
        <v>256</v>
      </c>
      <c r="BW43" s="1767"/>
      <c r="BX43" s="1767"/>
      <c r="BY43" s="1767"/>
      <c r="BZ43" s="1767"/>
      <c r="CA43" s="1767"/>
      <c r="CE43" s="2063"/>
      <c r="CF43" s="289"/>
      <c r="CG43" s="932" t="s">
        <v>256</v>
      </c>
      <c r="CH43" s="1767"/>
      <c r="CI43" s="1767"/>
      <c r="CJ43" s="1767"/>
      <c r="CK43" s="1767"/>
      <c r="CL43" s="1067">
        <v>15</v>
      </c>
      <c r="CM43" s="1">
        <f>CL43/CL42*1000</f>
        <v>0.12126855110017923</v>
      </c>
      <c r="CP43" s="2063"/>
      <c r="CQ43" s="289"/>
      <c r="CR43" s="932" t="s">
        <v>256</v>
      </c>
      <c r="CS43" s="1767"/>
      <c r="CT43" s="1767"/>
      <c r="CU43" s="1767"/>
      <c r="CV43" s="1767"/>
      <c r="CW43" s="1067">
        <v>27</v>
      </c>
      <c r="CX43" s="1">
        <f>CW43/CW42*1000</f>
        <v>0.26043962553298511</v>
      </c>
      <c r="CZ43" s="2031"/>
      <c r="DA43" s="1369"/>
      <c r="DB43" s="1363" t="s">
        <v>256</v>
      </c>
      <c r="DC43" s="1370"/>
      <c r="DD43" s="1370"/>
      <c r="DE43" s="1370">
        <v>23</v>
      </c>
      <c r="DF43" s="1370"/>
      <c r="DG43" s="1368">
        <f>SUM(DC43:DF43)</f>
        <v>23</v>
      </c>
      <c r="DH43" s="1">
        <f>DG43/DG42*1000</f>
        <v>9.4280235193056922E-2</v>
      </c>
      <c r="DJ43" s="2031"/>
      <c r="DK43" s="1369"/>
      <c r="DL43" s="1363" t="s">
        <v>256</v>
      </c>
    </row>
    <row r="44" spans="2:122">
      <c r="B44" s="289"/>
      <c r="C44" s="289"/>
      <c r="D44" s="932" t="s">
        <v>257</v>
      </c>
      <c r="E44" s="743">
        <v>1005</v>
      </c>
      <c r="F44" s="1747">
        <v>2762</v>
      </c>
      <c r="G44" s="1747">
        <v>973</v>
      </c>
      <c r="H44" s="1747">
        <v>1672</v>
      </c>
      <c r="I44" s="925">
        <f t="shared" si="15"/>
        <v>6412</v>
      </c>
      <c r="L44" s="289"/>
      <c r="M44" s="289"/>
      <c r="N44" s="932" t="s">
        <v>257</v>
      </c>
      <c r="O44" s="743"/>
      <c r="P44" s="1747"/>
      <c r="Q44" s="1747"/>
      <c r="R44" s="1747"/>
      <c r="S44" s="925"/>
      <c r="V44" s="2063"/>
      <c r="W44" s="289"/>
      <c r="X44" s="932" t="s">
        <v>257</v>
      </c>
      <c r="Y44" s="743"/>
      <c r="Z44" s="1747"/>
      <c r="AA44" s="1747"/>
      <c r="AB44" s="1747"/>
      <c r="AC44" s="925"/>
      <c r="AF44" s="2063"/>
      <c r="AG44" s="289"/>
      <c r="AH44" s="932" t="s">
        <v>257</v>
      </c>
      <c r="AI44" s="1767"/>
      <c r="AJ44" s="1767"/>
      <c r="AK44" s="1767"/>
      <c r="AL44" s="1767"/>
      <c r="AM44" s="1767"/>
      <c r="AP44" s="2063"/>
      <c r="AQ44" s="289"/>
      <c r="AR44" s="932" t="s">
        <v>257</v>
      </c>
      <c r="AS44" s="1767"/>
      <c r="AT44" s="1767"/>
      <c r="AU44" s="1767"/>
      <c r="AV44" s="1767"/>
      <c r="AW44" s="1767"/>
      <c r="AY44" s="2063"/>
      <c r="AZ44" s="289"/>
      <c r="BA44" s="932" t="s">
        <v>257</v>
      </c>
      <c r="BB44" s="1768"/>
      <c r="BC44" s="1768"/>
      <c r="BD44" s="1768"/>
      <c r="BE44" s="1768"/>
      <c r="BF44" s="1768">
        <v>55</v>
      </c>
      <c r="BG44" s="700"/>
      <c r="BH44" s="700"/>
      <c r="BJ44" s="2063"/>
      <c r="BK44" s="289"/>
      <c r="BL44" s="932" t="s">
        <v>257</v>
      </c>
      <c r="BM44" s="1768"/>
      <c r="BN44" s="1768"/>
      <c r="BO44" s="1768"/>
      <c r="BP44" s="1768"/>
      <c r="BQ44" s="1768"/>
      <c r="BT44" s="2063"/>
      <c r="BU44" s="289"/>
      <c r="BV44" s="932" t="s">
        <v>257</v>
      </c>
      <c r="BW44">
        <v>263</v>
      </c>
      <c r="BX44">
        <v>4923</v>
      </c>
      <c r="BY44">
        <v>706</v>
      </c>
      <c r="BZ44">
        <v>327</v>
      </c>
      <c r="CA44">
        <v>6219</v>
      </c>
      <c r="CE44" s="2063"/>
      <c r="CF44" s="289"/>
      <c r="CG44" s="932" t="s">
        <v>257</v>
      </c>
      <c r="CH44">
        <v>0</v>
      </c>
      <c r="CI44">
        <v>0</v>
      </c>
      <c r="CJ44">
        <v>163</v>
      </c>
      <c r="CK44">
        <v>616</v>
      </c>
      <c r="CL44" s="1067">
        <f>SUM(CH44:CK44)</f>
        <v>779</v>
      </c>
      <c r="CN44" s="75" t="s">
        <v>18</v>
      </c>
      <c r="CP44" s="2063"/>
      <c r="CQ44" s="289"/>
      <c r="CR44" s="932" t="s">
        <v>257</v>
      </c>
      <c r="CS44" s="73" t="s">
        <v>18</v>
      </c>
      <c r="CT44" s="73" t="s">
        <v>18</v>
      </c>
      <c r="CU44" s="73" t="s">
        <v>18</v>
      </c>
      <c r="CV44" s="73" t="s">
        <v>18</v>
      </c>
      <c r="CW44" s="1067" t="s">
        <v>18</v>
      </c>
      <c r="CZ44" s="2031"/>
      <c r="DA44" s="1369"/>
      <c r="DB44" s="1363" t="s">
        <v>257</v>
      </c>
      <c r="DC44" s="1367" t="s">
        <v>18</v>
      </c>
      <c r="DD44" s="1367" t="s">
        <v>18</v>
      </c>
      <c r="DE44" s="1367" t="s">
        <v>18</v>
      </c>
      <c r="DF44" s="1367" t="s">
        <v>18</v>
      </c>
      <c r="DG44" s="1368">
        <f>SUM(DC44:DF44)</f>
        <v>0</v>
      </c>
      <c r="DJ44" s="2031"/>
      <c r="DK44" s="1369"/>
      <c r="DL44" s="1363" t="s">
        <v>257</v>
      </c>
    </row>
    <row r="45" spans="2:122">
      <c r="B45" s="289"/>
      <c r="C45" s="289"/>
      <c r="D45" s="932" t="s">
        <v>258</v>
      </c>
      <c r="E45" s="756"/>
      <c r="F45" s="1769"/>
      <c r="G45" s="1769"/>
      <c r="H45" s="1769"/>
      <c r="I45" s="925">
        <f t="shared" si="15"/>
        <v>0</v>
      </c>
      <c r="L45" s="289"/>
      <c r="M45" s="289"/>
      <c r="N45" s="932" t="s">
        <v>258</v>
      </c>
      <c r="O45" s="756"/>
      <c r="P45" s="1769"/>
      <c r="Q45" s="1769"/>
      <c r="R45" s="1769"/>
      <c r="S45" s="925"/>
      <c r="V45" s="2063"/>
      <c r="W45" s="289"/>
      <c r="X45" s="932" t="s">
        <v>258</v>
      </c>
      <c r="Y45" s="756"/>
      <c r="Z45" s="1769"/>
      <c r="AA45" s="1769"/>
      <c r="AB45" s="1769"/>
      <c r="AC45" s="925"/>
      <c r="AF45" s="2063"/>
      <c r="AG45" s="289"/>
      <c r="AH45" s="932" t="s">
        <v>258</v>
      </c>
      <c r="AI45" s="1151"/>
      <c r="AJ45" s="1151"/>
      <c r="AK45" s="1151"/>
      <c r="AL45" s="1151"/>
      <c r="AM45" s="1767"/>
      <c r="AP45" s="2063"/>
      <c r="AQ45" s="289"/>
      <c r="AR45" s="932" t="s">
        <v>258</v>
      </c>
      <c r="AS45" s="1151"/>
      <c r="AT45" s="1151"/>
      <c r="AU45" s="1151"/>
      <c r="AV45" s="1151"/>
      <c r="AW45" s="1767"/>
      <c r="AY45" s="2063"/>
      <c r="AZ45" s="289"/>
      <c r="BA45" s="932" t="s">
        <v>258</v>
      </c>
      <c r="BB45" s="1770"/>
      <c r="BC45" s="1770"/>
      <c r="BD45" s="1770"/>
      <c r="BE45" s="1770"/>
      <c r="BF45" s="1768"/>
      <c r="BG45" s="700"/>
      <c r="BH45" s="700"/>
      <c r="BJ45" s="2063"/>
      <c r="BK45" s="289"/>
      <c r="BL45" s="932" t="s">
        <v>258</v>
      </c>
      <c r="BM45" s="1770"/>
      <c r="BN45" s="1770"/>
      <c r="BO45" s="1770"/>
      <c r="BP45" s="1770"/>
      <c r="BQ45" s="1768"/>
      <c r="BT45" s="2063"/>
      <c r="BU45" s="289"/>
      <c r="BV45" s="932" t="s">
        <v>258</v>
      </c>
      <c r="BW45" s="1194"/>
      <c r="BX45" s="1194"/>
      <c r="BY45" s="1194"/>
      <c r="BZ45" s="1194"/>
      <c r="CA45" s="1767"/>
      <c r="CE45" s="2063"/>
      <c r="CF45" s="289"/>
      <c r="CG45" s="932" t="s">
        <v>258</v>
      </c>
      <c r="CH45" s="1194"/>
      <c r="CI45" s="1194"/>
      <c r="CJ45" s="1194">
        <v>2.8000000000000001E-2</v>
      </c>
      <c r="CK45" s="1194">
        <v>0.16369999999999998</v>
      </c>
      <c r="CL45" s="1067">
        <f>SUM(CH45:CK45)</f>
        <v>0.19169999999999998</v>
      </c>
      <c r="CN45" s="75" t="s">
        <v>18</v>
      </c>
      <c r="CP45" s="2063"/>
      <c r="CQ45" s="289"/>
      <c r="CR45" s="932" t="s">
        <v>258</v>
      </c>
      <c r="CS45" s="1194"/>
      <c r="CT45" s="1194"/>
      <c r="CU45" s="1194" t="s">
        <v>18</v>
      </c>
      <c r="CV45" s="1194" t="s">
        <v>18</v>
      </c>
      <c r="CW45" s="1067" t="s">
        <v>18</v>
      </c>
      <c r="CZ45" s="2031"/>
      <c r="DA45" s="1369"/>
      <c r="DB45" s="1363" t="s">
        <v>258</v>
      </c>
      <c r="DC45" s="1366"/>
      <c r="DD45" s="1366"/>
      <c r="DE45" s="1366" t="s">
        <v>18</v>
      </c>
      <c r="DF45" s="1366" t="s">
        <v>18</v>
      </c>
      <c r="DG45" s="1368" t="s">
        <v>18</v>
      </c>
      <c r="DJ45" s="2031"/>
      <c r="DK45" s="1369"/>
      <c r="DL45" s="1363" t="s">
        <v>258</v>
      </c>
    </row>
    <row r="46" spans="2:122" ht="13.8" thickBot="1">
      <c r="B46" s="290"/>
      <c r="C46" s="291"/>
      <c r="D46" s="933" t="s">
        <v>274</v>
      </c>
      <c r="E46" s="757"/>
      <c r="F46" s="758"/>
      <c r="G46" s="758"/>
      <c r="H46" s="758"/>
      <c r="I46" s="759"/>
      <c r="K46" s="2">
        <f>+I42+I47</f>
        <v>194531.26494000002</v>
      </c>
      <c r="L46" s="290"/>
      <c r="M46" s="291"/>
      <c r="N46" s="933" t="s">
        <v>274</v>
      </c>
      <c r="O46" s="757"/>
      <c r="P46" s="758"/>
      <c r="Q46" s="758"/>
      <c r="R46" s="758"/>
      <c r="S46" s="759"/>
      <c r="T46" s="2"/>
      <c r="U46" s="2">
        <f>+S42+S47</f>
        <v>26791</v>
      </c>
      <c r="V46" s="2064"/>
      <c r="W46" s="291"/>
      <c r="X46" s="933" t="s">
        <v>274</v>
      </c>
      <c r="Y46" s="760"/>
      <c r="Z46" s="761"/>
      <c r="AA46" s="761"/>
      <c r="AB46" s="761"/>
      <c r="AC46" s="762"/>
      <c r="AF46" s="2064"/>
      <c r="AG46" s="291"/>
      <c r="AH46" s="933" t="s">
        <v>274</v>
      </c>
      <c r="AI46" s="1151"/>
      <c r="AJ46" s="1151"/>
      <c r="AK46" s="1151"/>
      <c r="AL46" s="1151"/>
      <c r="AM46" s="1151"/>
      <c r="AP46" s="2064"/>
      <c r="AQ46" s="291"/>
      <c r="AR46" s="933" t="s">
        <v>274</v>
      </c>
      <c r="AS46" s="1151"/>
      <c r="AT46" s="1151"/>
      <c r="AU46" s="1151"/>
      <c r="AV46" s="1151"/>
      <c r="AW46" s="1151"/>
      <c r="AY46" s="2064"/>
      <c r="AZ46" s="291"/>
      <c r="BA46" s="933" t="s">
        <v>274</v>
      </c>
      <c r="BB46" s="1770"/>
      <c r="BC46" s="1770"/>
      <c r="BD46" s="1770"/>
      <c r="BE46" s="1770"/>
      <c r="BF46" s="1770"/>
      <c r="BG46" s="700"/>
      <c r="BH46" s="700"/>
      <c r="BJ46" s="2064"/>
      <c r="BK46" s="291"/>
      <c r="BL46" s="933" t="s">
        <v>274</v>
      </c>
      <c r="BM46" s="1770"/>
      <c r="BN46" s="1770"/>
      <c r="BO46" s="1770"/>
      <c r="BP46" s="1770"/>
      <c r="BQ46" s="1770"/>
      <c r="BT46" s="2064"/>
      <c r="BU46" s="291"/>
      <c r="BV46" s="933" t="s">
        <v>274</v>
      </c>
      <c r="BW46" s="20">
        <v>112.4</v>
      </c>
      <c r="BX46" s="20">
        <v>613.66</v>
      </c>
      <c r="BY46" s="20">
        <v>0.42</v>
      </c>
      <c r="BZ46" s="20"/>
      <c r="CA46" s="20">
        <v>726.48</v>
      </c>
      <c r="CB46" s="418">
        <f>CA46/CA42*1000</f>
        <v>9.6666730853784397</v>
      </c>
      <c r="CE46" s="2064"/>
      <c r="CF46" s="291"/>
      <c r="CG46" s="933" t="s">
        <v>274</v>
      </c>
      <c r="CH46" s="20" t="s">
        <v>18</v>
      </c>
      <c r="CI46" s="20" t="s">
        <v>18</v>
      </c>
      <c r="CJ46">
        <v>2.8000000000000001E-2</v>
      </c>
      <c r="CK46">
        <v>0.16369999999999998</v>
      </c>
      <c r="CL46" s="1067">
        <f>SUM(CH46:CK46)</f>
        <v>0.19169999999999998</v>
      </c>
      <c r="CM46" s="418" t="s">
        <v>18</v>
      </c>
      <c r="CP46" s="2064"/>
      <c r="CQ46" s="291"/>
      <c r="CR46" s="933" t="s">
        <v>274</v>
      </c>
      <c r="CS46" s="20" t="s">
        <v>18</v>
      </c>
      <c r="CT46" s="1233" t="s">
        <v>18</v>
      </c>
      <c r="CU46" s="73" t="s">
        <v>18</v>
      </c>
      <c r="CV46" s="73" t="s">
        <v>18</v>
      </c>
      <c r="CW46" s="1067" t="s">
        <v>18</v>
      </c>
      <c r="CX46" s="418" t="s">
        <v>18</v>
      </c>
      <c r="CZ46" s="2032"/>
      <c r="DA46" s="1371"/>
      <c r="DB46" s="1364" t="s">
        <v>274</v>
      </c>
      <c r="DC46" s="1328" t="s">
        <v>18</v>
      </c>
      <c r="DD46" s="1328" t="s">
        <v>18</v>
      </c>
      <c r="DE46" s="1367" t="s">
        <v>18</v>
      </c>
      <c r="DF46" s="1367" t="s">
        <v>18</v>
      </c>
      <c r="DG46" s="1368" t="s">
        <v>18</v>
      </c>
      <c r="DH46" s="418" t="s">
        <v>18</v>
      </c>
      <c r="DJ46" s="2032"/>
      <c r="DK46" s="1371"/>
      <c r="DL46" s="1364" t="s">
        <v>274</v>
      </c>
    </row>
    <row r="47" spans="2:122" ht="12.75" customHeight="1">
      <c r="B47" s="755" t="s">
        <v>29</v>
      </c>
      <c r="C47" s="274" t="s">
        <v>22</v>
      </c>
      <c r="D47" s="180" t="s">
        <v>255</v>
      </c>
      <c r="E47" s="184">
        <v>678</v>
      </c>
      <c r="F47" s="183">
        <v>16385</v>
      </c>
      <c r="G47" s="183">
        <v>4193</v>
      </c>
      <c r="H47" s="183">
        <v>681</v>
      </c>
      <c r="I47" s="185">
        <f>SUM(E47:H47)</f>
        <v>21937</v>
      </c>
      <c r="K47" s="2">
        <f>+I43+I48</f>
        <v>237</v>
      </c>
      <c r="L47" s="755" t="s">
        <v>29</v>
      </c>
      <c r="M47" s="274" t="s">
        <v>22</v>
      </c>
      <c r="N47" s="180" t="s">
        <v>255</v>
      </c>
      <c r="O47" s="331">
        <v>1134</v>
      </c>
      <c r="P47" s="332">
        <v>19124</v>
      </c>
      <c r="Q47" s="332">
        <v>6001</v>
      </c>
      <c r="R47" s="332">
        <v>532</v>
      </c>
      <c r="S47" s="333">
        <f>SUM(O47:R47)</f>
        <v>26791</v>
      </c>
      <c r="T47" s="2"/>
      <c r="U47" s="2">
        <f>+S43+S48</f>
        <v>45</v>
      </c>
      <c r="V47" s="2062" t="s">
        <v>29</v>
      </c>
      <c r="W47" s="274" t="s">
        <v>22</v>
      </c>
      <c r="X47" s="180" t="s">
        <v>255</v>
      </c>
      <c r="Y47" s="1771">
        <v>4611</v>
      </c>
      <c r="Z47" s="1771">
        <v>15817</v>
      </c>
      <c r="AA47" s="1771">
        <v>12267</v>
      </c>
      <c r="AB47" s="1771">
        <v>1362</v>
      </c>
      <c r="AC47" s="1771">
        <f>SUM(Y47:AB47)</f>
        <v>34057</v>
      </c>
      <c r="AF47" s="2062" t="s">
        <v>29</v>
      </c>
      <c r="AG47" s="274" t="s">
        <v>22</v>
      </c>
      <c r="AH47" s="180" t="s">
        <v>255</v>
      </c>
      <c r="AI47" s="1765">
        <v>6394</v>
      </c>
      <c r="AJ47" s="1765">
        <v>11142</v>
      </c>
      <c r="AK47" s="1765">
        <v>5224</v>
      </c>
      <c r="AL47" s="1765">
        <v>567</v>
      </c>
      <c r="AM47" s="1765">
        <f>SUM(AI47:AL47)</f>
        <v>23327</v>
      </c>
      <c r="AP47" s="2062" t="s">
        <v>29</v>
      </c>
      <c r="AQ47" s="274" t="s">
        <v>22</v>
      </c>
      <c r="AR47" s="180" t="s">
        <v>255</v>
      </c>
      <c r="AS47" s="521">
        <v>6760</v>
      </c>
      <c r="AT47" s="522">
        <v>21219</v>
      </c>
      <c r="AU47" s="522">
        <v>8662</v>
      </c>
      <c r="AV47" s="522">
        <v>943</v>
      </c>
      <c r="AW47" s="523">
        <f>SUM(AS47:AV47)</f>
        <v>37584</v>
      </c>
      <c r="AY47" s="2062" t="s">
        <v>29</v>
      </c>
      <c r="AZ47" s="274" t="s">
        <v>22</v>
      </c>
      <c r="BA47" s="180" t="s">
        <v>255</v>
      </c>
      <c r="BB47" s="521">
        <v>4780</v>
      </c>
      <c r="BC47" s="522">
        <v>11634</v>
      </c>
      <c r="BD47" s="522">
        <v>5733</v>
      </c>
      <c r="BE47" s="522">
        <v>165</v>
      </c>
      <c r="BF47" s="523">
        <f t="shared" ref="BF47:BF55" si="16">SUM(BB47:BE47)</f>
        <v>22312</v>
      </c>
      <c r="BJ47" s="2062" t="s">
        <v>29</v>
      </c>
      <c r="BK47" s="274" t="s">
        <v>22</v>
      </c>
      <c r="BL47" s="180" t="s">
        <v>255</v>
      </c>
      <c r="BM47" s="868">
        <v>5605</v>
      </c>
      <c r="BN47" s="869">
        <v>23238</v>
      </c>
      <c r="BO47" s="869">
        <v>5580</v>
      </c>
      <c r="BP47" s="869">
        <v>1918</v>
      </c>
      <c r="BQ47" s="870">
        <v>36341</v>
      </c>
      <c r="BT47" s="2062" t="s">
        <v>29</v>
      </c>
      <c r="BU47" s="274" t="s">
        <v>22</v>
      </c>
      <c r="BV47" s="180" t="s">
        <v>255</v>
      </c>
      <c r="BW47" s="1071">
        <v>1350.1120000000001</v>
      </c>
      <c r="BX47" s="1072">
        <v>12458.859</v>
      </c>
      <c r="BY47" s="1072">
        <v>2156.4270000000001</v>
      </c>
      <c r="BZ47" s="1072">
        <v>243.23429735682822</v>
      </c>
      <c r="CA47" s="1073">
        <v>16208.632297356829</v>
      </c>
      <c r="CE47" s="2062" t="s">
        <v>29</v>
      </c>
      <c r="CF47" s="274" t="s">
        <v>22</v>
      </c>
      <c r="CG47" s="180" t="s">
        <v>255</v>
      </c>
      <c r="CH47" s="1071">
        <v>63</v>
      </c>
      <c r="CI47" s="1072">
        <v>9903</v>
      </c>
      <c r="CJ47">
        <v>3466</v>
      </c>
      <c r="CK47">
        <v>1654</v>
      </c>
      <c r="CL47" s="1073">
        <v>15086</v>
      </c>
      <c r="CP47" s="2062" t="s">
        <v>29</v>
      </c>
      <c r="CQ47" s="274" t="s">
        <v>22</v>
      </c>
      <c r="CR47" s="180" t="s">
        <v>255</v>
      </c>
      <c r="CS47" s="1211">
        <v>44</v>
      </c>
      <c r="CT47" s="1212">
        <v>8725</v>
      </c>
      <c r="CU47" s="73">
        <v>2156</v>
      </c>
      <c r="CV47" s="73">
        <v>1434</v>
      </c>
      <c r="CW47" s="1226">
        <v>12358</v>
      </c>
      <c r="CZ47" s="2030" t="s">
        <v>29</v>
      </c>
      <c r="DA47" s="1349" t="s">
        <v>22</v>
      </c>
      <c r="DB47" s="1361" t="s">
        <v>255</v>
      </c>
      <c r="DC47" s="1071">
        <v>5922.11078</v>
      </c>
      <c r="DD47" s="1072">
        <v>15777.92137</v>
      </c>
      <c r="DE47" s="20">
        <v>2592.3000000000002</v>
      </c>
      <c r="DF47">
        <v>2322</v>
      </c>
      <c r="DG47" s="1372">
        <f>SUM(DC47:DF47)</f>
        <v>26614.332149999998</v>
      </c>
      <c r="DJ47" s="2030" t="s">
        <v>29</v>
      </c>
      <c r="DK47" s="1349" t="s">
        <v>22</v>
      </c>
      <c r="DL47" s="1361" t="s">
        <v>255</v>
      </c>
      <c r="DM47" s="1950">
        <v>4586.5</v>
      </c>
      <c r="DN47" s="1950">
        <v>18089.7</v>
      </c>
      <c r="DO47" s="1950">
        <v>6809.7</v>
      </c>
      <c r="DP47" s="1950">
        <v>0</v>
      </c>
      <c r="DQ47" s="1950">
        <v>29485.9</v>
      </c>
    </row>
    <row r="48" spans="2:122">
      <c r="B48" s="289"/>
      <c r="C48" s="275"/>
      <c r="D48" s="932" t="s">
        <v>256</v>
      </c>
      <c r="E48" s="743">
        <v>0</v>
      </c>
      <c r="F48" s="1747">
        <v>97</v>
      </c>
      <c r="G48" s="1747">
        <v>25</v>
      </c>
      <c r="H48" s="1747">
        <v>25</v>
      </c>
      <c r="I48" s="925">
        <f>SUM(E48:H48)</f>
        <v>147</v>
      </c>
      <c r="L48" s="289"/>
      <c r="M48" s="275"/>
      <c r="N48" s="932" t="s">
        <v>256</v>
      </c>
      <c r="O48" s="334">
        <v>0</v>
      </c>
      <c r="P48" s="336">
        <v>29</v>
      </c>
      <c r="Q48" s="336">
        <v>16</v>
      </c>
      <c r="R48" s="336">
        <v>0</v>
      </c>
      <c r="S48" s="337">
        <f>SUM(O48:R48)</f>
        <v>45</v>
      </c>
      <c r="T48" s="418">
        <f>S48/S47*1000</f>
        <v>1.6796685454070397</v>
      </c>
      <c r="U48" s="1">
        <f>+S48/S47*1000</f>
        <v>1.6796685454070397</v>
      </c>
      <c r="V48" s="2063"/>
      <c r="W48" s="275"/>
      <c r="X48" s="932" t="s">
        <v>256</v>
      </c>
      <c r="Y48" s="1772">
        <v>47</v>
      </c>
      <c r="Z48" s="1772">
        <v>95</v>
      </c>
      <c r="AA48" s="1772">
        <v>59</v>
      </c>
      <c r="AB48" s="1772">
        <v>0</v>
      </c>
      <c r="AC48" s="1771">
        <f>SUM(Y48:AB48)</f>
        <v>201</v>
      </c>
      <c r="AD48" s="418">
        <f>AC48/AC47*1000</f>
        <v>5.9018703937516523</v>
      </c>
      <c r="AF48" s="2063"/>
      <c r="AG48" s="275"/>
      <c r="AH48" s="932" t="s">
        <v>256</v>
      </c>
      <c r="AI48" s="1773">
        <v>0</v>
      </c>
      <c r="AJ48" s="1773">
        <v>45</v>
      </c>
      <c r="AK48" s="1773">
        <v>27</v>
      </c>
      <c r="AL48" s="1773">
        <v>0</v>
      </c>
      <c r="AM48" s="1765">
        <f>SUM(AI48:AL48)</f>
        <v>72</v>
      </c>
      <c r="AN48" s="418">
        <f>AM48/AM47*1000</f>
        <v>3.0865520641316926</v>
      </c>
      <c r="AP48" s="2063"/>
      <c r="AQ48" s="275"/>
      <c r="AR48" s="932" t="s">
        <v>256</v>
      </c>
      <c r="AS48" s="516">
        <v>14</v>
      </c>
      <c r="AT48" s="335">
        <v>109</v>
      </c>
      <c r="AU48" s="335">
        <v>15</v>
      </c>
      <c r="AV48" s="335">
        <v>0</v>
      </c>
      <c r="AW48" s="517">
        <f>SUM(AS48:AV48)</f>
        <v>138</v>
      </c>
      <c r="AX48" s="418">
        <f>AW48/AW47*1000</f>
        <v>3.6717752234993615</v>
      </c>
      <c r="AY48" s="2063"/>
      <c r="AZ48" s="275"/>
      <c r="BA48" s="932" t="s">
        <v>256</v>
      </c>
      <c r="BB48" s="516">
        <v>0</v>
      </c>
      <c r="BC48" s="335">
        <v>29</v>
      </c>
      <c r="BD48" s="335">
        <v>16</v>
      </c>
      <c r="BE48" s="335">
        <v>0</v>
      </c>
      <c r="BF48" s="517">
        <f t="shared" si="16"/>
        <v>45</v>
      </c>
      <c r="BG48" s="2">
        <f>BF48/BF47*1000</f>
        <v>2.0168519182502687</v>
      </c>
      <c r="BJ48" s="2063"/>
      <c r="BK48" s="275"/>
      <c r="BL48" s="932" t="s">
        <v>256</v>
      </c>
      <c r="BM48" s="865">
        <v>0</v>
      </c>
      <c r="BN48" s="861">
        <v>17</v>
      </c>
      <c r="BO48" s="866">
        <v>31</v>
      </c>
      <c r="BP48" s="866">
        <v>63</v>
      </c>
      <c r="BQ48" s="867">
        <v>111</v>
      </c>
      <c r="BR48" s="1">
        <f>BQ48/BQ47*1000</f>
        <v>3.0544013648496189</v>
      </c>
      <c r="BT48" s="2063"/>
      <c r="BU48" s="275"/>
      <c r="BV48" s="932" t="s">
        <v>256</v>
      </c>
      <c r="BW48" s="334">
        <v>28</v>
      </c>
      <c r="BX48" s="336">
        <v>87</v>
      </c>
      <c r="BY48" s="336">
        <v>23</v>
      </c>
      <c r="BZ48" s="336">
        <v>11</v>
      </c>
      <c r="CA48" s="337">
        <f t="shared" ref="CA48:CA53" si="17">SUM(BW48:BZ48)</f>
        <v>149</v>
      </c>
      <c r="CB48" s="1">
        <f>CA48/CA47*1000</f>
        <v>9.1926324977029488</v>
      </c>
      <c r="CE48" s="2063"/>
      <c r="CF48" s="275"/>
      <c r="CG48" s="932" t="s">
        <v>256</v>
      </c>
      <c r="CH48" s="334">
        <v>10</v>
      </c>
      <c r="CI48" s="336">
        <v>87</v>
      </c>
      <c r="CJ48" s="336">
        <v>17</v>
      </c>
      <c r="CK48" s="336">
        <v>0</v>
      </c>
      <c r="CL48" s="337">
        <f t="shared" ref="CL48:CL53" si="18">SUM(CH48:CK48)</f>
        <v>114</v>
      </c>
      <c r="CM48" s="1">
        <f>CL48/CL47*1000</f>
        <v>7.5566750629722916</v>
      </c>
      <c r="CP48" s="2063"/>
      <c r="CQ48" s="275"/>
      <c r="CR48" s="932" t="s">
        <v>256</v>
      </c>
      <c r="CS48" s="1227">
        <v>0</v>
      </c>
      <c r="CT48" s="1228">
        <v>25</v>
      </c>
      <c r="CU48" s="1228">
        <v>46</v>
      </c>
      <c r="CV48" s="1228">
        <v>51</v>
      </c>
      <c r="CW48" s="1229">
        <v>122</v>
      </c>
      <c r="CX48" s="1">
        <f>CW48/CW47*1000</f>
        <v>9.8721475966984951</v>
      </c>
      <c r="CZ48" s="2031"/>
      <c r="DA48" s="1351"/>
      <c r="DB48" s="1363" t="s">
        <v>256</v>
      </c>
      <c r="DC48" s="334">
        <v>12</v>
      </c>
      <c r="DD48" s="336">
        <v>5</v>
      </c>
      <c r="DE48" s="336">
        <v>94</v>
      </c>
      <c r="DF48" s="336">
        <v>51</v>
      </c>
      <c r="DG48" s="1373">
        <f>SUM(DC48:DF48)</f>
        <v>162</v>
      </c>
      <c r="DH48" s="35">
        <f>DG48/DG47*1000</f>
        <v>6.0869459014398002</v>
      </c>
      <c r="DJ48" s="2031"/>
      <c r="DK48" s="1351"/>
      <c r="DL48" s="1363" t="s">
        <v>256</v>
      </c>
      <c r="DM48" s="1958">
        <v>0</v>
      </c>
      <c r="DN48" s="1959">
        <v>0</v>
      </c>
      <c r="DO48" s="1959">
        <v>0</v>
      </c>
      <c r="DP48" s="1959">
        <v>0</v>
      </c>
      <c r="DQ48" s="1960">
        <v>0</v>
      </c>
      <c r="DR48" s="35">
        <f>DQ48/DQ47*1000</f>
        <v>0</v>
      </c>
    </row>
    <row r="49" spans="2:122" ht="12.75" customHeight="1">
      <c r="B49" s="289"/>
      <c r="C49" s="275"/>
      <c r="D49" s="932" t="s">
        <v>257</v>
      </c>
      <c r="E49" s="743">
        <v>0</v>
      </c>
      <c r="F49" s="1747">
        <v>30353</v>
      </c>
      <c r="G49" s="1747">
        <v>7610</v>
      </c>
      <c r="H49" s="1747">
        <v>7942</v>
      </c>
      <c r="I49" s="925">
        <f>SUM(E49:H49)</f>
        <v>45905</v>
      </c>
      <c r="L49" s="289"/>
      <c r="M49" s="275"/>
      <c r="N49" s="932" t="s">
        <v>257</v>
      </c>
      <c r="O49" s="334">
        <v>0</v>
      </c>
      <c r="P49" s="336">
        <v>7668</v>
      </c>
      <c r="Q49" s="336">
        <v>4279</v>
      </c>
      <c r="R49" s="336">
        <v>0</v>
      </c>
      <c r="S49" s="337">
        <f>SUM(O49:R49)</f>
        <v>11947</v>
      </c>
      <c r="V49" s="2063"/>
      <c r="W49" s="275"/>
      <c r="X49" s="932" t="s">
        <v>257</v>
      </c>
      <c r="Y49" s="1772">
        <v>7012</v>
      </c>
      <c r="Z49" s="1772">
        <v>29851</v>
      </c>
      <c r="AA49" s="1772">
        <v>16144</v>
      </c>
      <c r="AB49" s="1772">
        <v>0</v>
      </c>
      <c r="AC49" s="1771">
        <f>SUM(Y49:AB49)</f>
        <v>53007</v>
      </c>
      <c r="AF49" s="2063"/>
      <c r="AG49" s="275"/>
      <c r="AH49" s="932" t="s">
        <v>257</v>
      </c>
      <c r="AI49" s="1773">
        <v>0</v>
      </c>
      <c r="AJ49" s="1773">
        <v>13950</v>
      </c>
      <c r="AK49" s="1773">
        <v>8098</v>
      </c>
      <c r="AL49" s="1773">
        <v>0</v>
      </c>
      <c r="AM49" s="1765">
        <f>SUM(AI49:AL49)</f>
        <v>22048</v>
      </c>
      <c r="AP49" s="2063"/>
      <c r="AQ49" s="275"/>
      <c r="AR49" s="932" t="s">
        <v>257</v>
      </c>
      <c r="AS49" s="516">
        <v>3920</v>
      </c>
      <c r="AT49" s="335">
        <v>30162</v>
      </c>
      <c r="AU49" s="335">
        <v>4638</v>
      </c>
      <c r="AV49" s="335">
        <v>0</v>
      </c>
      <c r="AW49" s="517">
        <f>SUM(AS49:AV49)</f>
        <v>38720</v>
      </c>
      <c r="AY49" s="2063"/>
      <c r="AZ49" s="275"/>
      <c r="BA49" s="932" t="s">
        <v>257</v>
      </c>
      <c r="BB49" s="516">
        <v>0</v>
      </c>
      <c r="BC49" s="335">
        <v>7768</v>
      </c>
      <c r="BD49" s="335">
        <v>4279</v>
      </c>
      <c r="BE49" s="335">
        <v>0</v>
      </c>
      <c r="BF49" s="517">
        <f t="shared" si="16"/>
        <v>12047</v>
      </c>
      <c r="BJ49" s="2063"/>
      <c r="BK49" s="275"/>
      <c r="BL49" s="932" t="s">
        <v>257</v>
      </c>
      <c r="BM49" s="865">
        <v>0</v>
      </c>
      <c r="BN49" s="866">
        <v>3612</v>
      </c>
      <c r="BO49" s="866">
        <v>6544</v>
      </c>
      <c r="BP49" s="866">
        <v>12963</v>
      </c>
      <c r="BQ49" s="867">
        <v>23119</v>
      </c>
      <c r="BT49" s="2063"/>
      <c r="BU49" s="275"/>
      <c r="BV49" s="932" t="s">
        <v>257</v>
      </c>
      <c r="BW49" s="334">
        <v>2847</v>
      </c>
      <c r="BX49" s="336">
        <v>22222</v>
      </c>
      <c r="BY49" s="336">
        <v>6902</v>
      </c>
      <c r="BZ49" s="336">
        <v>1737</v>
      </c>
      <c r="CA49" s="337">
        <f t="shared" si="17"/>
        <v>33708</v>
      </c>
      <c r="CE49" s="2063"/>
      <c r="CF49" s="275"/>
      <c r="CG49" s="932" t="s">
        <v>257</v>
      </c>
      <c r="CH49" s="334">
        <v>899</v>
      </c>
      <c r="CI49" s="336">
        <v>23465</v>
      </c>
      <c r="CJ49" s="336">
        <v>4070</v>
      </c>
      <c r="CK49" s="336">
        <v>0</v>
      </c>
      <c r="CL49" s="337">
        <f t="shared" si="18"/>
        <v>28434</v>
      </c>
      <c r="CP49" s="2063"/>
      <c r="CQ49" s="275"/>
      <c r="CR49" s="932" t="s">
        <v>257</v>
      </c>
      <c r="CS49" s="1227">
        <v>0</v>
      </c>
      <c r="CT49" s="1228">
        <v>6522</v>
      </c>
      <c r="CU49" s="1228">
        <v>14436</v>
      </c>
      <c r="CV49" s="1228">
        <v>14280</v>
      </c>
      <c r="CW49" s="1229">
        <v>35238</v>
      </c>
      <c r="CZ49" s="2031"/>
      <c r="DA49" s="1351"/>
      <c r="DB49" s="1363" t="s">
        <v>257</v>
      </c>
      <c r="DC49" s="334">
        <v>3325</v>
      </c>
      <c r="DD49" s="336">
        <v>2117</v>
      </c>
      <c r="DE49" s="336">
        <v>35579</v>
      </c>
      <c r="DF49" s="336">
        <v>16771</v>
      </c>
      <c r="DG49" s="1373">
        <f>SUM(DC49:DF49)</f>
        <v>57792</v>
      </c>
      <c r="DJ49" s="2031"/>
      <c r="DK49" s="1351"/>
      <c r="DL49" s="1363" t="s">
        <v>257</v>
      </c>
      <c r="DM49" s="1958">
        <v>0</v>
      </c>
      <c r="DN49" s="1959">
        <v>0</v>
      </c>
      <c r="DO49" s="1959">
        <v>0</v>
      </c>
      <c r="DP49" s="1959">
        <v>0</v>
      </c>
      <c r="DQ49" s="1960">
        <v>0</v>
      </c>
    </row>
    <row r="50" spans="2:122" ht="13.8" thickBot="1">
      <c r="B50" s="290"/>
      <c r="C50" s="276"/>
      <c r="D50" s="932" t="s">
        <v>258</v>
      </c>
      <c r="E50" s="747">
        <v>0</v>
      </c>
      <c r="F50" s="748">
        <v>826</v>
      </c>
      <c r="G50" s="748">
        <v>431</v>
      </c>
      <c r="H50" s="748">
        <v>623</v>
      </c>
      <c r="I50" s="749">
        <f>SUM(E50:H50)</f>
        <v>1880</v>
      </c>
      <c r="L50" s="290"/>
      <c r="M50" s="276"/>
      <c r="N50" s="932" t="s">
        <v>258</v>
      </c>
      <c r="O50" s="350">
        <v>0</v>
      </c>
      <c r="P50" s="351">
        <v>339</v>
      </c>
      <c r="Q50" s="351">
        <v>264</v>
      </c>
      <c r="R50" s="351">
        <v>0</v>
      </c>
      <c r="S50" s="352">
        <f>SUM(O50:R50)</f>
        <v>603</v>
      </c>
      <c r="V50" s="2064"/>
      <c r="W50" s="276"/>
      <c r="X50" s="932" t="s">
        <v>258</v>
      </c>
      <c r="Y50" s="1772">
        <v>748</v>
      </c>
      <c r="Z50" s="1772">
        <v>770</v>
      </c>
      <c r="AA50" s="1772">
        <v>524</v>
      </c>
      <c r="AB50" s="1772">
        <v>0</v>
      </c>
      <c r="AC50" s="1772">
        <f>SUM(Y50:AB50)</f>
        <v>2042</v>
      </c>
      <c r="AF50" s="2064"/>
      <c r="AG50" s="276"/>
      <c r="AH50" s="932" t="s">
        <v>258</v>
      </c>
      <c r="AI50" s="1774">
        <v>0</v>
      </c>
      <c r="AJ50" s="1774">
        <v>475</v>
      </c>
      <c r="AK50" s="1774">
        <v>281</v>
      </c>
      <c r="AL50" s="1774">
        <v>0</v>
      </c>
      <c r="AM50" s="1775">
        <f>SUM(AI50:AL50)</f>
        <v>756</v>
      </c>
      <c r="AP50" s="2064"/>
      <c r="AQ50" s="276"/>
      <c r="AR50" s="932" t="s">
        <v>258</v>
      </c>
      <c r="AS50" s="338">
        <v>301</v>
      </c>
      <c r="AT50" s="339">
        <v>1205</v>
      </c>
      <c r="AU50" s="339">
        <v>215</v>
      </c>
      <c r="AV50" s="339">
        <v>0</v>
      </c>
      <c r="AW50" s="340">
        <f>SUM(AS50:AV50)</f>
        <v>1721</v>
      </c>
      <c r="AY50" s="2064"/>
      <c r="AZ50" s="276"/>
      <c r="BA50" s="932" t="s">
        <v>258</v>
      </c>
      <c r="BB50" s="350">
        <v>0</v>
      </c>
      <c r="BC50" s="351">
        <v>431</v>
      </c>
      <c r="BD50" s="351">
        <v>202</v>
      </c>
      <c r="BE50" s="351">
        <v>0</v>
      </c>
      <c r="BF50" s="352">
        <f t="shared" si="16"/>
        <v>633</v>
      </c>
      <c r="BJ50" s="2064"/>
      <c r="BK50" s="276"/>
      <c r="BL50" s="932" t="s">
        <v>258</v>
      </c>
      <c r="BM50" s="862">
        <v>0</v>
      </c>
      <c r="BN50" s="863">
        <v>138</v>
      </c>
      <c r="BO50" s="863">
        <v>333</v>
      </c>
      <c r="BP50" s="863">
        <v>589</v>
      </c>
      <c r="BQ50" s="864">
        <v>1060</v>
      </c>
      <c r="BT50" s="2064"/>
      <c r="BU50" s="276"/>
      <c r="BV50" s="932" t="s">
        <v>258</v>
      </c>
      <c r="BW50" s="350">
        <v>422</v>
      </c>
      <c r="BX50" s="351">
        <v>835</v>
      </c>
      <c r="BY50" s="351">
        <v>290</v>
      </c>
      <c r="BZ50" s="351">
        <v>130</v>
      </c>
      <c r="CA50" s="1067">
        <f t="shared" si="17"/>
        <v>1677</v>
      </c>
      <c r="CE50" s="2064"/>
      <c r="CF50" s="276"/>
      <c r="CG50" s="932" t="s">
        <v>258</v>
      </c>
      <c r="CH50" s="350">
        <v>200</v>
      </c>
      <c r="CI50" s="351">
        <v>679</v>
      </c>
      <c r="CJ50" s="351">
        <v>246</v>
      </c>
      <c r="CK50" s="351">
        <v>0</v>
      </c>
      <c r="CL50" s="352">
        <f t="shared" si="18"/>
        <v>1125</v>
      </c>
      <c r="CP50" s="2064"/>
      <c r="CQ50" s="276"/>
      <c r="CR50" s="932" t="s">
        <v>258</v>
      </c>
      <c r="CS50" s="1230">
        <v>0</v>
      </c>
      <c r="CT50" s="1231">
        <v>299</v>
      </c>
      <c r="CU50" s="1231">
        <v>295</v>
      </c>
      <c r="CV50" s="1231">
        <v>467</v>
      </c>
      <c r="CW50" s="1232">
        <v>1061</v>
      </c>
      <c r="CZ50" s="2032"/>
      <c r="DA50" s="1354"/>
      <c r="DB50" s="1363" t="s">
        <v>258</v>
      </c>
      <c r="DC50" s="350">
        <v>136</v>
      </c>
      <c r="DD50" s="351">
        <v>601</v>
      </c>
      <c r="DE50" s="351">
        <v>664</v>
      </c>
      <c r="DF50" s="351">
        <v>164</v>
      </c>
      <c r="DG50" s="1374">
        <f>SUM(DC50:DF50)</f>
        <v>1565</v>
      </c>
      <c r="DJ50" s="2032"/>
      <c r="DK50" s="1354"/>
      <c r="DL50" s="1363" t="s">
        <v>258</v>
      </c>
      <c r="DM50" s="1956">
        <v>150</v>
      </c>
      <c r="DN50" s="1955">
        <v>0</v>
      </c>
      <c r="DO50" s="1955">
        <v>0</v>
      </c>
      <c r="DP50" s="1955">
        <v>462</v>
      </c>
      <c r="DQ50" s="1957">
        <v>612</v>
      </c>
    </row>
    <row r="51" spans="2:122" ht="12.75" customHeight="1">
      <c r="B51" s="763" t="s">
        <v>35</v>
      </c>
      <c r="C51" s="278" t="s">
        <v>35</v>
      </c>
      <c r="D51" s="180" t="s">
        <v>255</v>
      </c>
      <c r="E51" s="171">
        <v>12008</v>
      </c>
      <c r="F51" s="163">
        <v>10466</v>
      </c>
      <c r="G51" s="163">
        <v>100</v>
      </c>
      <c r="H51" s="163">
        <v>8144</v>
      </c>
      <c r="I51" s="164">
        <v>30718</v>
      </c>
      <c r="L51" s="763" t="s">
        <v>35</v>
      </c>
      <c r="M51" s="278" t="s">
        <v>35</v>
      </c>
      <c r="N51" s="180" t="s">
        <v>255</v>
      </c>
      <c r="O51" s="171"/>
      <c r="P51" s="163"/>
      <c r="Q51" s="163"/>
      <c r="R51" s="163"/>
      <c r="S51" s="164"/>
      <c r="V51" s="2062" t="s">
        <v>35</v>
      </c>
      <c r="W51" s="278" t="s">
        <v>35</v>
      </c>
      <c r="X51" s="180" t="s">
        <v>255</v>
      </c>
      <c r="Y51" s="1772">
        <v>11177</v>
      </c>
      <c r="Z51" s="1772">
        <v>7509</v>
      </c>
      <c r="AA51" s="1772">
        <v>1</v>
      </c>
      <c r="AB51" s="1772">
        <v>924</v>
      </c>
      <c r="AC51" s="1772">
        <v>19611</v>
      </c>
      <c r="AF51" s="2062" t="s">
        <v>35</v>
      </c>
      <c r="AG51" s="278" t="s">
        <v>35</v>
      </c>
      <c r="AH51" s="180" t="s">
        <v>255</v>
      </c>
      <c r="AI51" s="1774"/>
      <c r="AJ51" s="1774"/>
      <c r="AK51" s="1774"/>
      <c r="AL51" s="1774"/>
      <c r="AM51" s="1774"/>
      <c r="AP51" s="2062" t="s">
        <v>35</v>
      </c>
      <c r="AQ51" s="278" t="s">
        <v>35</v>
      </c>
      <c r="AR51" s="180" t="s">
        <v>255</v>
      </c>
      <c r="AS51" s="1774"/>
      <c r="AT51" s="1774"/>
      <c r="AU51" s="1774"/>
      <c r="AV51" s="1774"/>
      <c r="AW51" s="1774"/>
      <c r="AY51" s="2062" t="s">
        <v>35</v>
      </c>
      <c r="AZ51" s="278" t="s">
        <v>35</v>
      </c>
      <c r="BA51" s="180" t="s">
        <v>255</v>
      </c>
      <c r="BB51">
        <v>11084</v>
      </c>
      <c r="BC51">
        <v>7141</v>
      </c>
      <c r="BD51">
        <v>128</v>
      </c>
      <c r="BE51">
        <v>8600</v>
      </c>
      <c r="BF51" s="352">
        <f t="shared" si="16"/>
        <v>26953</v>
      </c>
      <c r="BJ51" s="2062" t="s">
        <v>35</v>
      </c>
      <c r="BK51" s="278" t="s">
        <v>35</v>
      </c>
      <c r="BL51" s="180" t="s">
        <v>255</v>
      </c>
      <c r="BM51"/>
      <c r="BN51"/>
      <c r="BO51"/>
      <c r="BP51"/>
      <c r="BQ51" s="352"/>
      <c r="BT51" s="2062" t="s">
        <v>35</v>
      </c>
      <c r="BU51" s="278" t="s">
        <v>35</v>
      </c>
      <c r="BV51" s="180" t="s">
        <v>255</v>
      </c>
      <c r="BW51" s="1074">
        <v>16386.941944906474</v>
      </c>
      <c r="BX51" s="1074">
        <v>10849.115689876004</v>
      </c>
      <c r="BY51" s="1074">
        <v>64.4796893338128</v>
      </c>
      <c r="BZ51" s="1074">
        <v>6362.2283984388469</v>
      </c>
      <c r="CA51" s="1067">
        <f t="shared" si="17"/>
        <v>33662.765722555137</v>
      </c>
      <c r="CE51" s="2062" t="s">
        <v>35</v>
      </c>
      <c r="CF51" s="278" t="s">
        <v>35</v>
      </c>
      <c r="CG51" s="180" t="s">
        <v>255</v>
      </c>
      <c r="CH51" s="1074">
        <v>16386.941944906474</v>
      </c>
      <c r="CI51" s="1074">
        <v>10849.115689876004</v>
      </c>
      <c r="CJ51" s="1074">
        <v>64.4796893338128</v>
      </c>
      <c r="CK51" s="1074">
        <v>6362.2283984388469</v>
      </c>
      <c r="CL51" s="1067">
        <f t="shared" si="18"/>
        <v>33662.765722555137</v>
      </c>
      <c r="CP51" s="2062" t="s">
        <v>35</v>
      </c>
      <c r="CQ51" s="278" t="s">
        <v>35</v>
      </c>
      <c r="CR51" s="180" t="s">
        <v>255</v>
      </c>
      <c r="CS51" s="1983" t="s">
        <v>18</v>
      </c>
      <c r="CT51" s="1983" t="s">
        <v>18</v>
      </c>
      <c r="CU51" s="1983" t="s">
        <v>18</v>
      </c>
      <c r="CV51" s="1983" t="s">
        <v>18</v>
      </c>
      <c r="CW51" s="1067" t="s">
        <v>18</v>
      </c>
      <c r="CZ51" s="2030" t="s">
        <v>35</v>
      </c>
      <c r="DA51" s="1341" t="s">
        <v>35</v>
      </c>
      <c r="DB51" s="1361" t="s">
        <v>255</v>
      </c>
      <c r="DC51" s="1375" t="s">
        <v>18</v>
      </c>
      <c r="DD51" s="1375" t="s">
        <v>18</v>
      </c>
      <c r="DE51" s="1375" t="s">
        <v>18</v>
      </c>
      <c r="DF51" s="1375" t="s">
        <v>18</v>
      </c>
      <c r="DG51" s="1368" t="s">
        <v>18</v>
      </c>
      <c r="DJ51" s="2030" t="s">
        <v>35</v>
      </c>
      <c r="DK51" s="1341" t="s">
        <v>35</v>
      </c>
      <c r="DL51" s="1361" t="s">
        <v>255</v>
      </c>
    </row>
    <row r="52" spans="2:122" ht="14.4">
      <c r="B52" s="280"/>
      <c r="C52" s="280"/>
      <c r="D52" s="932" t="s">
        <v>256</v>
      </c>
      <c r="E52" s="743">
        <v>150</v>
      </c>
      <c r="F52" s="1747">
        <v>90</v>
      </c>
      <c r="G52" s="1747"/>
      <c r="H52" s="1747">
        <v>20</v>
      </c>
      <c r="I52" s="925">
        <v>260</v>
      </c>
      <c r="K52" s="2">
        <f>+I52/I51*1000</f>
        <v>8.4640927143694267</v>
      </c>
      <c r="L52" s="280"/>
      <c r="M52" s="280"/>
      <c r="N52" s="932" t="s">
        <v>256</v>
      </c>
      <c r="O52" s="743"/>
      <c r="P52" s="1747"/>
      <c r="Q52" s="1747"/>
      <c r="R52" s="1747"/>
      <c r="S52" s="925"/>
      <c r="U52" s="2" t="e">
        <f>+S52/S51*1000</f>
        <v>#DIV/0!</v>
      </c>
      <c r="V52" s="2063"/>
      <c r="W52" s="280"/>
      <c r="X52" s="932" t="s">
        <v>256</v>
      </c>
      <c r="Y52" s="1772">
        <v>55</v>
      </c>
      <c r="Z52" s="1772">
        <v>75</v>
      </c>
      <c r="AA52" s="1772">
        <v>1</v>
      </c>
      <c r="AB52" s="1772">
        <v>30</v>
      </c>
      <c r="AC52" s="1772">
        <v>161</v>
      </c>
      <c r="AD52" s="418">
        <f>AC52/AC51*1000</f>
        <v>8.2096782418030703</v>
      </c>
      <c r="AF52" s="2063"/>
      <c r="AG52" s="280"/>
      <c r="AH52" s="932" t="s">
        <v>256</v>
      </c>
      <c r="AI52" s="1774"/>
      <c r="AJ52" s="1774"/>
      <c r="AK52" s="1774"/>
      <c r="AL52" s="1774"/>
      <c r="AM52" s="1774"/>
      <c r="AN52" s="418"/>
      <c r="AP52" s="2063"/>
      <c r="AQ52" s="280"/>
      <c r="AR52" s="932" t="s">
        <v>256</v>
      </c>
      <c r="AS52" s="1774"/>
      <c r="AT52" s="1774"/>
      <c r="AU52" s="1774"/>
      <c r="AV52" s="1774"/>
      <c r="AW52" s="1774"/>
      <c r="AY52" s="2063"/>
      <c r="AZ52" s="280"/>
      <c r="BA52" s="932" t="s">
        <v>256</v>
      </c>
      <c r="BB52" s="365">
        <v>87</v>
      </c>
      <c r="BC52" s="365">
        <v>114</v>
      </c>
      <c r="BD52" s="365">
        <v>19</v>
      </c>
      <c r="BE52" s="365">
        <v>74</v>
      </c>
      <c r="BF52" s="352">
        <f t="shared" si="16"/>
        <v>294</v>
      </c>
      <c r="BG52" s="713">
        <f>BF52/BF51*1000</f>
        <v>10.907876674210664</v>
      </c>
      <c r="BJ52" s="2063"/>
      <c r="BK52" s="280"/>
      <c r="BL52" s="932" t="s">
        <v>256</v>
      </c>
      <c r="BM52" s="365"/>
      <c r="BN52" s="365"/>
      <c r="BO52" s="365"/>
      <c r="BP52" s="365"/>
      <c r="BQ52" s="352"/>
      <c r="BT52" s="2063"/>
      <c r="BU52" s="280"/>
      <c r="BV52" s="932" t="s">
        <v>256</v>
      </c>
      <c r="BW52">
        <v>561</v>
      </c>
      <c r="BX52">
        <v>464</v>
      </c>
      <c r="BY52">
        <v>8</v>
      </c>
      <c r="BZ52">
        <v>225</v>
      </c>
      <c r="CA52" s="1067">
        <f t="shared" si="17"/>
        <v>1258</v>
      </c>
      <c r="CE52" s="2063"/>
      <c r="CF52" s="280"/>
      <c r="CG52" s="932" t="s">
        <v>256</v>
      </c>
      <c r="CH52">
        <v>561</v>
      </c>
      <c r="CI52">
        <v>464</v>
      </c>
      <c r="CJ52">
        <v>8</v>
      </c>
      <c r="CK52">
        <v>225</v>
      </c>
      <c r="CL52" s="1067">
        <f t="shared" si="18"/>
        <v>1258</v>
      </c>
      <c r="CP52" s="2063"/>
      <c r="CQ52" s="280"/>
      <c r="CR52" s="932" t="s">
        <v>256</v>
      </c>
      <c r="CS52" s="73" t="s">
        <v>18</v>
      </c>
      <c r="CT52" s="73" t="s">
        <v>18</v>
      </c>
      <c r="CU52" s="73" t="s">
        <v>18</v>
      </c>
      <c r="CV52" s="73" t="s">
        <v>18</v>
      </c>
      <c r="CW52" s="1067" t="s">
        <v>18</v>
      </c>
      <c r="CZ52" s="2031"/>
      <c r="DA52" s="1346"/>
      <c r="DB52" s="1363" t="s">
        <v>256</v>
      </c>
      <c r="DC52" s="1367" t="s">
        <v>18</v>
      </c>
      <c r="DD52" s="1367" t="s">
        <v>18</v>
      </c>
      <c r="DE52" s="1367" t="s">
        <v>18</v>
      </c>
      <c r="DF52" s="1367" t="s">
        <v>18</v>
      </c>
      <c r="DG52" s="1368" t="s">
        <v>18</v>
      </c>
      <c r="DJ52" s="2031"/>
      <c r="DK52" s="1346"/>
      <c r="DL52" s="1363" t="s">
        <v>256</v>
      </c>
    </row>
    <row r="53" spans="2:122" ht="12.75" customHeight="1">
      <c r="B53" s="280"/>
      <c r="C53" s="280"/>
      <c r="D53" s="932" t="s">
        <v>257</v>
      </c>
      <c r="E53" s="743">
        <v>3776</v>
      </c>
      <c r="F53" s="1747">
        <v>2393</v>
      </c>
      <c r="G53" s="1747"/>
      <c r="H53" s="1747">
        <v>1411</v>
      </c>
      <c r="I53" s="925">
        <v>7580</v>
      </c>
      <c r="L53" s="280"/>
      <c r="M53" s="280"/>
      <c r="N53" s="932" t="s">
        <v>257</v>
      </c>
      <c r="O53" s="743"/>
      <c r="P53" s="1747"/>
      <c r="Q53" s="1747"/>
      <c r="R53" s="1747"/>
      <c r="S53" s="925"/>
      <c r="V53" s="2063"/>
      <c r="W53" s="280"/>
      <c r="X53" s="932" t="s">
        <v>257</v>
      </c>
      <c r="Y53" s="1772">
        <v>4045</v>
      </c>
      <c r="Z53" s="1772">
        <v>5258</v>
      </c>
      <c r="AA53" s="1772">
        <v>8</v>
      </c>
      <c r="AB53" s="1772">
        <v>981</v>
      </c>
      <c r="AC53" s="1772">
        <f>SUM(Y53:AB53)</f>
        <v>10292</v>
      </c>
      <c r="AF53" s="2063"/>
      <c r="AG53" s="280"/>
      <c r="AH53" s="932" t="s">
        <v>257</v>
      </c>
      <c r="AI53" s="1774"/>
      <c r="AJ53" s="1774"/>
      <c r="AK53" s="1774"/>
      <c r="AL53" s="1774"/>
      <c r="AM53" s="1774"/>
      <c r="AP53" s="2063"/>
      <c r="AQ53" s="280"/>
      <c r="AR53" s="932" t="s">
        <v>257</v>
      </c>
      <c r="AS53" s="1774"/>
      <c r="AT53" s="1774"/>
      <c r="AU53" s="1774"/>
      <c r="AV53" s="1774"/>
      <c r="AW53" s="1774"/>
      <c r="AY53" s="2063"/>
      <c r="AZ53" s="280"/>
      <c r="BA53" s="932" t="s">
        <v>257</v>
      </c>
      <c r="BB53">
        <v>2510</v>
      </c>
      <c r="BC53">
        <v>2408</v>
      </c>
      <c r="BD53">
        <v>165</v>
      </c>
      <c r="BE53">
        <v>1705</v>
      </c>
      <c r="BF53" s="352">
        <f t="shared" si="16"/>
        <v>6788</v>
      </c>
      <c r="BJ53" s="2063"/>
      <c r="BK53" s="280"/>
      <c r="BL53" s="932" t="s">
        <v>257</v>
      </c>
      <c r="BM53"/>
      <c r="BN53"/>
      <c r="BO53"/>
      <c r="BP53"/>
      <c r="BQ53" s="352"/>
      <c r="BT53" s="2063"/>
      <c r="BU53" s="280"/>
      <c r="BV53" s="932" t="s">
        <v>257</v>
      </c>
      <c r="BW53" s="1075">
        <v>4927</v>
      </c>
      <c r="BX53" s="1075">
        <v>4718</v>
      </c>
      <c r="BY53" s="1075">
        <v>89</v>
      </c>
      <c r="BZ53" s="1075">
        <v>2969</v>
      </c>
      <c r="CA53" s="1067">
        <f t="shared" si="17"/>
        <v>12703</v>
      </c>
      <c r="CE53" s="2063"/>
      <c r="CF53" s="280"/>
      <c r="CG53" s="932" t="s">
        <v>257</v>
      </c>
      <c r="CH53" s="1075">
        <v>4927</v>
      </c>
      <c r="CI53" s="1075">
        <v>4718</v>
      </c>
      <c r="CJ53" s="1075">
        <v>89</v>
      </c>
      <c r="CK53" s="1075">
        <v>2969</v>
      </c>
      <c r="CL53" s="1067">
        <f t="shared" si="18"/>
        <v>12703</v>
      </c>
      <c r="CP53" s="2063"/>
      <c r="CQ53" s="280"/>
      <c r="CR53" s="932" t="s">
        <v>257</v>
      </c>
      <c r="CS53" s="1984" t="s">
        <v>18</v>
      </c>
      <c r="CT53" s="1984" t="s">
        <v>18</v>
      </c>
      <c r="CU53" s="1984" t="s">
        <v>18</v>
      </c>
      <c r="CV53" s="1984" t="s">
        <v>18</v>
      </c>
      <c r="CW53" s="1067" t="s">
        <v>18</v>
      </c>
      <c r="CZ53" s="2031"/>
      <c r="DA53" s="1346"/>
      <c r="DB53" s="1363" t="s">
        <v>257</v>
      </c>
      <c r="DC53" s="1376" t="s">
        <v>18</v>
      </c>
      <c r="DD53" s="1376" t="s">
        <v>18</v>
      </c>
      <c r="DE53" s="1376" t="s">
        <v>18</v>
      </c>
      <c r="DF53" s="1376" t="s">
        <v>18</v>
      </c>
      <c r="DG53" s="1368" t="s">
        <v>18</v>
      </c>
      <c r="DJ53" s="2031"/>
      <c r="DK53" s="1346"/>
      <c r="DL53" s="1363" t="s">
        <v>257</v>
      </c>
    </row>
    <row r="54" spans="2:122">
      <c r="B54" s="280"/>
      <c r="C54" s="280"/>
      <c r="D54" s="932" t="s">
        <v>258</v>
      </c>
      <c r="E54" s="743"/>
      <c r="F54" s="1747"/>
      <c r="G54" s="1747"/>
      <c r="H54" s="1747"/>
      <c r="I54" s="925"/>
      <c r="L54" s="280"/>
      <c r="M54" s="280"/>
      <c r="N54" s="932" t="s">
        <v>258</v>
      </c>
      <c r="O54" s="743"/>
      <c r="P54" s="1747"/>
      <c r="Q54" s="1747"/>
      <c r="R54" s="1747"/>
      <c r="S54" s="925"/>
      <c r="V54" s="2063"/>
      <c r="W54" s="280"/>
      <c r="X54" s="932" t="s">
        <v>258</v>
      </c>
      <c r="Y54" s="1772"/>
      <c r="Z54" s="1772"/>
      <c r="AA54" s="1772"/>
      <c r="AB54" s="1772"/>
      <c r="AC54" s="1772"/>
      <c r="AF54" s="2063"/>
      <c r="AG54" s="280"/>
      <c r="AH54" s="932" t="s">
        <v>258</v>
      </c>
      <c r="AI54" s="1774"/>
      <c r="AJ54" s="1774"/>
      <c r="AK54" s="1774"/>
      <c r="AL54" s="1774"/>
      <c r="AM54" s="1774"/>
      <c r="AP54" s="2063"/>
      <c r="AQ54" s="280"/>
      <c r="AR54" s="932" t="s">
        <v>258</v>
      </c>
      <c r="AS54" s="1774"/>
      <c r="AT54" s="1774"/>
      <c r="AU54" s="1774"/>
      <c r="AV54" s="1774"/>
      <c r="AW54" s="1774"/>
      <c r="AY54" s="2063"/>
      <c r="AZ54" s="280"/>
      <c r="BA54" s="932" t="s">
        <v>258</v>
      </c>
      <c r="BB54" s="1774"/>
      <c r="BC54" s="1774"/>
      <c r="BD54" s="1774"/>
      <c r="BE54" s="1774"/>
      <c r="BF54" s="352">
        <f t="shared" si="16"/>
        <v>0</v>
      </c>
      <c r="BJ54" s="2063"/>
      <c r="BK54" s="280"/>
      <c r="BL54" s="932" t="s">
        <v>258</v>
      </c>
      <c r="BM54" s="1774"/>
      <c r="BN54" s="1774"/>
      <c r="BO54" s="1774"/>
      <c r="BP54" s="1774"/>
      <c r="BQ54" s="352"/>
      <c r="BT54" s="2063"/>
      <c r="BU54" s="280"/>
      <c r="BV54" s="932" t="s">
        <v>258</v>
      </c>
      <c r="BW54" s="1776"/>
      <c r="BX54" s="1776"/>
      <c r="BY54" s="1776"/>
      <c r="BZ54" s="1776"/>
      <c r="CA54" s="1067" t="s">
        <v>18</v>
      </c>
      <c r="CE54" s="2063"/>
      <c r="CF54" s="280"/>
      <c r="CG54" s="932" t="s">
        <v>258</v>
      </c>
      <c r="CH54" s="1776"/>
      <c r="CI54" s="1776"/>
      <c r="CJ54" s="1776"/>
      <c r="CK54" s="1776"/>
      <c r="CL54" s="1067" t="s">
        <v>18</v>
      </c>
      <c r="CP54" s="2063"/>
      <c r="CQ54" s="280"/>
      <c r="CR54" s="932" t="s">
        <v>258</v>
      </c>
      <c r="CS54" s="1776"/>
      <c r="CT54" s="1776"/>
      <c r="CU54" s="1776"/>
      <c r="CV54" s="1776"/>
      <c r="CW54" s="1067" t="s">
        <v>18</v>
      </c>
      <c r="CZ54" s="2031"/>
      <c r="DA54" s="1346"/>
      <c r="DB54" s="1363" t="s">
        <v>258</v>
      </c>
      <c r="DC54" s="1377"/>
      <c r="DD54" s="1377"/>
      <c r="DE54" s="1377"/>
      <c r="DF54" s="1377"/>
      <c r="DG54" s="1368" t="s">
        <v>18</v>
      </c>
      <c r="DJ54" s="2031"/>
      <c r="DK54" s="1346"/>
      <c r="DL54" s="1363" t="s">
        <v>258</v>
      </c>
    </row>
    <row r="55" spans="2:122" ht="15" thickBot="1">
      <c r="B55" s="292"/>
      <c r="C55" s="282"/>
      <c r="D55" s="933" t="s">
        <v>274</v>
      </c>
      <c r="E55" s="744">
        <v>0.8</v>
      </c>
      <c r="F55" s="745">
        <v>0.6</v>
      </c>
      <c r="G55" s="745"/>
      <c r="H55" s="745">
        <v>0.5</v>
      </c>
      <c r="I55" s="746">
        <v>1.9</v>
      </c>
      <c r="L55" s="292"/>
      <c r="M55" s="282"/>
      <c r="N55" s="933" t="s">
        <v>274</v>
      </c>
      <c r="O55" s="744"/>
      <c r="P55" s="745"/>
      <c r="Q55" s="745"/>
      <c r="R55" s="745"/>
      <c r="S55" s="746"/>
      <c r="V55" s="2064"/>
      <c r="W55" s="282"/>
      <c r="X55" s="933" t="s">
        <v>274</v>
      </c>
      <c r="Y55" s="1772">
        <v>1800</v>
      </c>
      <c r="Z55" s="1772">
        <v>3000</v>
      </c>
      <c r="AA55" s="1772">
        <v>4</v>
      </c>
      <c r="AB55" s="1772">
        <v>700</v>
      </c>
      <c r="AC55" s="1772">
        <v>5504</v>
      </c>
      <c r="AF55" s="2064"/>
      <c r="AG55" s="282"/>
      <c r="AH55" s="933" t="s">
        <v>274</v>
      </c>
      <c r="AI55" s="1772"/>
      <c r="AJ55" s="1772"/>
      <c r="AK55" s="1772"/>
      <c r="AL55" s="1772"/>
      <c r="AM55" s="1772"/>
      <c r="AP55" s="2064"/>
      <c r="AQ55" s="282"/>
      <c r="AR55" s="933" t="s">
        <v>274</v>
      </c>
      <c r="AS55" s="1772"/>
      <c r="AT55" s="1772"/>
      <c r="AU55" s="1772"/>
      <c r="AV55" s="1772"/>
      <c r="AW55" s="1772"/>
      <c r="AY55" s="2064"/>
      <c r="AZ55" s="282"/>
      <c r="BA55" s="933" t="s">
        <v>274</v>
      </c>
      <c r="BB55" s="613">
        <v>0.6</v>
      </c>
      <c r="BC55" s="613">
        <v>0.5</v>
      </c>
      <c r="BD55" s="613">
        <v>0.1</v>
      </c>
      <c r="BE55" s="613">
        <v>0.4</v>
      </c>
      <c r="BF55" s="352">
        <f t="shared" si="16"/>
        <v>1.6</v>
      </c>
      <c r="BJ55" s="2064"/>
      <c r="BK55" s="282"/>
      <c r="BL55" s="933" t="s">
        <v>274</v>
      </c>
      <c r="BM55" s="613"/>
      <c r="BN55" s="613"/>
      <c r="BO55" s="613"/>
      <c r="BP55" s="613"/>
      <c r="BQ55" s="352"/>
      <c r="BT55" s="2064"/>
      <c r="BU55" s="282"/>
      <c r="BV55" s="933" t="s">
        <v>274</v>
      </c>
      <c r="BW55" s="1075">
        <v>13.47</v>
      </c>
      <c r="BX55" s="1075">
        <v>12.5</v>
      </c>
      <c r="BY55" s="1075">
        <v>0.36</v>
      </c>
      <c r="BZ55" s="1075">
        <v>8.15</v>
      </c>
      <c r="CA55" s="1067">
        <f>SUM(BW55:BZ55)</f>
        <v>34.479999999999997</v>
      </c>
      <c r="CE55" s="2064"/>
      <c r="CF55" s="282"/>
      <c r="CG55" s="933" t="s">
        <v>274</v>
      </c>
      <c r="CH55" s="1075">
        <v>13.47</v>
      </c>
      <c r="CI55" s="1075">
        <v>12.5</v>
      </c>
      <c r="CJ55" s="1075">
        <v>0.36</v>
      </c>
      <c r="CK55" s="1075">
        <v>8.15</v>
      </c>
      <c r="CL55" s="1067">
        <f>SUM(CH55:CK55)</f>
        <v>34.479999999999997</v>
      </c>
      <c r="CP55" s="2064"/>
      <c r="CQ55" s="282"/>
      <c r="CR55" s="933" t="s">
        <v>274</v>
      </c>
      <c r="CS55" s="1984" t="s">
        <v>18</v>
      </c>
      <c r="CT55" s="1984" t="s">
        <v>18</v>
      </c>
      <c r="CU55" s="1984" t="s">
        <v>18</v>
      </c>
      <c r="CV55" s="1984" t="s">
        <v>18</v>
      </c>
      <c r="CW55" s="1067" t="s">
        <v>18</v>
      </c>
      <c r="CZ55" s="2032"/>
      <c r="DA55" s="1348"/>
      <c r="DB55" s="1364" t="s">
        <v>274</v>
      </c>
      <c r="DC55" s="1376" t="s">
        <v>18</v>
      </c>
      <c r="DD55" s="1376" t="s">
        <v>18</v>
      </c>
      <c r="DE55" s="1376" t="s">
        <v>18</v>
      </c>
      <c r="DF55" s="1376" t="s">
        <v>18</v>
      </c>
      <c r="DG55" s="1368" t="s">
        <v>18</v>
      </c>
      <c r="DJ55" s="2032"/>
      <c r="DK55" s="1348"/>
      <c r="DL55" s="1364" t="s">
        <v>274</v>
      </c>
    </row>
    <row r="56" spans="2:122">
      <c r="B56" s="172"/>
      <c r="C56" s="172"/>
      <c r="D56" s="173"/>
      <c r="L56" s="172"/>
      <c r="M56" s="172"/>
      <c r="N56" s="173"/>
      <c r="V56" s="172"/>
      <c r="W56" s="172"/>
      <c r="X56" s="173"/>
      <c r="Y56" s="154"/>
      <c r="Z56" s="154"/>
      <c r="AA56" s="154"/>
      <c r="AB56" s="154"/>
      <c r="AC56" s="154"/>
      <c r="AF56" s="172"/>
      <c r="AG56" s="172"/>
      <c r="AH56" s="173"/>
      <c r="AI56" s="154"/>
      <c r="AJ56" s="154"/>
      <c r="AK56" s="154"/>
      <c r="AL56" s="154"/>
      <c r="AM56" s="154"/>
      <c r="AP56" s="172"/>
      <c r="AQ56" s="172"/>
      <c r="AR56" s="173"/>
      <c r="AS56" s="154"/>
      <c r="AT56" s="154"/>
      <c r="AU56" s="154"/>
      <c r="AV56" s="154"/>
      <c r="AW56" s="154"/>
      <c r="CZ56" s="78"/>
      <c r="DA56" s="78"/>
      <c r="DB56" s="78"/>
      <c r="DC56" s="78"/>
      <c r="DD56" s="78"/>
      <c r="DE56" s="78"/>
      <c r="DF56" s="78"/>
      <c r="DG56" s="78"/>
      <c r="DJ56" s="78"/>
      <c r="DK56" s="78"/>
      <c r="DL56" s="78"/>
    </row>
    <row r="57" spans="2:122" ht="13.8" thickBot="1">
      <c r="B57" s="229" t="s">
        <v>275</v>
      </c>
      <c r="C57" s="156"/>
      <c r="D57" s="156"/>
      <c r="E57" s="156"/>
      <c r="F57" s="156"/>
      <c r="G57" s="156"/>
      <c r="H57" s="156"/>
      <c r="I57" s="156"/>
      <c r="L57" s="229" t="s">
        <v>275</v>
      </c>
      <c r="M57" s="156"/>
      <c r="N57" s="156"/>
      <c r="O57" s="156"/>
      <c r="P57" s="156"/>
      <c r="Q57" s="156"/>
      <c r="R57" s="156"/>
      <c r="S57" s="156"/>
      <c r="T57"/>
      <c r="V57" s="229" t="s">
        <v>276</v>
      </c>
      <c r="W57" s="156"/>
      <c r="X57" s="156"/>
      <c r="Y57" s="156"/>
      <c r="Z57" s="156"/>
      <c r="AA57" s="156"/>
      <c r="AB57" s="156"/>
      <c r="AC57" s="156"/>
      <c r="AF57" s="229" t="s">
        <v>277</v>
      </c>
      <c r="AG57" s="156"/>
      <c r="AH57" s="156"/>
      <c r="AI57" s="156"/>
      <c r="AJ57" s="156"/>
      <c r="AK57" s="156"/>
      <c r="AL57" s="156"/>
      <c r="AM57" s="156"/>
      <c r="AP57" s="229" t="s">
        <v>277</v>
      </c>
      <c r="AQ57" s="156"/>
      <c r="AR57" s="156"/>
      <c r="AS57" s="156"/>
      <c r="AT57" s="156"/>
      <c r="AU57" s="156"/>
      <c r="AV57" s="156"/>
      <c r="AW57" s="156"/>
      <c r="AY57" s="229" t="s">
        <v>278</v>
      </c>
      <c r="AZ57" s="156"/>
      <c r="BA57" s="156"/>
      <c r="BB57" s="156"/>
      <c r="BC57" s="156"/>
      <c r="BD57" s="156"/>
      <c r="BE57" s="156"/>
      <c r="BF57" s="156"/>
      <c r="BJ57" s="229" t="s">
        <v>279</v>
      </c>
      <c r="BK57" s="156"/>
      <c r="BL57" s="156"/>
      <c r="BM57" s="156"/>
      <c r="BN57" s="156"/>
      <c r="BO57" s="156"/>
      <c r="BP57" s="156"/>
      <c r="BQ57" s="156"/>
      <c r="BT57" s="229" t="s">
        <v>280</v>
      </c>
      <c r="BU57" s="156"/>
      <c r="BV57" s="156"/>
      <c r="BW57" s="156"/>
      <c r="BX57" s="156"/>
      <c r="BY57" s="156"/>
      <c r="BZ57" s="156"/>
      <c r="CA57" s="156"/>
      <c r="CE57" s="229" t="s">
        <v>281</v>
      </c>
      <c r="CF57" s="156"/>
      <c r="CG57" s="156"/>
      <c r="CH57" s="156"/>
      <c r="CI57" s="156"/>
      <c r="CJ57" s="156"/>
      <c r="CK57" s="156"/>
      <c r="CL57" s="156"/>
      <c r="CP57" s="229" t="s">
        <v>282</v>
      </c>
      <c r="CQ57" s="156"/>
      <c r="CR57" s="156"/>
      <c r="CS57" s="156"/>
      <c r="CT57" s="156"/>
      <c r="CU57" s="156"/>
      <c r="CV57" s="156"/>
      <c r="CW57" s="156"/>
      <c r="CZ57" s="229" t="s">
        <v>283</v>
      </c>
      <c r="DA57" s="257"/>
      <c r="DB57" s="257"/>
      <c r="DC57" s="257"/>
      <c r="DD57" s="257"/>
      <c r="DE57" s="257"/>
      <c r="DF57" s="257"/>
      <c r="DG57" s="257"/>
      <c r="DJ57" s="229" t="s">
        <v>283</v>
      </c>
      <c r="DK57" s="257"/>
      <c r="DL57" s="257"/>
    </row>
    <row r="58" spans="2:122" ht="13.8" thickBot="1">
      <c r="B58" s="157" t="s">
        <v>4</v>
      </c>
      <c r="C58" s="158" t="s">
        <v>5</v>
      </c>
      <c r="D58" s="175"/>
      <c r="E58" s="157" t="s">
        <v>250</v>
      </c>
      <c r="F58" s="158" t="s">
        <v>251</v>
      </c>
      <c r="G58" s="158" t="s">
        <v>252</v>
      </c>
      <c r="H58" s="158" t="s">
        <v>253</v>
      </c>
      <c r="I58" s="162">
        <v>2014</v>
      </c>
      <c r="J58" s="96"/>
      <c r="L58" s="157" t="s">
        <v>4</v>
      </c>
      <c r="M58" s="158" t="s">
        <v>5</v>
      </c>
      <c r="N58" s="175"/>
      <c r="O58" s="157" t="s">
        <v>250</v>
      </c>
      <c r="P58" s="158" t="s">
        <v>251</v>
      </c>
      <c r="Q58" s="158" t="s">
        <v>252</v>
      </c>
      <c r="R58" s="158" t="s">
        <v>253</v>
      </c>
      <c r="S58" s="162">
        <v>2015</v>
      </c>
      <c r="V58" s="157" t="s">
        <v>4</v>
      </c>
      <c r="W58" s="158" t="s">
        <v>5</v>
      </c>
      <c r="X58" s="175"/>
      <c r="Y58" s="157" t="s">
        <v>250</v>
      </c>
      <c r="Z58" s="158" t="s">
        <v>251</v>
      </c>
      <c r="AA58" s="158" t="s">
        <v>252</v>
      </c>
      <c r="AB58" s="158" t="s">
        <v>253</v>
      </c>
      <c r="AC58" s="162">
        <v>2016</v>
      </c>
      <c r="AF58" s="157" t="s">
        <v>4</v>
      </c>
      <c r="AG58" s="158" t="s">
        <v>5</v>
      </c>
      <c r="AH58" s="175"/>
      <c r="AI58" s="157" t="s">
        <v>250</v>
      </c>
      <c r="AJ58" s="158" t="s">
        <v>251</v>
      </c>
      <c r="AK58" s="158" t="s">
        <v>252</v>
      </c>
      <c r="AL58" s="158" t="s">
        <v>253</v>
      </c>
      <c r="AM58" s="162">
        <v>2017</v>
      </c>
      <c r="AP58" s="157" t="s">
        <v>4</v>
      </c>
      <c r="AQ58" s="158" t="s">
        <v>5</v>
      </c>
      <c r="AR58" s="175"/>
      <c r="AS58" s="157" t="s">
        <v>250</v>
      </c>
      <c r="AT58" s="158" t="s">
        <v>251</v>
      </c>
      <c r="AU58" s="158" t="s">
        <v>252</v>
      </c>
      <c r="AV58" s="158" t="s">
        <v>253</v>
      </c>
      <c r="AW58" s="162">
        <v>2018</v>
      </c>
      <c r="AY58" s="157" t="s">
        <v>4</v>
      </c>
      <c r="AZ58" s="158" t="s">
        <v>5</v>
      </c>
      <c r="BA58" s="175"/>
      <c r="BB58" s="157" t="s">
        <v>250</v>
      </c>
      <c r="BC58" s="158" t="s">
        <v>251</v>
      </c>
      <c r="BD58" s="158" t="s">
        <v>252</v>
      </c>
      <c r="BE58" s="158" t="s">
        <v>253</v>
      </c>
      <c r="BF58" s="162">
        <v>2019</v>
      </c>
      <c r="BJ58" s="157" t="s">
        <v>4</v>
      </c>
      <c r="BK58" s="158" t="s">
        <v>5</v>
      </c>
      <c r="BL58" s="175"/>
      <c r="BM58" s="157" t="s">
        <v>250</v>
      </c>
      <c r="BN58" s="158" t="s">
        <v>251</v>
      </c>
      <c r="BO58" s="158" t="s">
        <v>252</v>
      </c>
      <c r="BP58" s="158" t="s">
        <v>253</v>
      </c>
      <c r="BQ58" s="162">
        <v>2020</v>
      </c>
      <c r="BT58" s="157" t="s">
        <v>4</v>
      </c>
      <c r="BU58" s="158" t="s">
        <v>5</v>
      </c>
      <c r="BV58" s="175"/>
      <c r="BW58" s="157" t="s">
        <v>250</v>
      </c>
      <c r="BX58" s="158" t="s">
        <v>251</v>
      </c>
      <c r="BY58" s="158" t="s">
        <v>252</v>
      </c>
      <c r="BZ58" s="158" t="s">
        <v>253</v>
      </c>
      <c r="CA58" s="1076">
        <v>2021</v>
      </c>
      <c r="CE58" s="157" t="s">
        <v>4</v>
      </c>
      <c r="CF58" s="158" t="s">
        <v>5</v>
      </c>
      <c r="CG58" s="175"/>
      <c r="CH58" s="157" t="s">
        <v>250</v>
      </c>
      <c r="CI58" s="158" t="s">
        <v>251</v>
      </c>
      <c r="CJ58" s="158" t="s">
        <v>252</v>
      </c>
      <c r="CK58" s="158" t="s">
        <v>253</v>
      </c>
      <c r="CL58" s="1076">
        <v>2022</v>
      </c>
      <c r="CP58" s="157" t="s">
        <v>4</v>
      </c>
      <c r="CQ58" s="158" t="s">
        <v>5</v>
      </c>
      <c r="CR58" s="175"/>
      <c r="CS58" s="157" t="s">
        <v>250</v>
      </c>
      <c r="CT58" s="158" t="s">
        <v>251</v>
      </c>
      <c r="CU58" s="158" t="s">
        <v>252</v>
      </c>
      <c r="CV58" s="158" t="s">
        <v>253</v>
      </c>
      <c r="CW58" s="1076">
        <v>2023</v>
      </c>
      <c r="CZ58" s="1356" t="s">
        <v>4</v>
      </c>
      <c r="DA58" s="1359" t="s">
        <v>5</v>
      </c>
      <c r="DB58" s="1378"/>
      <c r="DC58" s="1356" t="s">
        <v>250</v>
      </c>
      <c r="DD58" s="1359" t="s">
        <v>251</v>
      </c>
      <c r="DE58" s="1359" t="s">
        <v>252</v>
      </c>
      <c r="DF58" s="1359" t="s">
        <v>253</v>
      </c>
      <c r="DG58" s="1360">
        <v>2024</v>
      </c>
      <c r="DJ58" s="1356" t="s">
        <v>4</v>
      </c>
      <c r="DK58" s="1359" t="s">
        <v>5</v>
      </c>
      <c r="DL58" s="1378"/>
      <c r="DM58" s="1967" t="s">
        <v>22</v>
      </c>
      <c r="DN58" s="1966">
        <v>0</v>
      </c>
      <c r="DO58" s="1966">
        <v>0</v>
      </c>
      <c r="DP58" s="1966">
        <v>0</v>
      </c>
      <c r="DQ58" s="1966">
        <v>0</v>
      </c>
      <c r="DR58" s="1949">
        <v>0</v>
      </c>
    </row>
    <row r="59" spans="2:122" ht="12.75" customHeight="1">
      <c r="B59" s="293" t="s">
        <v>261</v>
      </c>
      <c r="C59" s="294" t="s">
        <v>22</v>
      </c>
      <c r="D59" s="176" t="s">
        <v>255</v>
      </c>
      <c r="E59" s="171">
        <v>13</v>
      </c>
      <c r="F59" s="163">
        <v>0</v>
      </c>
      <c r="G59" s="163">
        <v>67</v>
      </c>
      <c r="H59" s="163">
        <v>27</v>
      </c>
      <c r="I59" s="164">
        <f t="shared" ref="I59:I70" si="19">SUM(E59:H59)</f>
        <v>107</v>
      </c>
      <c r="J59" s="96"/>
      <c r="L59" s="293" t="s">
        <v>261</v>
      </c>
      <c r="M59" s="294" t="s">
        <v>22</v>
      </c>
      <c r="N59" s="176" t="s">
        <v>255</v>
      </c>
      <c r="O59" s="171"/>
      <c r="P59" s="163"/>
      <c r="Q59" s="163"/>
      <c r="R59" s="163"/>
      <c r="S59" s="164"/>
      <c r="V59" s="293" t="s">
        <v>261</v>
      </c>
      <c r="W59" s="294" t="s">
        <v>22</v>
      </c>
      <c r="X59" s="176" t="s">
        <v>255</v>
      </c>
      <c r="Y59" s="1777">
        <v>0</v>
      </c>
      <c r="Z59" s="1777">
        <v>0</v>
      </c>
      <c r="AA59" s="1777">
        <v>29</v>
      </c>
      <c r="AB59" s="1777">
        <v>18</v>
      </c>
      <c r="AC59" s="934">
        <f>SUM(Y59:AB59)</f>
        <v>47</v>
      </c>
      <c r="AF59" s="293" t="s">
        <v>261</v>
      </c>
      <c r="AG59" s="294" t="s">
        <v>22</v>
      </c>
      <c r="AH59" s="176" t="s">
        <v>255</v>
      </c>
      <c r="AI59" s="1778">
        <v>0</v>
      </c>
      <c r="AJ59" s="1778">
        <v>0</v>
      </c>
      <c r="AK59" s="1778">
        <v>79</v>
      </c>
      <c r="AL59" s="1778">
        <v>995</v>
      </c>
      <c r="AM59" s="935">
        <f>SUM(AI59:AL59)</f>
        <v>1074</v>
      </c>
      <c r="AP59" s="293" t="s">
        <v>261</v>
      </c>
      <c r="AQ59" s="294" t="s">
        <v>22</v>
      </c>
      <c r="AR59" s="176" t="s">
        <v>255</v>
      </c>
      <c r="AS59" s="1778"/>
      <c r="AT59" s="1778"/>
      <c r="AU59" s="1778"/>
      <c r="AV59" s="1778"/>
      <c r="AW59" s="935"/>
      <c r="AY59" s="293" t="s">
        <v>261</v>
      </c>
      <c r="AZ59" s="294" t="s">
        <v>22</v>
      </c>
      <c r="BA59" s="176" t="s">
        <v>255</v>
      </c>
      <c r="BB59" s="1779">
        <v>0</v>
      </c>
      <c r="BC59" s="1779">
        <v>0</v>
      </c>
      <c r="BD59" s="1779">
        <v>36</v>
      </c>
      <c r="BE59" s="1779">
        <v>0</v>
      </c>
      <c r="BF59" s="815">
        <v>36</v>
      </c>
      <c r="BJ59" s="293" t="s">
        <v>261</v>
      </c>
      <c r="BK59" s="294" t="s">
        <v>22</v>
      </c>
      <c r="BL59" s="176" t="s">
        <v>255</v>
      </c>
      <c r="BM59" s="1779"/>
      <c r="BN59" s="1779"/>
      <c r="BO59" s="1779"/>
      <c r="BP59" s="1779"/>
      <c r="BQ59" s="815"/>
      <c r="BT59" s="293" t="s">
        <v>261</v>
      </c>
      <c r="BU59" s="294" t="s">
        <v>22</v>
      </c>
      <c r="BV59" s="176" t="s">
        <v>255</v>
      </c>
      <c r="BW59" s="1779"/>
      <c r="BX59" s="1779"/>
      <c r="BY59" s="1779"/>
      <c r="BZ59" s="1779"/>
      <c r="CA59" s="815"/>
      <c r="CE59" s="293" t="s">
        <v>261</v>
      </c>
      <c r="CF59" s="294" t="s">
        <v>22</v>
      </c>
      <c r="CG59" s="176" t="s">
        <v>255</v>
      </c>
      <c r="CH59" s="1779"/>
      <c r="CI59" s="1779"/>
      <c r="CJ59" s="1779"/>
      <c r="CK59" s="1779"/>
      <c r="CL59" s="815"/>
      <c r="CP59" s="293" t="s">
        <v>261</v>
      </c>
      <c r="CQ59" s="294" t="s">
        <v>22</v>
      </c>
      <c r="CR59" s="176" t="s">
        <v>255</v>
      </c>
      <c r="CS59" s="1779"/>
      <c r="CT59" s="1779"/>
      <c r="CU59" s="1779"/>
      <c r="CV59" s="1779"/>
      <c r="CW59" s="815"/>
      <c r="CZ59" s="1379" t="s">
        <v>261</v>
      </c>
      <c r="DA59" s="1380" t="s">
        <v>22</v>
      </c>
      <c r="DB59" s="1381" t="s">
        <v>255</v>
      </c>
      <c r="DC59" s="1382"/>
      <c r="DD59" s="1382"/>
      <c r="DE59" s="1382"/>
      <c r="DF59" s="1382"/>
      <c r="DG59" s="1383"/>
      <c r="DJ59" s="1379" t="s">
        <v>261</v>
      </c>
      <c r="DK59" s="1380" t="s">
        <v>22</v>
      </c>
      <c r="DL59" s="1381" t="s">
        <v>255</v>
      </c>
      <c r="DM59" s="1968"/>
      <c r="DN59" s="1966">
        <v>0</v>
      </c>
      <c r="DO59" s="1966">
        <v>0</v>
      </c>
      <c r="DP59" s="1966">
        <v>0</v>
      </c>
      <c r="DQ59" s="1966">
        <v>0</v>
      </c>
      <c r="DR59" s="1954">
        <v>0</v>
      </c>
    </row>
    <row r="60" spans="2:122">
      <c r="B60" s="295"/>
      <c r="C60" s="296"/>
      <c r="D60" s="764" t="s">
        <v>256</v>
      </c>
      <c r="E60" s="743">
        <v>0</v>
      </c>
      <c r="F60" s="1747">
        <v>0</v>
      </c>
      <c r="G60" s="1747">
        <v>3</v>
      </c>
      <c r="H60" s="1747">
        <v>7</v>
      </c>
      <c r="I60" s="925">
        <f t="shared" si="19"/>
        <v>10</v>
      </c>
      <c r="J60" s="96"/>
      <c r="L60" s="295"/>
      <c r="M60" s="296"/>
      <c r="N60" s="764" t="s">
        <v>256</v>
      </c>
      <c r="O60" s="743"/>
      <c r="P60" s="1747"/>
      <c r="Q60" s="1747"/>
      <c r="R60" s="1747"/>
      <c r="S60" s="925"/>
      <c r="V60" s="295"/>
      <c r="W60" s="296"/>
      <c r="X60" s="764" t="s">
        <v>256</v>
      </c>
      <c r="Y60" s="1777">
        <v>0</v>
      </c>
      <c r="Z60" s="1777">
        <v>0</v>
      </c>
      <c r="AA60" s="1777">
        <v>1</v>
      </c>
      <c r="AB60" s="1777">
        <v>7</v>
      </c>
      <c r="AC60" s="934">
        <f>SUM(Y60:AB60)</f>
        <v>8</v>
      </c>
      <c r="AD60" s="418">
        <f>AC60/AC59*1000</f>
        <v>170.21276595744681</v>
      </c>
      <c r="AF60" s="295"/>
      <c r="AG60" s="296"/>
      <c r="AH60" s="764" t="s">
        <v>256</v>
      </c>
      <c r="AI60" s="1778">
        <v>0</v>
      </c>
      <c r="AJ60" s="1778">
        <v>0</v>
      </c>
      <c r="AK60" s="1778">
        <v>2</v>
      </c>
      <c r="AL60" s="1778">
        <v>4</v>
      </c>
      <c r="AM60" s="935">
        <f>SUM(AI60:AL60)</f>
        <v>6</v>
      </c>
      <c r="AN60" s="418">
        <f>AM60/AM59*1000</f>
        <v>5.5865921787709496</v>
      </c>
      <c r="AP60" s="295"/>
      <c r="AQ60" s="296"/>
      <c r="AR60" s="764" t="s">
        <v>256</v>
      </c>
      <c r="AS60" s="1778"/>
      <c r="AT60" s="1778"/>
      <c r="AU60" s="1778"/>
      <c r="AV60" s="1778"/>
      <c r="AW60" s="935"/>
      <c r="AX60" s="418" t="e">
        <f>AW60/AW59*1000</f>
        <v>#DIV/0!</v>
      </c>
      <c r="AY60" s="295"/>
      <c r="AZ60" s="296"/>
      <c r="BA60" s="764" t="s">
        <v>256</v>
      </c>
      <c r="BB60" s="1779">
        <v>0</v>
      </c>
      <c r="BC60" s="1779">
        <v>0</v>
      </c>
      <c r="BD60" s="1779">
        <v>9</v>
      </c>
      <c r="BE60" s="1779">
        <v>0</v>
      </c>
      <c r="BF60" s="815">
        <f>SUM(BB60:BE60)</f>
        <v>9</v>
      </c>
      <c r="BG60" s="713">
        <f>BF60/BF59*1000</f>
        <v>250</v>
      </c>
      <c r="BH60" s="418"/>
      <c r="BJ60" s="295"/>
      <c r="BK60" s="296"/>
      <c r="BL60" s="764" t="s">
        <v>256</v>
      </c>
      <c r="BM60" s="1779"/>
      <c r="BN60" s="1779"/>
      <c r="BO60" s="1779"/>
      <c r="BP60" s="1779"/>
      <c r="BQ60" s="815"/>
      <c r="BT60" s="295"/>
      <c r="BU60" s="296"/>
      <c r="BV60" s="764" t="s">
        <v>256</v>
      </c>
      <c r="BW60" s="1779"/>
      <c r="BX60" s="1779"/>
      <c r="BY60" s="1779"/>
      <c r="BZ60" s="1779"/>
      <c r="CA60" s="815"/>
      <c r="CE60" s="295"/>
      <c r="CF60" s="296"/>
      <c r="CG60" s="764" t="s">
        <v>256</v>
      </c>
      <c r="CH60" s="1779"/>
      <c r="CI60" s="1779"/>
      <c r="CJ60" s="1779"/>
      <c r="CK60" s="1779"/>
      <c r="CL60" s="815"/>
      <c r="CP60" s="295"/>
      <c r="CQ60" s="296"/>
      <c r="CR60" s="764" t="s">
        <v>256</v>
      </c>
      <c r="CS60" s="1779"/>
      <c r="CT60" s="1779"/>
      <c r="CU60" s="1779"/>
      <c r="CV60" s="1779"/>
      <c r="CW60" s="815"/>
      <c r="CZ60" s="1384"/>
      <c r="DA60" s="1385"/>
      <c r="DB60" s="1386" t="s">
        <v>256</v>
      </c>
      <c r="DC60" s="1382"/>
      <c r="DD60" s="1382"/>
      <c r="DE60" s="1382"/>
      <c r="DF60" s="1382"/>
      <c r="DG60" s="1383"/>
      <c r="DJ60" s="1384"/>
      <c r="DK60" s="1385"/>
      <c r="DL60" s="1386" t="s">
        <v>256</v>
      </c>
      <c r="DM60" s="1968"/>
      <c r="DN60" s="1966">
        <v>0</v>
      </c>
      <c r="DO60" s="1966">
        <v>0</v>
      </c>
      <c r="DP60" s="1966">
        <v>0</v>
      </c>
      <c r="DQ60" s="1966">
        <v>0</v>
      </c>
      <c r="DR60" s="1954">
        <v>0</v>
      </c>
    </row>
    <row r="61" spans="2:122">
      <c r="B61" s="295"/>
      <c r="C61" s="296"/>
      <c r="D61" s="764" t="s">
        <v>257</v>
      </c>
      <c r="E61" s="743">
        <v>0</v>
      </c>
      <c r="F61" s="1747">
        <v>0</v>
      </c>
      <c r="G61" s="1747">
        <v>59</v>
      </c>
      <c r="H61" s="1747">
        <v>363</v>
      </c>
      <c r="I61" s="925">
        <f t="shared" si="19"/>
        <v>422</v>
      </c>
      <c r="J61" s="96"/>
      <c r="L61" s="295"/>
      <c r="M61" s="296"/>
      <c r="N61" s="764" t="s">
        <v>257</v>
      </c>
      <c r="O61" s="743"/>
      <c r="P61" s="1747"/>
      <c r="Q61" s="1747"/>
      <c r="R61" s="1747"/>
      <c r="S61" s="925"/>
      <c r="V61" s="295"/>
      <c r="W61" s="296"/>
      <c r="X61" s="764" t="s">
        <v>257</v>
      </c>
      <c r="Y61" s="1780">
        <v>0</v>
      </c>
      <c r="Z61" s="1780">
        <v>0</v>
      </c>
      <c r="AA61" s="1780">
        <v>37</v>
      </c>
      <c r="AB61" s="1780">
        <v>726</v>
      </c>
      <c r="AC61" s="934">
        <f>SUM(Y61:AB61)</f>
        <v>763</v>
      </c>
      <c r="AF61" s="295"/>
      <c r="AG61" s="296"/>
      <c r="AH61" s="764" t="s">
        <v>257</v>
      </c>
      <c r="AI61" s="1781">
        <v>0</v>
      </c>
      <c r="AJ61" s="1781">
        <v>0</v>
      </c>
      <c r="AK61" s="1781">
        <v>354</v>
      </c>
      <c r="AL61" s="1781">
        <v>1257</v>
      </c>
      <c r="AM61" s="935">
        <f>SUM(AI61:AL61)</f>
        <v>1611</v>
      </c>
      <c r="AP61" s="295"/>
      <c r="AQ61" s="296"/>
      <c r="AR61" s="764" t="s">
        <v>257</v>
      </c>
      <c r="AS61" s="1781"/>
      <c r="AT61" s="1781"/>
      <c r="AU61" s="1781"/>
      <c r="AV61" s="1781"/>
      <c r="AW61" s="935"/>
      <c r="AY61" s="295"/>
      <c r="AZ61" s="296"/>
      <c r="BA61" s="764" t="s">
        <v>257</v>
      </c>
      <c r="BB61" s="1782">
        <v>0</v>
      </c>
      <c r="BC61" s="1782">
        <v>0</v>
      </c>
      <c r="BD61" s="1782">
        <v>1853</v>
      </c>
      <c r="BE61" s="1782">
        <v>0</v>
      </c>
      <c r="BF61" s="815">
        <v>1853</v>
      </c>
      <c r="BJ61" s="295"/>
      <c r="BK61" s="296"/>
      <c r="BL61" s="764" t="s">
        <v>257</v>
      </c>
      <c r="BM61" s="1782"/>
      <c r="BN61" s="1782"/>
      <c r="BO61" s="1782"/>
      <c r="BP61" s="1782"/>
      <c r="BQ61" s="815"/>
      <c r="BT61" s="295"/>
      <c r="BU61" s="296"/>
      <c r="BV61" s="764" t="s">
        <v>257</v>
      </c>
      <c r="BW61" s="1782"/>
      <c r="BX61" s="1782"/>
      <c r="BY61" s="1782"/>
      <c r="BZ61" s="1782"/>
      <c r="CA61" s="815"/>
      <c r="CE61" s="295"/>
      <c r="CF61" s="296"/>
      <c r="CG61" s="764" t="s">
        <v>257</v>
      </c>
      <c r="CH61" s="1782"/>
      <c r="CI61" s="1782"/>
      <c r="CJ61" s="1782"/>
      <c r="CK61" s="1782"/>
      <c r="CL61" s="815"/>
      <c r="CP61" s="295"/>
      <c r="CQ61" s="296"/>
      <c r="CR61" s="764" t="s">
        <v>257</v>
      </c>
      <c r="CS61" s="1782"/>
      <c r="CT61" s="1782"/>
      <c r="CU61" s="1782"/>
      <c r="CV61" s="1782"/>
      <c r="CW61" s="815"/>
      <c r="CZ61" s="1384"/>
      <c r="DA61" s="1385"/>
      <c r="DB61" s="1386" t="s">
        <v>257</v>
      </c>
      <c r="DC61" s="1387"/>
      <c r="DD61" s="1387"/>
      <c r="DE61" s="1387"/>
      <c r="DF61" s="1387"/>
      <c r="DG61" s="1383"/>
      <c r="DJ61" s="1384"/>
      <c r="DK61" s="1385"/>
      <c r="DL61" s="1386" t="s">
        <v>257</v>
      </c>
      <c r="DM61" s="1969"/>
      <c r="DN61" s="1952">
        <v>0</v>
      </c>
      <c r="DO61" s="1953">
        <v>0</v>
      </c>
      <c r="DP61" s="1953">
        <v>0</v>
      </c>
      <c r="DQ61" s="1953">
        <v>40</v>
      </c>
      <c r="DR61" s="1954">
        <v>40</v>
      </c>
    </row>
    <row r="62" spans="2:122" ht="13.8" thickBot="1">
      <c r="B62" s="297"/>
      <c r="C62" s="298"/>
      <c r="D62" s="764" t="s">
        <v>258</v>
      </c>
      <c r="E62" s="747">
        <v>0</v>
      </c>
      <c r="F62" s="748">
        <v>0</v>
      </c>
      <c r="G62" s="748">
        <v>163</v>
      </c>
      <c r="H62" s="748">
        <v>100</v>
      </c>
      <c r="I62" s="749">
        <f t="shared" si="19"/>
        <v>263</v>
      </c>
      <c r="J62" s="96"/>
      <c r="L62" s="297"/>
      <c r="M62" s="298"/>
      <c r="N62" s="764" t="s">
        <v>258</v>
      </c>
      <c r="O62" s="747"/>
      <c r="P62" s="748"/>
      <c r="Q62" s="748"/>
      <c r="R62" s="748"/>
      <c r="S62" s="749"/>
      <c r="V62" s="297"/>
      <c r="W62" s="298"/>
      <c r="X62" s="764" t="s">
        <v>258</v>
      </c>
      <c r="Y62" s="1780">
        <v>0</v>
      </c>
      <c r="Z62" s="1780">
        <v>0</v>
      </c>
      <c r="AA62" s="1780">
        <v>0</v>
      </c>
      <c r="AB62" s="1780">
        <v>101</v>
      </c>
      <c r="AC62" s="936">
        <f>SUM(Y62:AB62)</f>
        <v>101</v>
      </c>
      <c r="AE62" s="461"/>
      <c r="AF62" s="297"/>
      <c r="AG62" s="298"/>
      <c r="AH62" s="764" t="s">
        <v>258</v>
      </c>
      <c r="AI62" s="937"/>
      <c r="AJ62" s="1134"/>
      <c r="AK62" s="1783">
        <v>87</v>
      </c>
      <c r="AL62" s="1783">
        <v>0</v>
      </c>
      <c r="AM62" s="464">
        <f>SUM(AI62:AL62)</f>
        <v>87</v>
      </c>
      <c r="AP62" s="297"/>
      <c r="AQ62" s="298"/>
      <c r="AR62" s="764" t="s">
        <v>258</v>
      </c>
      <c r="AS62" s="937"/>
      <c r="AT62" s="1134"/>
      <c r="AU62" s="1783"/>
      <c r="AV62" s="1783"/>
      <c r="AW62" s="464"/>
      <c r="AY62" s="297"/>
      <c r="AZ62" s="298"/>
      <c r="BA62" s="764" t="s">
        <v>258</v>
      </c>
      <c r="BB62" s="938">
        <v>0</v>
      </c>
      <c r="BC62" s="1784">
        <v>0</v>
      </c>
      <c r="BD62" s="1785">
        <v>226</v>
      </c>
      <c r="BE62" s="1785">
        <v>0</v>
      </c>
      <c r="BF62" s="816">
        <v>226</v>
      </c>
      <c r="BJ62" s="297"/>
      <c r="BK62" s="298"/>
      <c r="BL62" s="764" t="s">
        <v>258</v>
      </c>
      <c r="BM62" s="938"/>
      <c r="BN62" s="1784"/>
      <c r="BO62" s="1785"/>
      <c r="BP62" s="1785"/>
      <c r="BQ62" s="816"/>
      <c r="BT62" s="297"/>
      <c r="BU62" s="298"/>
      <c r="BV62" s="764" t="s">
        <v>258</v>
      </c>
      <c r="BW62" s="938"/>
      <c r="BX62" s="1784"/>
      <c r="BY62" s="1785"/>
      <c r="BZ62" s="1785"/>
      <c r="CA62" s="816"/>
      <c r="CE62" s="297"/>
      <c r="CF62" s="298"/>
      <c r="CG62" s="764" t="s">
        <v>258</v>
      </c>
      <c r="CH62" s="938"/>
      <c r="CI62" s="1784"/>
      <c r="CJ62" s="1785"/>
      <c r="CK62" s="1785"/>
      <c r="CL62" s="816"/>
      <c r="CP62" s="297"/>
      <c r="CQ62" s="298"/>
      <c r="CR62" s="764" t="s">
        <v>258</v>
      </c>
      <c r="CS62" s="938"/>
      <c r="CT62" s="1784"/>
      <c r="CU62" s="1785"/>
      <c r="CV62" s="1785"/>
      <c r="CW62" s="816"/>
      <c r="CZ62" s="1388"/>
      <c r="DA62" s="1389"/>
      <c r="DB62" s="1390" t="s">
        <v>258</v>
      </c>
      <c r="DC62" s="1391"/>
      <c r="DD62" s="1392"/>
      <c r="DE62" s="1393"/>
      <c r="DF62" s="1393"/>
      <c r="DG62" s="1394"/>
      <c r="DJ62" s="1388"/>
      <c r="DK62" s="1389"/>
      <c r="DL62" s="1390" t="s">
        <v>258</v>
      </c>
    </row>
    <row r="63" spans="2:122">
      <c r="B63" s="299" t="s">
        <v>98</v>
      </c>
      <c r="C63" s="299" t="s">
        <v>98</v>
      </c>
      <c r="D63" s="177" t="s">
        <v>255</v>
      </c>
      <c r="E63" s="171">
        <v>683.95090000000005</v>
      </c>
      <c r="F63" s="163">
        <v>994.00383999999997</v>
      </c>
      <c r="G63" s="163">
        <v>435.25099</v>
      </c>
      <c r="H63" s="163">
        <v>317.69941000000006</v>
      </c>
      <c r="I63" s="164">
        <f t="shared" si="19"/>
        <v>2430.9051400000003</v>
      </c>
      <c r="K63" s="2">
        <f>+I63+I67</f>
        <v>2433.9051400000003</v>
      </c>
      <c r="L63" s="299" t="s">
        <v>98</v>
      </c>
      <c r="M63" s="299" t="s">
        <v>98</v>
      </c>
      <c r="N63" s="177" t="s">
        <v>255</v>
      </c>
      <c r="O63" s="171"/>
      <c r="P63" s="163"/>
      <c r="Q63" s="163"/>
      <c r="R63" s="163"/>
      <c r="S63" s="164"/>
      <c r="V63" s="299" t="s">
        <v>98</v>
      </c>
      <c r="W63" s="299" t="s">
        <v>98</v>
      </c>
      <c r="X63" s="177" t="s">
        <v>255</v>
      </c>
      <c r="Y63" s="446"/>
      <c r="Z63" s="447"/>
      <c r="AA63" s="447"/>
      <c r="AB63" s="447"/>
      <c r="AC63" s="448"/>
      <c r="AE63" s="461"/>
      <c r="AF63" s="299" t="s">
        <v>98</v>
      </c>
      <c r="AG63" s="299" t="s">
        <v>98</v>
      </c>
      <c r="AH63" s="177" t="s">
        <v>255</v>
      </c>
      <c r="AI63" s="446"/>
      <c r="AJ63" s="447"/>
      <c r="AK63" s="447"/>
      <c r="AL63" s="447"/>
      <c r="AM63" s="448"/>
      <c r="AP63" s="299" t="s">
        <v>98</v>
      </c>
      <c r="AQ63" s="299" t="s">
        <v>98</v>
      </c>
      <c r="AR63" s="177" t="s">
        <v>255</v>
      </c>
      <c r="AS63" s="446"/>
      <c r="AT63" s="447"/>
      <c r="AU63" s="447"/>
      <c r="AV63" s="447"/>
      <c r="AW63" s="448"/>
      <c r="AY63" s="299" t="s">
        <v>98</v>
      </c>
      <c r="AZ63" s="299" t="s">
        <v>98</v>
      </c>
      <c r="BA63" s="177" t="s">
        <v>255</v>
      </c>
      <c r="BB63" s="20"/>
      <c r="BC63" s="20"/>
      <c r="BD63" s="20"/>
      <c r="BE63" s="20"/>
      <c r="BF63" s="448">
        <v>2490</v>
      </c>
      <c r="BJ63" s="299" t="s">
        <v>98</v>
      </c>
      <c r="BK63" s="299" t="s">
        <v>98</v>
      </c>
      <c r="BL63" s="177" t="s">
        <v>255</v>
      </c>
      <c r="BM63"/>
      <c r="BN63"/>
      <c r="BO63"/>
      <c r="BP63"/>
      <c r="BQ63" s="448"/>
      <c r="BT63" s="299" t="s">
        <v>98</v>
      </c>
      <c r="BU63" s="299" t="s">
        <v>98</v>
      </c>
      <c r="BV63" s="177" t="s">
        <v>255</v>
      </c>
      <c r="BW63"/>
      <c r="BX63"/>
      <c r="BY63"/>
      <c r="BZ63"/>
      <c r="CA63" s="448"/>
      <c r="CE63" s="299" t="s">
        <v>98</v>
      </c>
      <c r="CF63" s="299" t="s">
        <v>98</v>
      </c>
      <c r="CG63" s="177" t="s">
        <v>255</v>
      </c>
      <c r="CH63"/>
      <c r="CI63"/>
      <c r="CJ63"/>
      <c r="CK63"/>
      <c r="CL63" s="448"/>
      <c r="CP63" s="299" t="s">
        <v>98</v>
      </c>
      <c r="CQ63" s="299" t="s">
        <v>98</v>
      </c>
      <c r="CR63" s="177" t="s">
        <v>255</v>
      </c>
      <c r="CS63"/>
      <c r="CT63"/>
      <c r="CU63"/>
      <c r="CV63"/>
      <c r="CW63" s="448"/>
      <c r="CZ63" s="1395" t="s">
        <v>98</v>
      </c>
      <c r="DA63" s="1396" t="s">
        <v>98</v>
      </c>
      <c r="DB63" s="1342" t="s">
        <v>255</v>
      </c>
      <c r="DC63" s="1328">
        <v>574.93577010927584</v>
      </c>
      <c r="DD63" s="1328">
        <v>1501.437841263132</v>
      </c>
      <c r="DE63" s="1328">
        <v>786.32155815608371</v>
      </c>
      <c r="DF63" s="1328">
        <v>3222.7883325470234</v>
      </c>
      <c r="DG63" s="1474">
        <f>SUM(DC63:DF63)</f>
        <v>6085.4835020755145</v>
      </c>
      <c r="DJ63" s="1395" t="s">
        <v>98</v>
      </c>
      <c r="DK63" s="1396" t="s">
        <v>98</v>
      </c>
      <c r="DL63" s="1342" t="s">
        <v>255</v>
      </c>
    </row>
    <row r="64" spans="2:122">
      <c r="B64" s="300"/>
      <c r="C64" s="300"/>
      <c r="D64" s="765" t="s">
        <v>256</v>
      </c>
      <c r="E64" s="743"/>
      <c r="F64" s="1747"/>
      <c r="G64" s="1747"/>
      <c r="H64" s="1747">
        <v>7</v>
      </c>
      <c r="I64" s="925">
        <f t="shared" si="19"/>
        <v>7</v>
      </c>
      <c r="K64" s="2">
        <f>+I64+I68</f>
        <v>16</v>
      </c>
      <c r="L64" s="300"/>
      <c r="M64" s="300"/>
      <c r="N64" s="765" t="s">
        <v>256</v>
      </c>
      <c r="O64" s="743"/>
      <c r="P64" s="1747"/>
      <c r="Q64" s="1747"/>
      <c r="R64" s="1747"/>
      <c r="S64" s="925"/>
      <c r="V64" s="300"/>
      <c r="W64" s="300"/>
      <c r="X64" s="765" t="s">
        <v>256</v>
      </c>
      <c r="Y64" s="766"/>
      <c r="Z64" s="1786"/>
      <c r="AA64" s="1786"/>
      <c r="AB64" s="1786"/>
      <c r="AC64" s="939"/>
      <c r="AE64" s="461"/>
      <c r="AF64" s="300"/>
      <c r="AG64" s="300"/>
      <c r="AH64" s="765" t="s">
        <v>256</v>
      </c>
      <c r="AI64" s="766"/>
      <c r="AJ64" s="1786"/>
      <c r="AK64" s="1786"/>
      <c r="AL64" s="1786"/>
      <c r="AM64" s="939"/>
      <c r="AP64" s="300"/>
      <c r="AQ64" s="300"/>
      <c r="AR64" s="765" t="s">
        <v>256</v>
      </c>
      <c r="AS64" s="766"/>
      <c r="AT64" s="1786"/>
      <c r="AU64" s="1786"/>
      <c r="AV64" s="1786"/>
      <c r="AW64" s="939"/>
      <c r="AY64" s="300"/>
      <c r="AZ64" s="300"/>
      <c r="BA64" s="765" t="s">
        <v>256</v>
      </c>
      <c r="BB64" s="766"/>
      <c r="BC64" s="1786"/>
      <c r="BD64" s="1786"/>
      <c r="BE64" s="1786"/>
      <c r="BF64" s="939"/>
      <c r="BJ64" s="300"/>
      <c r="BK64" s="300"/>
      <c r="BL64" s="765" t="s">
        <v>256</v>
      </c>
      <c r="BM64" s="766"/>
      <c r="BN64" s="1786"/>
      <c r="BO64" s="1786"/>
      <c r="BP64" s="1786"/>
      <c r="BQ64" s="939"/>
      <c r="BT64" s="300"/>
      <c r="BU64" s="300"/>
      <c r="BV64" s="765" t="s">
        <v>256</v>
      </c>
      <c r="BW64" s="766"/>
      <c r="BX64" s="1786"/>
      <c r="BY64" s="1786"/>
      <c r="BZ64" s="1786"/>
      <c r="CA64" s="939"/>
      <c r="CE64" s="300"/>
      <c r="CF64" s="300"/>
      <c r="CG64" s="765" t="s">
        <v>256</v>
      </c>
      <c r="CH64" s="766"/>
      <c r="CI64" s="1786"/>
      <c r="CJ64" s="1786"/>
      <c r="CK64" s="1786"/>
      <c r="CL64" s="939"/>
      <c r="CP64" s="300"/>
      <c r="CQ64" s="300"/>
      <c r="CR64" s="765" t="s">
        <v>256</v>
      </c>
      <c r="CS64" s="766"/>
      <c r="CT64" s="1786"/>
      <c r="CU64" s="1786"/>
      <c r="CV64" s="1786"/>
      <c r="CW64" s="939"/>
      <c r="CZ64" s="1398"/>
      <c r="DA64" s="1398"/>
      <c r="DB64" s="1399" t="s">
        <v>256</v>
      </c>
      <c r="DC64" s="1400">
        <v>5</v>
      </c>
      <c r="DD64" s="1397">
        <v>4</v>
      </c>
      <c r="DE64" s="1397">
        <v>6</v>
      </c>
      <c r="DF64" s="1397">
        <v>5</v>
      </c>
      <c r="DG64" s="1474">
        <f>SUM(DC64:DF64)</f>
        <v>20</v>
      </c>
      <c r="DH64" s="35">
        <f>DG64/DG63*1000</f>
        <v>3.2865096081813059</v>
      </c>
      <c r="DJ64" s="1398"/>
      <c r="DK64" s="1398"/>
      <c r="DL64" s="1399" t="s">
        <v>256</v>
      </c>
      <c r="DN64" s="1">
        <v>358</v>
      </c>
      <c r="DO64" s="1">
        <v>223</v>
      </c>
      <c r="DP64" s="1">
        <v>1280</v>
      </c>
      <c r="DQ64" s="1">
        <v>0</v>
      </c>
      <c r="DR64" s="1">
        <v>1861</v>
      </c>
    </row>
    <row r="65" spans="2:123">
      <c r="B65" s="300"/>
      <c r="C65" s="300"/>
      <c r="D65" s="765" t="s">
        <v>257</v>
      </c>
      <c r="E65" s="743"/>
      <c r="F65" s="1747"/>
      <c r="G65" s="1747"/>
      <c r="H65" s="1747">
        <v>164</v>
      </c>
      <c r="I65" s="925">
        <f t="shared" si="19"/>
        <v>164</v>
      </c>
      <c r="L65" s="300"/>
      <c r="M65" s="300"/>
      <c r="N65" s="765" t="s">
        <v>257</v>
      </c>
      <c r="O65" s="743"/>
      <c r="P65" s="1747"/>
      <c r="Q65" s="1747"/>
      <c r="R65" s="1747"/>
      <c r="S65" s="925"/>
      <c r="V65" s="300"/>
      <c r="W65" s="300"/>
      <c r="X65" s="765" t="s">
        <v>257</v>
      </c>
      <c r="Y65" s="766"/>
      <c r="Z65" s="1786"/>
      <c r="AA65" s="1786"/>
      <c r="AB65" s="1786"/>
      <c r="AC65" s="939"/>
      <c r="AE65" s="461"/>
      <c r="AF65" s="300"/>
      <c r="AG65" s="300"/>
      <c r="AH65" s="765" t="s">
        <v>257</v>
      </c>
      <c r="AI65" s="766"/>
      <c r="AJ65" s="1786"/>
      <c r="AK65" s="1786"/>
      <c r="AL65" s="1786"/>
      <c r="AM65" s="939"/>
      <c r="AP65" s="300"/>
      <c r="AQ65" s="300"/>
      <c r="AR65" s="765" t="s">
        <v>257</v>
      </c>
      <c r="AS65" s="766"/>
      <c r="AT65" s="1786"/>
      <c r="AU65" s="1786"/>
      <c r="AV65" s="1786"/>
      <c r="AW65" s="939"/>
      <c r="AY65" s="300"/>
      <c r="AZ65" s="300"/>
      <c r="BA65" s="765" t="s">
        <v>257</v>
      </c>
      <c r="BB65" s="766"/>
      <c r="BC65" s="1786"/>
      <c r="BD65" s="1786"/>
      <c r="BE65" s="1786"/>
      <c r="BF65" s="939"/>
      <c r="BJ65" s="300"/>
      <c r="BK65" s="300"/>
      <c r="BL65" s="765" t="s">
        <v>257</v>
      </c>
      <c r="BM65" s="766"/>
      <c r="BN65" s="1786"/>
      <c r="BO65" s="1786"/>
      <c r="BP65" s="1786"/>
      <c r="BQ65" s="939"/>
      <c r="BT65" s="300"/>
      <c r="BU65" s="300"/>
      <c r="BV65" s="764" t="s">
        <v>257</v>
      </c>
      <c r="BW65" s="765">
        <v>32</v>
      </c>
      <c r="BX65" s="766">
        <v>198</v>
      </c>
      <c r="BY65" s="1786">
        <v>387</v>
      </c>
      <c r="BZ65" s="1786">
        <v>54</v>
      </c>
      <c r="CA65" s="1786">
        <v>671</v>
      </c>
      <c r="CE65" s="300"/>
      <c r="CF65" s="300"/>
      <c r="CG65" s="764" t="s">
        <v>257</v>
      </c>
      <c r="CH65" s="765">
        <v>32</v>
      </c>
      <c r="CI65" s="766">
        <v>198</v>
      </c>
      <c r="CJ65" s="1786">
        <v>387</v>
      </c>
      <c r="CK65" s="1786">
        <v>54</v>
      </c>
      <c r="CL65" s="1786">
        <v>671</v>
      </c>
      <c r="CP65" s="300"/>
      <c r="CQ65" s="300"/>
      <c r="CR65" s="764" t="s">
        <v>257</v>
      </c>
      <c r="CS65" s="765"/>
      <c r="CT65" s="766" t="s">
        <v>18</v>
      </c>
      <c r="CU65" s="1786" t="s">
        <v>18</v>
      </c>
      <c r="CV65" s="1786" t="s">
        <v>18</v>
      </c>
      <c r="CW65" s="1786" t="s">
        <v>18</v>
      </c>
      <c r="CZ65" s="1398"/>
      <c r="DA65" s="1398"/>
      <c r="DB65" s="1386" t="s">
        <v>257</v>
      </c>
      <c r="DC65" s="1134">
        <v>208</v>
      </c>
      <c r="DD65" s="1400">
        <v>219</v>
      </c>
      <c r="DE65" s="1397">
        <v>209</v>
      </c>
      <c r="DF65" s="1397">
        <v>259</v>
      </c>
      <c r="DG65" s="1474">
        <f>SUM(DC65:DF65)</f>
        <v>895</v>
      </c>
      <c r="DJ65" s="1398"/>
      <c r="DK65" s="1398"/>
      <c r="DL65" s="1386" t="s">
        <v>257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35">
        <f>DR65/DR64*1000</f>
        <v>0</v>
      </c>
    </row>
    <row r="66" spans="2:123" ht="13.8" thickBot="1">
      <c r="B66" s="301"/>
      <c r="C66" s="301"/>
      <c r="D66" s="767" t="s">
        <v>258</v>
      </c>
      <c r="E66" s="744"/>
      <c r="F66" s="745"/>
      <c r="G66" s="745"/>
      <c r="H66" s="745"/>
      <c r="I66" s="746">
        <f t="shared" si="19"/>
        <v>0</v>
      </c>
      <c r="L66" s="301"/>
      <c r="M66" s="301"/>
      <c r="N66" s="767" t="s">
        <v>258</v>
      </c>
      <c r="O66" s="744"/>
      <c r="P66" s="745"/>
      <c r="Q66" s="745"/>
      <c r="R66" s="745"/>
      <c r="S66" s="746"/>
      <c r="V66" s="301"/>
      <c r="W66" s="301"/>
      <c r="X66" s="767" t="s">
        <v>258</v>
      </c>
      <c r="Y66" s="768"/>
      <c r="Z66" s="769"/>
      <c r="AA66" s="769"/>
      <c r="AB66" s="769"/>
      <c r="AC66" s="770"/>
      <c r="AE66" s="461"/>
      <c r="AF66" s="301"/>
      <c r="AG66" s="301"/>
      <c r="AH66" s="767" t="s">
        <v>258</v>
      </c>
      <c r="AI66" s="768"/>
      <c r="AJ66" s="769"/>
      <c r="AK66" s="769"/>
      <c r="AL66" s="769"/>
      <c r="AM66" s="770"/>
      <c r="AP66" s="301"/>
      <c r="AQ66" s="301"/>
      <c r="AR66" s="767" t="s">
        <v>258</v>
      </c>
      <c r="AS66" s="768"/>
      <c r="AT66" s="769"/>
      <c r="AU66" s="769"/>
      <c r="AV66" s="769"/>
      <c r="AW66" s="770"/>
      <c r="AY66" s="301"/>
      <c r="AZ66" s="301"/>
      <c r="BA66" s="767" t="s">
        <v>258</v>
      </c>
      <c r="BB66" s="768"/>
      <c r="BC66" s="769"/>
      <c r="BD66" s="769"/>
      <c r="BE66" s="769"/>
      <c r="BF66" s="770"/>
      <c r="BJ66" s="301"/>
      <c r="BK66" s="301"/>
      <c r="BL66" s="767" t="s">
        <v>258</v>
      </c>
      <c r="BM66" s="768"/>
      <c r="BN66" s="769"/>
      <c r="BO66" s="769"/>
      <c r="BP66" s="769"/>
      <c r="BQ66" s="770"/>
      <c r="BT66" s="301"/>
      <c r="BU66" s="301"/>
      <c r="BV66" s="767" t="s">
        <v>258</v>
      </c>
      <c r="BW66" s="768"/>
      <c r="BX66" s="769"/>
      <c r="BY66" s="769"/>
      <c r="BZ66" s="769"/>
      <c r="CA66" s="770"/>
      <c r="CE66" s="301"/>
      <c r="CF66" s="301"/>
      <c r="CG66" s="767" t="s">
        <v>258</v>
      </c>
      <c r="CH66" s="768"/>
      <c r="CI66" s="769"/>
      <c r="CJ66" s="769"/>
      <c r="CK66" s="769"/>
      <c r="CL66" s="770"/>
      <c r="CP66" s="301"/>
      <c r="CQ66" s="301"/>
      <c r="CR66" s="767" t="s">
        <v>258</v>
      </c>
      <c r="CS66" s="768" t="s">
        <v>18</v>
      </c>
      <c r="CT66" s="769"/>
      <c r="CU66" s="769"/>
      <c r="CV66" s="769"/>
      <c r="CW66" s="770"/>
      <c r="CZ66" s="1401"/>
      <c r="DA66" s="1401"/>
      <c r="DB66" s="1402" t="s">
        <v>258</v>
      </c>
      <c r="DC66" s="1403" t="s">
        <v>18</v>
      </c>
      <c r="DD66" s="1404"/>
      <c r="DE66" s="1404"/>
      <c r="DF66" s="1404"/>
      <c r="DG66" s="1405"/>
      <c r="DJ66" s="1401"/>
      <c r="DK66" s="1401"/>
      <c r="DL66" s="1402" t="s">
        <v>258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</row>
    <row r="67" spans="2:123">
      <c r="B67" s="299" t="s">
        <v>98</v>
      </c>
      <c r="C67" s="302" t="s">
        <v>22</v>
      </c>
      <c r="D67" s="177" t="s">
        <v>255</v>
      </c>
      <c r="E67" s="184">
        <v>0</v>
      </c>
      <c r="F67" s="183">
        <v>0</v>
      </c>
      <c r="G67" s="183">
        <v>2</v>
      </c>
      <c r="H67" s="183">
        <v>1</v>
      </c>
      <c r="I67" s="185">
        <f t="shared" si="19"/>
        <v>3</v>
      </c>
      <c r="L67" s="299" t="s">
        <v>98</v>
      </c>
      <c r="M67" s="302" t="s">
        <v>22</v>
      </c>
      <c r="N67" s="177" t="s">
        <v>255</v>
      </c>
      <c r="O67" s="184"/>
      <c r="P67" s="183"/>
      <c r="Q67" s="183"/>
      <c r="R67" s="183"/>
      <c r="S67" s="185"/>
      <c r="V67" s="299" t="s">
        <v>98</v>
      </c>
      <c r="W67" s="302" t="s">
        <v>22</v>
      </c>
      <c r="X67" s="177" t="s">
        <v>255</v>
      </c>
      <c r="Y67" s="1745">
        <v>802</v>
      </c>
      <c r="Z67" s="1745">
        <v>0</v>
      </c>
      <c r="AA67" s="1745">
        <v>0</v>
      </c>
      <c r="AB67" s="1745">
        <v>0</v>
      </c>
      <c r="AC67" s="1745">
        <f>SUM(Y67:AB67)</f>
        <v>802</v>
      </c>
      <c r="AE67" s="461"/>
      <c r="AF67" s="299" t="s">
        <v>98</v>
      </c>
      <c r="AG67" s="302" t="s">
        <v>22</v>
      </c>
      <c r="AH67" s="177" t="s">
        <v>255</v>
      </c>
      <c r="AI67" s="1787">
        <v>1315</v>
      </c>
      <c r="AJ67" s="1787">
        <v>1516</v>
      </c>
      <c r="AK67" s="1787">
        <v>0</v>
      </c>
      <c r="AL67" s="1787">
        <v>0</v>
      </c>
      <c r="AM67" s="940">
        <f>SUM(AI67:AL67)</f>
        <v>2831</v>
      </c>
      <c r="AP67" s="299" t="s">
        <v>98</v>
      </c>
      <c r="AQ67" s="302" t="s">
        <v>22</v>
      </c>
      <c r="AR67" s="177" t="s">
        <v>255</v>
      </c>
      <c r="AS67" s="1787"/>
      <c r="AT67" s="1788"/>
      <c r="AU67" s="1788"/>
      <c r="AV67" s="1788"/>
      <c r="AW67" s="941"/>
      <c r="AX67" s="75"/>
      <c r="AY67" s="615" t="s">
        <v>98</v>
      </c>
      <c r="AZ67" s="616" t="s">
        <v>22</v>
      </c>
      <c r="BA67" s="617" t="s">
        <v>255</v>
      </c>
      <c r="BB67" s="1789">
        <v>310</v>
      </c>
      <c r="BC67" s="1789">
        <v>43</v>
      </c>
      <c r="BD67" s="1789">
        <v>209</v>
      </c>
      <c r="BE67" s="1789">
        <v>0</v>
      </c>
      <c r="BF67" s="814">
        <v>562</v>
      </c>
      <c r="BJ67" s="615" t="s">
        <v>98</v>
      </c>
      <c r="BK67" s="616" t="s">
        <v>22</v>
      </c>
      <c r="BL67" s="617" t="s">
        <v>255</v>
      </c>
      <c r="BM67" s="1789">
        <v>521</v>
      </c>
      <c r="BN67" s="1789">
        <v>0</v>
      </c>
      <c r="BO67" s="1789">
        <v>1436</v>
      </c>
      <c r="BP67" s="1789">
        <v>1059</v>
      </c>
      <c r="BQ67" s="814">
        <v>3016</v>
      </c>
      <c r="BT67" s="299"/>
      <c r="BU67" s="302" t="s">
        <v>22</v>
      </c>
      <c r="BV67" s="177" t="s">
        <v>255</v>
      </c>
      <c r="BW67" s="1789">
        <v>0</v>
      </c>
      <c r="BX67" s="1789">
        <v>0</v>
      </c>
      <c r="BY67" s="1790">
        <v>160.6</v>
      </c>
      <c r="BZ67" s="1790">
        <v>3</v>
      </c>
      <c r="CA67" s="1077">
        <v>163.6</v>
      </c>
      <c r="CE67" s="299"/>
      <c r="CF67" s="302" t="s">
        <v>22</v>
      </c>
      <c r="CG67" s="177" t="s">
        <v>255</v>
      </c>
      <c r="CH67" s="1789">
        <v>0</v>
      </c>
      <c r="CI67" s="1789">
        <v>0</v>
      </c>
      <c r="CJ67" s="1790">
        <v>160.6</v>
      </c>
      <c r="CK67" s="1790">
        <v>3</v>
      </c>
      <c r="CL67" s="1077">
        <v>163.6</v>
      </c>
      <c r="CP67" s="299"/>
      <c r="CQ67" s="302" t="s">
        <v>22</v>
      </c>
      <c r="CR67" s="177" t="s">
        <v>255</v>
      </c>
      <c r="CS67" s="1789" t="s">
        <v>18</v>
      </c>
      <c r="CT67" s="1789" t="s">
        <v>18</v>
      </c>
      <c r="CU67" s="1790" t="s">
        <v>18</v>
      </c>
      <c r="CV67" s="1790" t="s">
        <v>18</v>
      </c>
      <c r="CW67" s="1077" t="s">
        <v>18</v>
      </c>
      <c r="CZ67" s="1395"/>
      <c r="DA67" s="1406" t="s">
        <v>22</v>
      </c>
      <c r="DB67" s="1407" t="s">
        <v>255</v>
      </c>
      <c r="DC67" s="1408" t="s">
        <v>18</v>
      </c>
      <c r="DD67" s="1408" t="s">
        <v>18</v>
      </c>
      <c r="DE67" s="1409" t="s">
        <v>18</v>
      </c>
      <c r="DF67" s="1409" t="s">
        <v>18</v>
      </c>
      <c r="DG67" s="1410" t="s">
        <v>18</v>
      </c>
      <c r="DJ67" s="1395"/>
      <c r="DK67" s="1406" t="s">
        <v>22</v>
      </c>
      <c r="DL67" s="1407" t="s">
        <v>255</v>
      </c>
      <c r="DN67" s="1">
        <v>57</v>
      </c>
      <c r="DO67" s="1">
        <v>0</v>
      </c>
      <c r="DP67" s="1">
        <v>0</v>
      </c>
      <c r="DQ67" s="1">
        <v>0</v>
      </c>
      <c r="DR67" s="1">
        <v>57</v>
      </c>
    </row>
    <row r="68" spans="2:123" ht="13.8">
      <c r="B68" s="300"/>
      <c r="C68" s="303"/>
      <c r="D68" s="765" t="s">
        <v>256</v>
      </c>
      <c r="E68" s="743">
        <v>0</v>
      </c>
      <c r="F68" s="1747">
        <v>0</v>
      </c>
      <c r="G68" s="1747">
        <v>2</v>
      </c>
      <c r="H68" s="1747">
        <v>7</v>
      </c>
      <c r="I68" s="925">
        <f t="shared" si="19"/>
        <v>9</v>
      </c>
      <c r="L68" s="300"/>
      <c r="M68" s="303"/>
      <c r="N68" s="765" t="s">
        <v>256</v>
      </c>
      <c r="O68" s="743"/>
      <c r="P68" s="1747"/>
      <c r="Q68" s="1747"/>
      <c r="R68" s="1747"/>
      <c r="S68" s="925"/>
      <c r="V68" s="300"/>
      <c r="W68" s="303"/>
      <c r="X68" s="765" t="s">
        <v>256</v>
      </c>
      <c r="Y68" s="1745">
        <v>22</v>
      </c>
      <c r="Z68" s="1745">
        <v>0</v>
      </c>
      <c r="AA68" s="1745"/>
      <c r="AB68" s="1745"/>
      <c r="AC68" s="1745">
        <f>SUM(Y68:AB68)</f>
        <v>22</v>
      </c>
      <c r="AD68" s="418">
        <f>AC68/AC67*1000</f>
        <v>27.431421446384039</v>
      </c>
      <c r="AE68" s="462"/>
      <c r="AF68" s="300"/>
      <c r="AG68" s="303"/>
      <c r="AH68" s="765" t="s">
        <v>256</v>
      </c>
      <c r="AI68" s="1787">
        <v>0</v>
      </c>
      <c r="AJ68" s="1787">
        <v>3</v>
      </c>
      <c r="AK68" s="1787">
        <v>0</v>
      </c>
      <c r="AL68" s="1787">
        <v>0</v>
      </c>
      <c r="AM68" s="940">
        <f>SUM(AI68:AL68)</f>
        <v>3</v>
      </c>
      <c r="AN68" s="418">
        <f>AM68/AM67*1000</f>
        <v>1.0596962204168139</v>
      </c>
      <c r="AP68" s="300"/>
      <c r="AQ68" s="303"/>
      <c r="AR68" s="765" t="s">
        <v>256</v>
      </c>
      <c r="AS68" s="1787"/>
      <c r="AT68" s="1788"/>
      <c r="AU68" s="1788"/>
      <c r="AV68" s="1788"/>
      <c r="AW68" s="941"/>
      <c r="AX68" s="618" t="e">
        <f>AW68/AW67*1000</f>
        <v>#DIV/0!</v>
      </c>
      <c r="AY68" s="619"/>
      <c r="AZ68" s="620"/>
      <c r="BA68" s="771" t="s">
        <v>256</v>
      </c>
      <c r="BB68" s="1789">
        <v>0</v>
      </c>
      <c r="BC68" s="1789">
        <v>3</v>
      </c>
      <c r="BD68" s="1789">
        <v>3</v>
      </c>
      <c r="BE68" s="1789">
        <v>0</v>
      </c>
      <c r="BF68" s="814">
        <v>6</v>
      </c>
      <c r="BG68" s="2">
        <f>BF68/BF67*1000</f>
        <v>10.676156583629894</v>
      </c>
      <c r="BH68" s="418"/>
      <c r="BJ68" s="619"/>
      <c r="BK68" s="620"/>
      <c r="BL68" s="771" t="s">
        <v>256</v>
      </c>
      <c r="BM68" s="1789">
        <v>0</v>
      </c>
      <c r="BN68" s="1789">
        <v>0</v>
      </c>
      <c r="BO68" s="1789">
        <v>19</v>
      </c>
      <c r="BP68" s="1789">
        <v>23</v>
      </c>
      <c r="BQ68" s="814">
        <v>42</v>
      </c>
      <c r="BR68" s="75">
        <f>BQ68/BQ67*1000</f>
        <v>13.925729442970823</v>
      </c>
      <c r="BT68" s="300"/>
      <c r="BU68" s="303"/>
      <c r="BV68" s="765" t="s">
        <v>256</v>
      </c>
      <c r="BW68" s="1789">
        <v>0</v>
      </c>
      <c r="BX68" s="1789">
        <v>0</v>
      </c>
      <c r="BY68" s="1789">
        <v>4</v>
      </c>
      <c r="BZ68" s="1789">
        <v>0</v>
      </c>
      <c r="CA68" s="814">
        <v>4</v>
      </c>
      <c r="CB68" s="1">
        <f>CA68/CA67*1000</f>
        <v>24.44987775061125</v>
      </c>
      <c r="CE68" s="300"/>
      <c r="CF68" s="303"/>
      <c r="CG68" s="765" t="s">
        <v>256</v>
      </c>
      <c r="CH68" s="1789">
        <v>0</v>
      </c>
      <c r="CI68" s="1789">
        <v>0</v>
      </c>
      <c r="CJ68" s="1789">
        <v>4</v>
      </c>
      <c r="CK68" s="1789">
        <v>0</v>
      </c>
      <c r="CL68" s="814">
        <v>4</v>
      </c>
      <c r="CM68" s="1">
        <f>CL68/CL67*1000</f>
        <v>24.44987775061125</v>
      </c>
      <c r="CP68" s="300"/>
      <c r="CQ68" s="303"/>
      <c r="CR68" s="765" t="s">
        <v>256</v>
      </c>
      <c r="CS68" s="1789" t="s">
        <v>18</v>
      </c>
      <c r="CT68" s="1789" t="s">
        <v>18</v>
      </c>
      <c r="CU68" s="1789" t="s">
        <v>18</v>
      </c>
      <c r="CV68" s="1789" t="s">
        <v>18</v>
      </c>
      <c r="CW68" s="814" t="s">
        <v>18</v>
      </c>
      <c r="CX68" s="1" t="s">
        <v>18</v>
      </c>
      <c r="CZ68" s="1398"/>
      <c r="DA68" s="1411"/>
      <c r="DB68" s="1399" t="s">
        <v>256</v>
      </c>
      <c r="DC68" s="1408" t="s">
        <v>18</v>
      </c>
      <c r="DD68" s="1408" t="s">
        <v>18</v>
      </c>
      <c r="DE68" s="1408" t="s">
        <v>18</v>
      </c>
      <c r="DF68" s="1408" t="s">
        <v>18</v>
      </c>
      <c r="DG68" s="1412" t="s">
        <v>18</v>
      </c>
      <c r="DH68" s="1" t="s">
        <v>18</v>
      </c>
      <c r="DJ68" s="1398"/>
      <c r="DK68" s="1411"/>
      <c r="DL68" s="1399" t="s">
        <v>256</v>
      </c>
    </row>
    <row r="69" spans="2:123" ht="13.8">
      <c r="B69" s="300"/>
      <c r="C69" s="303"/>
      <c r="D69" s="765" t="s">
        <v>257</v>
      </c>
      <c r="E69" s="743">
        <v>0</v>
      </c>
      <c r="F69" s="1747">
        <v>0</v>
      </c>
      <c r="G69" s="1747">
        <v>639</v>
      </c>
      <c r="H69" s="1747">
        <v>2164</v>
      </c>
      <c r="I69" s="925">
        <f t="shared" si="19"/>
        <v>2803</v>
      </c>
      <c r="L69" s="300"/>
      <c r="M69" s="303"/>
      <c r="N69" s="765" t="s">
        <v>257</v>
      </c>
      <c r="O69" s="743"/>
      <c r="P69" s="1747"/>
      <c r="Q69" s="1747"/>
      <c r="R69" s="1747"/>
      <c r="S69" s="925"/>
      <c r="V69" s="300"/>
      <c r="W69" s="303"/>
      <c r="X69" s="765" t="s">
        <v>257</v>
      </c>
      <c r="Y69" s="1745">
        <v>1985</v>
      </c>
      <c r="Z69" s="1745">
        <v>0</v>
      </c>
      <c r="AA69" s="1745"/>
      <c r="AB69" s="1745"/>
      <c r="AC69" s="1745">
        <f>SUM(Y69:AB69)</f>
        <v>1985</v>
      </c>
      <c r="AE69" s="462"/>
      <c r="AF69" s="300"/>
      <c r="AG69" s="303"/>
      <c r="AH69" s="765" t="s">
        <v>257</v>
      </c>
      <c r="AI69" s="1787">
        <v>0</v>
      </c>
      <c r="AJ69" s="1787">
        <v>738</v>
      </c>
      <c r="AK69" s="1787">
        <v>0</v>
      </c>
      <c r="AL69" s="1787">
        <v>0</v>
      </c>
      <c r="AM69" s="940">
        <f>SUM(AI69:AL69)</f>
        <v>738</v>
      </c>
      <c r="AP69" s="300"/>
      <c r="AQ69" s="303"/>
      <c r="AR69" s="765" t="s">
        <v>257</v>
      </c>
      <c r="AS69" s="1787"/>
      <c r="AT69" s="1788"/>
      <c r="AU69" s="1788"/>
      <c r="AV69" s="1788"/>
      <c r="AW69" s="941"/>
      <c r="AX69" s="75"/>
      <c r="AY69" s="619"/>
      <c r="AZ69" s="620"/>
      <c r="BA69" s="771" t="s">
        <v>257</v>
      </c>
      <c r="BB69" s="1789">
        <v>0</v>
      </c>
      <c r="BC69" s="1789">
        <v>376</v>
      </c>
      <c r="BD69" s="1789">
        <v>415</v>
      </c>
      <c r="BE69" s="1789">
        <v>0</v>
      </c>
      <c r="BF69" s="814">
        <v>791</v>
      </c>
      <c r="BJ69" s="619"/>
      <c r="BK69" s="620"/>
      <c r="BL69" s="771" t="s">
        <v>257</v>
      </c>
      <c r="BM69" s="1789">
        <v>0</v>
      </c>
      <c r="BN69" s="1789">
        <v>0</v>
      </c>
      <c r="BO69" s="1789">
        <v>3168</v>
      </c>
      <c r="BP69" s="1789">
        <v>4517</v>
      </c>
      <c r="BQ69" s="814">
        <v>7685</v>
      </c>
      <c r="BT69" s="300"/>
      <c r="BU69" s="303"/>
      <c r="BV69" s="765" t="s">
        <v>257</v>
      </c>
      <c r="BW69" s="1789">
        <v>0</v>
      </c>
      <c r="BX69" s="1789">
        <v>0</v>
      </c>
      <c r="BY69" s="1789">
        <v>1255</v>
      </c>
      <c r="BZ69" s="1789">
        <v>0</v>
      </c>
      <c r="CA69" s="814">
        <v>1255</v>
      </c>
      <c r="CE69" s="300"/>
      <c r="CF69" s="303"/>
      <c r="CG69" s="765" t="s">
        <v>257</v>
      </c>
      <c r="CH69" s="1789">
        <v>0</v>
      </c>
      <c r="CI69" s="1789">
        <v>0</v>
      </c>
      <c r="CJ69" s="1789">
        <v>1255</v>
      </c>
      <c r="CK69" s="1789">
        <v>0</v>
      </c>
      <c r="CL69" s="814">
        <v>1255</v>
      </c>
      <c r="CP69" s="300"/>
      <c r="CQ69" s="303"/>
      <c r="CR69" s="765" t="s">
        <v>257</v>
      </c>
      <c r="CS69" s="1789" t="s">
        <v>18</v>
      </c>
      <c r="CT69" s="1789" t="s">
        <v>18</v>
      </c>
      <c r="CU69" s="1789" t="s">
        <v>18</v>
      </c>
      <c r="CV69" s="1789" t="s">
        <v>18</v>
      </c>
      <c r="CW69" s="814" t="s">
        <v>18</v>
      </c>
      <c r="CZ69" s="1398"/>
      <c r="DA69" s="1411"/>
      <c r="DB69" s="1399" t="s">
        <v>257</v>
      </c>
      <c r="DC69" s="1408" t="s">
        <v>18</v>
      </c>
      <c r="DD69" s="1408" t="s">
        <v>18</v>
      </c>
      <c r="DE69" s="1408" t="s">
        <v>18</v>
      </c>
      <c r="DF69" s="1408" t="s">
        <v>18</v>
      </c>
      <c r="DG69" s="1412" t="s">
        <v>18</v>
      </c>
      <c r="DJ69" s="1398"/>
      <c r="DK69" s="1411"/>
      <c r="DL69" s="1399" t="s">
        <v>257</v>
      </c>
    </row>
    <row r="70" spans="2:123" ht="14.4" thickBot="1">
      <c r="B70" s="301"/>
      <c r="C70" s="304"/>
      <c r="D70" s="767" t="s">
        <v>258</v>
      </c>
      <c r="E70" s="747">
        <v>0</v>
      </c>
      <c r="F70" s="748">
        <v>0</v>
      </c>
      <c r="G70" s="748">
        <v>53</v>
      </c>
      <c r="H70" s="748">
        <v>141</v>
      </c>
      <c r="I70" s="749">
        <f t="shared" si="19"/>
        <v>194</v>
      </c>
      <c r="L70" s="301"/>
      <c r="M70" s="304"/>
      <c r="N70" s="767" t="s">
        <v>258</v>
      </c>
      <c r="O70" s="747"/>
      <c r="P70" s="748"/>
      <c r="Q70" s="748"/>
      <c r="R70" s="748"/>
      <c r="S70" s="749"/>
      <c r="V70" s="301"/>
      <c r="W70" s="304"/>
      <c r="X70" s="767" t="s">
        <v>258</v>
      </c>
      <c r="Y70" s="1745">
        <v>275</v>
      </c>
      <c r="Z70" s="1745">
        <v>0</v>
      </c>
      <c r="AA70" s="1745"/>
      <c r="AB70" s="1745"/>
      <c r="AC70" s="1745">
        <f>SUM(Y70:AB70)</f>
        <v>275</v>
      </c>
      <c r="AE70" s="462"/>
      <c r="AF70" s="301"/>
      <c r="AG70" s="304"/>
      <c r="AH70" s="767" t="s">
        <v>258</v>
      </c>
      <c r="AI70" s="1787">
        <v>0</v>
      </c>
      <c r="AJ70" s="1787">
        <v>104</v>
      </c>
      <c r="AK70" s="1787">
        <v>0</v>
      </c>
      <c r="AL70" s="1787">
        <v>0</v>
      </c>
      <c r="AM70" s="942">
        <f>SUM(AI70:AL70)</f>
        <v>104</v>
      </c>
      <c r="AP70" s="301"/>
      <c r="AQ70" s="304"/>
      <c r="AR70" s="767" t="s">
        <v>258</v>
      </c>
      <c r="AS70" s="1787"/>
      <c r="AT70" s="1788"/>
      <c r="AU70" s="1788"/>
      <c r="AV70" s="1788"/>
      <c r="AW70" s="941"/>
      <c r="AX70" s="75"/>
      <c r="AY70" s="621"/>
      <c r="AZ70" s="622"/>
      <c r="BA70" s="772" t="s">
        <v>258</v>
      </c>
      <c r="BB70" s="1789">
        <v>0</v>
      </c>
      <c r="BC70" s="1789">
        <v>107</v>
      </c>
      <c r="BD70" s="1789">
        <v>0</v>
      </c>
      <c r="BE70" s="1789">
        <v>0</v>
      </c>
      <c r="BF70" s="814">
        <v>107</v>
      </c>
      <c r="BJ70" s="621"/>
      <c r="BK70" s="622"/>
      <c r="BL70" s="772" t="s">
        <v>258</v>
      </c>
      <c r="BM70" s="1791">
        <v>0</v>
      </c>
      <c r="BN70" s="1791">
        <v>0</v>
      </c>
      <c r="BO70" s="1791">
        <v>0</v>
      </c>
      <c r="BP70" s="1791">
        <v>441</v>
      </c>
      <c r="BQ70" s="871">
        <v>441</v>
      </c>
      <c r="BT70" s="301"/>
      <c r="BU70" s="304"/>
      <c r="BV70" s="767" t="s">
        <v>258</v>
      </c>
      <c r="BW70" s="1789">
        <v>0</v>
      </c>
      <c r="BX70" s="1789">
        <v>0</v>
      </c>
      <c r="BY70" s="1789">
        <v>100</v>
      </c>
      <c r="BZ70" s="1789">
        <v>0</v>
      </c>
      <c r="CA70" s="814">
        <v>100</v>
      </c>
      <c r="CE70" s="301"/>
      <c r="CF70" s="304"/>
      <c r="CG70" s="767" t="s">
        <v>258</v>
      </c>
      <c r="CH70" s="1789">
        <v>0</v>
      </c>
      <c r="CI70" s="1789">
        <v>0</v>
      </c>
      <c r="CJ70" s="1789">
        <v>100</v>
      </c>
      <c r="CK70" s="1789">
        <v>0</v>
      </c>
      <c r="CL70" s="814">
        <v>100</v>
      </c>
      <c r="CP70" s="301"/>
      <c r="CQ70" s="304"/>
      <c r="CR70" s="767" t="s">
        <v>258</v>
      </c>
      <c r="CS70" s="1789" t="s">
        <v>18</v>
      </c>
      <c r="CT70" s="1789" t="s">
        <v>18</v>
      </c>
      <c r="CU70" s="1789" t="s">
        <v>18</v>
      </c>
      <c r="CV70" s="1789" t="s">
        <v>18</v>
      </c>
      <c r="CW70" s="814" t="s">
        <v>18</v>
      </c>
      <c r="CZ70" s="1401"/>
      <c r="DA70" s="1413"/>
      <c r="DB70" s="1402" t="s">
        <v>258</v>
      </c>
      <c r="DC70" s="1408" t="s">
        <v>18</v>
      </c>
      <c r="DD70" s="1408" t="s">
        <v>18</v>
      </c>
      <c r="DE70" s="1408" t="s">
        <v>18</v>
      </c>
      <c r="DF70" s="1408" t="s">
        <v>18</v>
      </c>
      <c r="DG70" s="1412" t="s">
        <v>18</v>
      </c>
      <c r="DJ70" s="1401"/>
      <c r="DK70" s="1413"/>
      <c r="DL70" s="1402" t="s">
        <v>258</v>
      </c>
    </row>
    <row r="71" spans="2:123" ht="14.4">
      <c r="B71" s="305" t="s">
        <v>35</v>
      </c>
      <c r="C71" s="305" t="s">
        <v>35</v>
      </c>
      <c r="D71" s="178" t="s">
        <v>255</v>
      </c>
      <c r="E71" s="171">
        <v>2641</v>
      </c>
      <c r="F71" s="163">
        <v>8845</v>
      </c>
      <c r="G71" s="163">
        <v>687</v>
      </c>
      <c r="H71" s="163">
        <v>1378</v>
      </c>
      <c r="I71" s="164">
        <v>9640</v>
      </c>
      <c r="L71" s="305" t="s">
        <v>35</v>
      </c>
      <c r="M71" s="305" t="s">
        <v>35</v>
      </c>
      <c r="N71" s="178" t="s">
        <v>255</v>
      </c>
      <c r="O71" s="171"/>
      <c r="P71" s="163"/>
      <c r="Q71" s="163"/>
      <c r="R71" s="163"/>
      <c r="S71" s="164"/>
      <c r="V71" s="305" t="s">
        <v>35</v>
      </c>
      <c r="W71" s="305" t="s">
        <v>35</v>
      </c>
      <c r="X71" s="178" t="s">
        <v>255</v>
      </c>
      <c r="Y71" s="1745">
        <v>1819</v>
      </c>
      <c r="Z71" s="1745">
        <v>6036</v>
      </c>
      <c r="AA71" s="1745">
        <v>1295</v>
      </c>
      <c r="AB71" s="1745">
        <v>1255</v>
      </c>
      <c r="AC71" s="1745">
        <v>10405</v>
      </c>
      <c r="AE71" s="460"/>
      <c r="AF71" s="305" t="s">
        <v>35</v>
      </c>
      <c r="AG71" s="305" t="s">
        <v>35</v>
      </c>
      <c r="AH71" s="494" t="s">
        <v>255</v>
      </c>
      <c r="AI71" s="1745"/>
      <c r="AJ71" s="1745"/>
      <c r="AK71" s="1745"/>
      <c r="AL71" s="1745"/>
      <c r="AM71" s="1745"/>
      <c r="AP71" s="305" t="s">
        <v>35</v>
      </c>
      <c r="AQ71" s="305" t="s">
        <v>35</v>
      </c>
      <c r="AR71" s="494" t="s">
        <v>255</v>
      </c>
      <c r="AS71">
        <v>3090</v>
      </c>
      <c r="AT71">
        <v>4582</v>
      </c>
      <c r="AU71">
        <v>470</v>
      </c>
      <c r="AV71">
        <v>1168</v>
      </c>
      <c r="AW71">
        <v>9310</v>
      </c>
      <c r="AY71" s="305" t="s">
        <v>35</v>
      </c>
      <c r="AZ71" s="305" t="s">
        <v>35</v>
      </c>
      <c r="BA71" s="494" t="s">
        <v>255</v>
      </c>
      <c r="BB71">
        <v>3331</v>
      </c>
      <c r="BC71">
        <v>4939</v>
      </c>
      <c r="BD71">
        <v>507</v>
      </c>
      <c r="BE71">
        <v>1259</v>
      </c>
      <c r="BF71">
        <v>10036</v>
      </c>
      <c r="BJ71" s="305" t="s">
        <v>35</v>
      </c>
      <c r="BK71" s="305" t="s">
        <v>35</v>
      </c>
      <c r="BL71" s="494" t="s">
        <v>255</v>
      </c>
      <c r="BM71"/>
      <c r="BN71"/>
      <c r="BO71"/>
      <c r="BP71"/>
      <c r="BQ71"/>
      <c r="BT71" s="305" t="s">
        <v>35</v>
      </c>
      <c r="BU71" s="305" t="s">
        <v>35</v>
      </c>
      <c r="BV71" s="494" t="s">
        <v>255</v>
      </c>
      <c r="BW71" s="1074" t="s">
        <v>18</v>
      </c>
      <c r="BX71" s="1074" t="s">
        <v>18</v>
      </c>
      <c r="BY71" s="1074" t="s">
        <v>18</v>
      </c>
      <c r="BZ71" s="1074" t="s">
        <v>18</v>
      </c>
      <c r="CA71"/>
      <c r="CE71" s="305" t="s">
        <v>35</v>
      </c>
      <c r="CF71" s="305" t="s">
        <v>35</v>
      </c>
      <c r="CG71" s="494" t="s">
        <v>255</v>
      </c>
      <c r="CH71" s="1074" t="s">
        <v>18</v>
      </c>
      <c r="CI71" s="1074" t="s">
        <v>18</v>
      </c>
      <c r="CJ71" s="1074" t="s">
        <v>18</v>
      </c>
      <c r="CK71" s="1074" t="s">
        <v>18</v>
      </c>
      <c r="CL71"/>
      <c r="CP71" s="305" t="s">
        <v>35</v>
      </c>
      <c r="CQ71" s="305" t="s">
        <v>35</v>
      </c>
      <c r="CR71" s="494" t="s">
        <v>255</v>
      </c>
      <c r="CS71" s="1241" t="s">
        <v>18</v>
      </c>
      <c r="CT71" s="1241" t="s">
        <v>18</v>
      </c>
      <c r="CU71" s="1241" t="s">
        <v>18</v>
      </c>
      <c r="CV71" s="1241" t="s">
        <v>18</v>
      </c>
      <c r="CW71" s="1134"/>
      <c r="CZ71" s="1414" t="s">
        <v>35</v>
      </c>
      <c r="DA71" s="1414" t="s">
        <v>35</v>
      </c>
      <c r="DB71" s="1415" t="s">
        <v>255</v>
      </c>
      <c r="DC71" s="1375" t="s">
        <v>18</v>
      </c>
      <c r="DD71" s="1375" t="s">
        <v>18</v>
      </c>
      <c r="DE71" s="1375" t="s">
        <v>18</v>
      </c>
      <c r="DF71" s="1375" t="s">
        <v>18</v>
      </c>
      <c r="DG71" s="1367"/>
      <c r="DJ71" s="1414" t="s">
        <v>35</v>
      </c>
      <c r="DK71" s="1414" t="s">
        <v>35</v>
      </c>
      <c r="DL71" s="1415" t="s">
        <v>255</v>
      </c>
    </row>
    <row r="72" spans="2:123">
      <c r="B72" s="306"/>
      <c r="C72" s="306"/>
      <c r="D72" s="773" t="s">
        <v>256</v>
      </c>
      <c r="E72" s="743">
        <v>161</v>
      </c>
      <c r="F72" s="1747">
        <v>330</v>
      </c>
      <c r="G72" s="1747">
        <v>103</v>
      </c>
      <c r="H72" s="1747">
        <v>153</v>
      </c>
      <c r="I72" s="925">
        <v>747</v>
      </c>
      <c r="K72" s="154">
        <f>+I72/I71*1000</f>
        <v>77.489626556016603</v>
      </c>
      <c r="L72" s="306"/>
      <c r="M72" s="306"/>
      <c r="N72" s="773" t="s">
        <v>256</v>
      </c>
      <c r="O72" s="743"/>
      <c r="P72" s="1747"/>
      <c r="Q72" s="1747"/>
      <c r="R72" s="1747"/>
      <c r="S72" s="925"/>
      <c r="V72" s="306"/>
      <c r="W72" s="306"/>
      <c r="X72" s="773" t="s">
        <v>256</v>
      </c>
      <c r="Y72" s="1745">
        <v>30</v>
      </c>
      <c r="Z72" s="1745">
        <v>70</v>
      </c>
      <c r="AA72" s="1745">
        <v>35</v>
      </c>
      <c r="AB72" s="1745">
        <v>20</v>
      </c>
      <c r="AC72" s="1745">
        <v>155</v>
      </c>
      <c r="AE72" s="461"/>
      <c r="AF72" s="306"/>
      <c r="AG72" s="306"/>
      <c r="AH72" s="774" t="s">
        <v>256</v>
      </c>
      <c r="AI72" s="1745"/>
      <c r="AJ72" s="1745"/>
      <c r="AK72" s="1745"/>
      <c r="AL72" s="1745"/>
      <c r="AM72" s="1745"/>
      <c r="AP72" s="306"/>
      <c r="AQ72" s="306"/>
      <c r="AR72" s="774" t="s">
        <v>256</v>
      </c>
      <c r="AS72">
        <v>136</v>
      </c>
      <c r="AT72">
        <v>230</v>
      </c>
      <c r="AU72">
        <v>103</v>
      </c>
      <c r="AV72">
        <v>75</v>
      </c>
      <c r="AW72">
        <v>544</v>
      </c>
      <c r="AY72" s="306"/>
      <c r="AZ72" s="306"/>
      <c r="BA72" s="774" t="s">
        <v>256</v>
      </c>
      <c r="BB72">
        <v>127</v>
      </c>
      <c r="BC72">
        <v>251</v>
      </c>
      <c r="BD72">
        <v>70</v>
      </c>
      <c r="BE72">
        <v>104</v>
      </c>
      <c r="BF72">
        <v>525</v>
      </c>
      <c r="BG72" s="713">
        <f>BF72/BF71*1000</f>
        <v>52.311677959346355</v>
      </c>
      <c r="BJ72" s="306"/>
      <c r="BK72" s="306"/>
      <c r="BL72" s="774" t="s">
        <v>256</v>
      </c>
      <c r="BM72"/>
      <c r="BN72"/>
      <c r="BO72"/>
      <c r="BP72"/>
      <c r="BQ72"/>
      <c r="BT72" s="306"/>
      <c r="BU72" s="306"/>
      <c r="BV72" s="774" t="s">
        <v>256</v>
      </c>
      <c r="BW72" t="s">
        <v>18</v>
      </c>
      <c r="BX72" t="s">
        <v>18</v>
      </c>
      <c r="BY72" t="s">
        <v>18</v>
      </c>
      <c r="BZ72" t="s">
        <v>18</v>
      </c>
      <c r="CA72"/>
      <c r="CE72" s="306"/>
      <c r="CF72" s="306"/>
      <c r="CG72" s="774" t="s">
        <v>256</v>
      </c>
      <c r="CH72" t="s">
        <v>18</v>
      </c>
      <c r="CI72" t="s">
        <v>18</v>
      </c>
      <c r="CJ72" t="s">
        <v>18</v>
      </c>
      <c r="CK72" t="s">
        <v>18</v>
      </c>
      <c r="CL72"/>
      <c r="CP72" s="306"/>
      <c r="CQ72" s="306"/>
      <c r="CR72" s="774" t="s">
        <v>256</v>
      </c>
      <c r="CS72" s="1134" t="s">
        <v>18</v>
      </c>
      <c r="CT72" s="1134" t="s">
        <v>18</v>
      </c>
      <c r="CU72" s="1134" t="s">
        <v>18</v>
      </c>
      <c r="CV72" s="1134" t="s">
        <v>18</v>
      </c>
      <c r="CW72" s="1134"/>
      <c r="CZ72" s="1416"/>
      <c r="DA72" s="1416"/>
      <c r="DB72" s="1417" t="s">
        <v>256</v>
      </c>
      <c r="DC72" s="1367" t="s">
        <v>18</v>
      </c>
      <c r="DD72" s="1367" t="s">
        <v>18</v>
      </c>
      <c r="DE72" s="1367" t="s">
        <v>18</v>
      </c>
      <c r="DF72" s="1367" t="s">
        <v>18</v>
      </c>
      <c r="DG72" s="1367"/>
      <c r="DJ72" s="1416"/>
      <c r="DK72" s="1416"/>
      <c r="DL72" s="1417" t="s">
        <v>256</v>
      </c>
    </row>
    <row r="73" spans="2:123" ht="14.4">
      <c r="B73" s="306"/>
      <c r="C73" s="306"/>
      <c r="D73" s="773" t="s">
        <v>257</v>
      </c>
      <c r="E73" s="743">
        <v>1982</v>
      </c>
      <c r="F73" s="1747">
        <v>5828</v>
      </c>
      <c r="G73" s="1747">
        <v>1872</v>
      </c>
      <c r="H73" s="1747">
        <v>2074</v>
      </c>
      <c r="I73" s="925">
        <v>11756</v>
      </c>
      <c r="L73" s="306"/>
      <c r="M73" s="306"/>
      <c r="N73" s="773" t="s">
        <v>257</v>
      </c>
      <c r="O73" s="743"/>
      <c r="P73" s="1747"/>
      <c r="Q73" s="1747"/>
      <c r="R73" s="1747"/>
      <c r="S73" s="925"/>
      <c r="V73" s="306"/>
      <c r="W73" s="306"/>
      <c r="X73" s="773" t="s">
        <v>257</v>
      </c>
      <c r="Y73" s="1745">
        <v>1464</v>
      </c>
      <c r="Z73" s="1745">
        <v>4768</v>
      </c>
      <c r="AA73" s="1745">
        <v>1247</v>
      </c>
      <c r="AB73" s="1745">
        <v>504</v>
      </c>
      <c r="AC73" s="1745">
        <v>7983</v>
      </c>
      <c r="AE73" s="461"/>
      <c r="AF73" s="306"/>
      <c r="AG73" s="306"/>
      <c r="AH73" s="774" t="s">
        <v>257</v>
      </c>
      <c r="AI73" s="1745"/>
      <c r="AJ73" s="1745"/>
      <c r="AK73" s="1745"/>
      <c r="AL73" s="1745"/>
      <c r="AM73" s="1745"/>
      <c r="AP73" s="306"/>
      <c r="AQ73" s="306"/>
      <c r="AR73" s="774" t="s">
        <v>257</v>
      </c>
      <c r="AS73">
        <v>2330</v>
      </c>
      <c r="AT73">
        <v>6657</v>
      </c>
      <c r="AU73">
        <v>2013</v>
      </c>
      <c r="AV73">
        <v>1389</v>
      </c>
      <c r="AW73">
        <v>12389</v>
      </c>
      <c r="AY73" s="306"/>
      <c r="AZ73" s="306"/>
      <c r="BA73" s="774" t="s">
        <v>257</v>
      </c>
      <c r="BB73">
        <v>1212</v>
      </c>
      <c r="BC73">
        <v>7660</v>
      </c>
      <c r="BD73">
        <v>1653</v>
      </c>
      <c r="BE73">
        <v>899</v>
      </c>
      <c r="BF73">
        <v>11424</v>
      </c>
      <c r="BJ73" s="306"/>
      <c r="BK73" s="306"/>
      <c r="BL73" s="774" t="s">
        <v>257</v>
      </c>
      <c r="BM73"/>
      <c r="BN73"/>
      <c r="BO73"/>
      <c r="BP73"/>
      <c r="BQ73"/>
      <c r="BT73" s="306"/>
      <c r="BU73" s="306"/>
      <c r="BV73" s="774" t="s">
        <v>257</v>
      </c>
      <c r="BW73" s="1075" t="s">
        <v>18</v>
      </c>
      <c r="BX73" s="1075" t="s">
        <v>18</v>
      </c>
      <c r="BY73" s="1075" t="s">
        <v>18</v>
      </c>
      <c r="BZ73" s="1075" t="s">
        <v>18</v>
      </c>
      <c r="CA73"/>
      <c r="CE73" s="306"/>
      <c r="CF73" s="306"/>
      <c r="CG73" s="774" t="s">
        <v>257</v>
      </c>
      <c r="CH73" s="1075" t="s">
        <v>18</v>
      </c>
      <c r="CI73" s="1075" t="s">
        <v>18</v>
      </c>
      <c r="CJ73" s="1075" t="s">
        <v>18</v>
      </c>
      <c r="CK73" s="1075" t="s">
        <v>18</v>
      </c>
      <c r="CL73"/>
      <c r="CP73" s="306"/>
      <c r="CQ73" s="306"/>
      <c r="CR73" s="774" t="s">
        <v>257</v>
      </c>
      <c r="CS73" s="1242" t="s">
        <v>18</v>
      </c>
      <c r="CT73" s="1242" t="s">
        <v>18</v>
      </c>
      <c r="CU73" s="1242" t="s">
        <v>18</v>
      </c>
      <c r="CV73" s="1242" t="s">
        <v>18</v>
      </c>
      <c r="CW73" s="1134"/>
      <c r="CZ73" s="1416"/>
      <c r="DA73" s="1416"/>
      <c r="DB73" s="1417" t="s">
        <v>257</v>
      </c>
      <c r="DC73" s="1376" t="s">
        <v>18</v>
      </c>
      <c r="DD73" s="1376" t="s">
        <v>18</v>
      </c>
      <c r="DE73" s="1376" t="s">
        <v>18</v>
      </c>
      <c r="DF73" s="1376" t="s">
        <v>18</v>
      </c>
      <c r="DG73" s="1367"/>
      <c r="DJ73" s="1416"/>
      <c r="DK73" s="1416"/>
      <c r="DL73" s="1417" t="s">
        <v>257</v>
      </c>
    </row>
    <row r="74" spans="2:123">
      <c r="B74" s="306"/>
      <c r="C74" s="306"/>
      <c r="D74" s="773" t="s">
        <v>258</v>
      </c>
      <c r="E74" s="743"/>
      <c r="F74" s="1747"/>
      <c r="G74" s="1747"/>
      <c r="H74" s="1747"/>
      <c r="I74" s="925"/>
      <c r="L74" s="306"/>
      <c r="M74" s="306"/>
      <c r="N74" s="773" t="s">
        <v>258</v>
      </c>
      <c r="O74" s="743"/>
      <c r="P74" s="1747"/>
      <c r="Q74" s="1747"/>
      <c r="R74" s="1747"/>
      <c r="S74" s="925"/>
      <c r="V74" s="306"/>
      <c r="W74" s="306"/>
      <c r="X74" s="773" t="s">
        <v>258</v>
      </c>
      <c r="Y74" s="1745"/>
      <c r="Z74" s="1745"/>
      <c r="AA74" s="1745"/>
      <c r="AB74" s="1745"/>
      <c r="AC74" s="1745"/>
      <c r="AE74" s="461"/>
      <c r="AF74" s="306"/>
      <c r="AG74" s="306"/>
      <c r="AH74" s="774" t="s">
        <v>258</v>
      </c>
      <c r="AI74" s="1745"/>
      <c r="AJ74" s="1745"/>
      <c r="AK74" s="1745"/>
      <c r="AL74" s="1745"/>
      <c r="AM74" s="1745"/>
      <c r="AP74" s="306"/>
      <c r="AQ74" s="306"/>
      <c r="AR74" s="774" t="s">
        <v>258</v>
      </c>
      <c r="AS74" s="1745"/>
      <c r="AT74" s="1745"/>
      <c r="AU74" s="1745"/>
      <c r="AV74" s="1745"/>
      <c r="AW74" s="1745"/>
      <c r="AY74" s="306"/>
      <c r="AZ74" s="306"/>
      <c r="BA74" s="774" t="s">
        <v>258</v>
      </c>
      <c r="BB74" s="1745"/>
      <c r="BC74" s="1745"/>
      <c r="BD74" s="1745"/>
      <c r="BE74" s="1745"/>
      <c r="BF74" s="1745"/>
      <c r="BJ74" s="306"/>
      <c r="BK74" s="306"/>
      <c r="BL74" s="774" t="s">
        <v>258</v>
      </c>
      <c r="BM74" s="1745"/>
      <c r="BN74" s="1745"/>
      <c r="BO74" s="1745"/>
      <c r="BP74" s="1745"/>
      <c r="BQ74" s="1745"/>
      <c r="BT74" s="306"/>
      <c r="BU74" s="306"/>
      <c r="BV74" s="774" t="s">
        <v>258</v>
      </c>
      <c r="BW74" s="1776"/>
      <c r="BX74" s="1776"/>
      <c r="BY74" s="1776"/>
      <c r="BZ74" s="1776"/>
      <c r="CA74" s="1776"/>
      <c r="CE74" s="306"/>
      <c r="CF74" s="306"/>
      <c r="CG74" s="774" t="s">
        <v>258</v>
      </c>
      <c r="CH74" s="1776"/>
      <c r="CI74" s="1776"/>
      <c r="CJ74" s="1776"/>
      <c r="CK74" s="1776"/>
      <c r="CL74" s="1776"/>
      <c r="CP74" s="306"/>
      <c r="CQ74" s="306"/>
      <c r="CR74" s="774" t="s">
        <v>258</v>
      </c>
      <c r="CS74" s="1776"/>
      <c r="CT74" s="1776"/>
      <c r="CU74" s="1776"/>
      <c r="CV74" s="1776"/>
      <c r="CW74" s="1776"/>
      <c r="CZ74" s="1416"/>
      <c r="DA74" s="1416"/>
      <c r="DB74" s="1417" t="s">
        <v>258</v>
      </c>
      <c r="DC74" s="1377"/>
      <c r="DD74" s="1377"/>
      <c r="DE74" s="1377"/>
      <c r="DF74" s="1377"/>
      <c r="DG74" s="1377"/>
      <c r="DJ74" s="1416"/>
      <c r="DK74" s="1416"/>
      <c r="DL74" s="1417" t="s">
        <v>258</v>
      </c>
    </row>
    <row r="75" spans="2:123" ht="15" thickBot="1">
      <c r="B75" s="307"/>
      <c r="C75" s="307"/>
      <c r="D75" s="775" t="s">
        <v>274</v>
      </c>
      <c r="E75" s="744">
        <v>0.6</v>
      </c>
      <c r="F75" s="745">
        <v>1.5</v>
      </c>
      <c r="G75" s="745">
        <v>0.3</v>
      </c>
      <c r="H75" s="745">
        <v>0.5</v>
      </c>
      <c r="I75" s="746">
        <v>2.9</v>
      </c>
      <c r="L75" s="307"/>
      <c r="M75" s="307"/>
      <c r="N75" s="775" t="s">
        <v>274</v>
      </c>
      <c r="O75" s="744"/>
      <c r="P75" s="745"/>
      <c r="Q75" s="745"/>
      <c r="R75" s="745"/>
      <c r="S75" s="746"/>
      <c r="V75" s="307"/>
      <c r="W75" s="307"/>
      <c r="X75" s="775" t="s">
        <v>274</v>
      </c>
      <c r="Y75" s="1745">
        <f>Y71/Y73*1000</f>
        <v>1242.4863387978141</v>
      </c>
      <c r="Z75" s="1745">
        <f>Z71/Z73*1000</f>
        <v>1265.9395973154362</v>
      </c>
      <c r="AA75" s="1745">
        <f>AA71/AA73*1000</f>
        <v>1038.4923817161186</v>
      </c>
      <c r="AB75" s="1745">
        <f>AB71/AB73*1000</f>
        <v>2490.0793650793653</v>
      </c>
      <c r="AC75" s="1745">
        <f>AC71/AC73*1000</f>
        <v>1303.3947137667544</v>
      </c>
      <c r="AE75" s="461"/>
      <c r="AF75" s="307"/>
      <c r="AG75" s="307"/>
      <c r="AH75" s="776" t="s">
        <v>274</v>
      </c>
      <c r="AI75" s="1745"/>
      <c r="AJ75" s="1745"/>
      <c r="AK75" s="1745"/>
      <c r="AL75" s="1745"/>
      <c r="AM75" s="1745"/>
      <c r="AP75" s="307"/>
      <c r="AQ75" s="307"/>
      <c r="AR75" s="776" t="s">
        <v>274</v>
      </c>
      <c r="AS75" s="614">
        <v>1.7</v>
      </c>
      <c r="AT75" s="365">
        <v>1.9</v>
      </c>
      <c r="AU75" s="365">
        <v>0.5</v>
      </c>
      <c r="AV75" s="365">
        <v>0.8</v>
      </c>
      <c r="AW75" s="614">
        <v>4.8999999999999995</v>
      </c>
      <c r="AY75" s="307"/>
      <c r="AZ75" s="307"/>
      <c r="BA75" s="776" t="s">
        <v>274</v>
      </c>
      <c r="BB75" s="614">
        <v>0.4</v>
      </c>
      <c r="BC75" s="365">
        <v>2</v>
      </c>
      <c r="BD75" s="365">
        <v>0.5</v>
      </c>
      <c r="BE75" s="365">
        <v>0.6</v>
      </c>
      <c r="BF75" s="614">
        <v>3.5</v>
      </c>
      <c r="BJ75" s="307"/>
      <c r="BK75" s="307"/>
      <c r="BL75" s="776" t="s">
        <v>274</v>
      </c>
      <c r="BM75" s="614"/>
      <c r="BN75" s="365"/>
      <c r="BO75" s="365"/>
      <c r="BP75" s="365"/>
      <c r="BQ75" s="614"/>
      <c r="BT75" s="307"/>
      <c r="BU75" s="307"/>
      <c r="BV75" s="776" t="s">
        <v>274</v>
      </c>
      <c r="BW75" s="1075" t="s">
        <v>18</v>
      </c>
      <c r="BX75" s="1075" t="s">
        <v>18</v>
      </c>
      <c r="BY75" s="1075" t="s">
        <v>18</v>
      </c>
      <c r="BZ75" s="1075" t="s">
        <v>18</v>
      </c>
      <c r="CA75" s="614"/>
      <c r="CE75" s="307"/>
      <c r="CF75" s="307"/>
      <c r="CG75" s="776" t="s">
        <v>274</v>
      </c>
      <c r="CH75" s="1075" t="s">
        <v>18</v>
      </c>
      <c r="CI75" s="1075" t="s">
        <v>18</v>
      </c>
      <c r="CJ75" s="1075" t="s">
        <v>18</v>
      </c>
      <c r="CK75" s="1075" t="s">
        <v>18</v>
      </c>
      <c r="CL75" s="614"/>
      <c r="CP75" s="307"/>
      <c r="CQ75" s="307"/>
      <c r="CR75" s="776" t="s">
        <v>274</v>
      </c>
      <c r="CS75" s="1075" t="s">
        <v>18</v>
      </c>
      <c r="CT75" s="1075" t="s">
        <v>18</v>
      </c>
      <c r="CU75" s="1075" t="s">
        <v>18</v>
      </c>
      <c r="CV75" s="1075" t="s">
        <v>18</v>
      </c>
      <c r="CW75" s="614"/>
      <c r="CZ75" s="1418"/>
      <c r="DA75" s="1418"/>
      <c r="DB75" s="1419" t="s">
        <v>274</v>
      </c>
      <c r="DC75" s="1376" t="s">
        <v>18</v>
      </c>
      <c r="DD75" s="1376" t="s">
        <v>18</v>
      </c>
      <c r="DE75" s="1376" t="s">
        <v>18</v>
      </c>
      <c r="DF75" s="1376" t="s">
        <v>18</v>
      </c>
      <c r="DG75" s="1420"/>
      <c r="DJ75" s="1418"/>
      <c r="DK75" s="1418"/>
      <c r="DL75" s="1419" t="s">
        <v>274</v>
      </c>
    </row>
    <row r="76" spans="2:123">
      <c r="AE76" s="461"/>
      <c r="AF76" s="1"/>
      <c r="AG76" s="1"/>
      <c r="AH76" s="1"/>
      <c r="AI76" s="1"/>
      <c r="AJ76" s="1"/>
      <c r="AK76" s="1"/>
      <c r="CZ76" s="78"/>
      <c r="DA76" s="78"/>
      <c r="DB76" s="78"/>
      <c r="DC76" s="78"/>
      <c r="DD76" s="78"/>
      <c r="DE76" s="78"/>
      <c r="DF76" s="78"/>
      <c r="DG76" s="78"/>
    </row>
    <row r="77" spans="2:123">
      <c r="AE77" s="461"/>
      <c r="AF77" s="1"/>
      <c r="AG77" s="1"/>
      <c r="AH77" s="1"/>
      <c r="AI77" s="1"/>
      <c r="AJ77" s="1"/>
      <c r="AK77" s="1"/>
      <c r="CZ77" s="78"/>
      <c r="DA77" s="78"/>
      <c r="DB77" s="78"/>
      <c r="DC77" s="78"/>
      <c r="DD77" s="78"/>
      <c r="DE77" s="78"/>
      <c r="DF77" s="78"/>
      <c r="DG77" s="78"/>
    </row>
    <row r="78" spans="2:123" ht="14.4" thickBot="1">
      <c r="V78" s="229" t="s">
        <v>284</v>
      </c>
      <c r="W78" s="229"/>
      <c r="X78" s="229"/>
      <c r="Y78" s="229"/>
      <c r="Z78" s="229"/>
      <c r="AA78" s="229"/>
      <c r="AB78" s="229"/>
      <c r="AC78" s="229"/>
      <c r="AD78" s="229"/>
      <c r="AF78" s="229" t="s">
        <v>284</v>
      </c>
      <c r="AG78" s="229"/>
      <c r="AH78" s="229"/>
      <c r="AI78" s="229"/>
      <c r="AJ78" s="229"/>
      <c r="AK78" s="229"/>
      <c r="AL78" s="229"/>
      <c r="AM78" s="229"/>
      <c r="AN78" s="229"/>
      <c r="AP78" s="229" t="s">
        <v>284</v>
      </c>
      <c r="AQ78" s="229"/>
      <c r="AR78" s="229"/>
      <c r="AS78" s="229"/>
      <c r="AT78" s="229"/>
      <c r="AU78" s="229"/>
      <c r="AV78" s="229"/>
      <c r="AW78" s="229"/>
      <c r="BE78" s="229" t="s">
        <v>284</v>
      </c>
      <c r="BF78" s="229"/>
      <c r="BG78" s="229"/>
      <c r="BH78" s="229"/>
      <c r="BI78" s="229"/>
      <c r="BJ78" s="229"/>
      <c r="BK78" s="229"/>
      <c r="BL78" s="229"/>
      <c r="CZ78" s="78"/>
      <c r="DA78" s="78"/>
      <c r="DB78" s="78"/>
      <c r="DC78" s="78"/>
      <c r="DD78" s="78"/>
      <c r="DE78" s="78"/>
      <c r="DF78" s="78"/>
      <c r="DG78" s="78"/>
    </row>
    <row r="79" spans="2:123" s="229" customFormat="1" ht="13.8" thickTop="1">
      <c r="V79" s="471" t="s">
        <v>4</v>
      </c>
      <c r="W79" s="472" t="s">
        <v>5</v>
      </c>
      <c r="X79" s="473"/>
      <c r="Y79" s="472" t="s">
        <v>250</v>
      </c>
      <c r="Z79" s="472" t="s">
        <v>251</v>
      </c>
      <c r="AA79" s="472" t="s">
        <v>252</v>
      </c>
      <c r="AB79" s="472" t="s">
        <v>253</v>
      </c>
      <c r="AC79" s="474">
        <v>2013</v>
      </c>
      <c r="AE79" s="463"/>
      <c r="AF79" s="471" t="s">
        <v>4</v>
      </c>
      <c r="AG79" s="472" t="s">
        <v>5</v>
      </c>
      <c r="AH79" s="473"/>
      <c r="AI79" s="472" t="s">
        <v>250</v>
      </c>
      <c r="AJ79" s="472" t="s">
        <v>251</v>
      </c>
      <c r="AK79" s="472" t="s">
        <v>252</v>
      </c>
      <c r="AL79" s="472" t="s">
        <v>253</v>
      </c>
      <c r="AM79" s="474">
        <v>2013</v>
      </c>
      <c r="AP79" s="471" t="s">
        <v>4</v>
      </c>
      <c r="AQ79" s="472" t="s">
        <v>5</v>
      </c>
      <c r="AR79" s="473"/>
      <c r="AS79" s="2068" t="s">
        <v>250</v>
      </c>
      <c r="AT79" s="2068"/>
      <c r="AU79" s="2068" t="s">
        <v>251</v>
      </c>
      <c r="AV79" s="2068"/>
      <c r="AW79" s="2068" t="s">
        <v>252</v>
      </c>
      <c r="AX79" s="2068"/>
      <c r="AY79" s="2068" t="s">
        <v>253</v>
      </c>
      <c r="AZ79" s="2068"/>
      <c r="BA79" s="2068" t="s">
        <v>285</v>
      </c>
      <c r="BB79" s="2068"/>
      <c r="BE79" s="471" t="s">
        <v>4</v>
      </c>
      <c r="BF79" s="472" t="s">
        <v>5</v>
      </c>
      <c r="BG79" s="473"/>
      <c r="BH79" s="2068" t="s">
        <v>250</v>
      </c>
      <c r="BI79" s="2068"/>
      <c r="BJ79" s="2068" t="s">
        <v>251</v>
      </c>
      <c r="BK79" s="2068"/>
      <c r="BL79" s="2068" t="s">
        <v>252</v>
      </c>
      <c r="BM79" s="2068"/>
      <c r="BN79" s="2068" t="s">
        <v>253</v>
      </c>
      <c r="BO79" s="2068"/>
      <c r="BP79" s="2068" t="s">
        <v>286</v>
      </c>
      <c r="BQ79" s="2068"/>
      <c r="BT79" s="873" t="s">
        <v>4</v>
      </c>
      <c r="BU79" s="874" t="s">
        <v>5</v>
      </c>
      <c r="BV79" s="877" t="s">
        <v>250</v>
      </c>
      <c r="BW79" s="877" t="s">
        <v>251</v>
      </c>
      <c r="BX79" s="877" t="s">
        <v>252</v>
      </c>
      <c r="BY79" s="877" t="s">
        <v>253</v>
      </c>
      <c r="BZ79" s="888">
        <v>2021</v>
      </c>
      <c r="CA79"/>
      <c r="CB79"/>
      <c r="CC79" s="130"/>
      <c r="CE79" s="873" t="s">
        <v>4</v>
      </c>
      <c r="CF79" s="874" t="s">
        <v>5</v>
      </c>
      <c r="CG79" s="877" t="s">
        <v>250</v>
      </c>
      <c r="CH79" s="877" t="s">
        <v>251</v>
      </c>
      <c r="CI79" s="877" t="s">
        <v>252</v>
      </c>
      <c r="CJ79" s="877" t="s">
        <v>253</v>
      </c>
      <c r="CK79" s="888">
        <v>2022</v>
      </c>
      <c r="CL79"/>
      <c r="CN79" s="1132"/>
      <c r="CP79" s="1434" t="s">
        <v>4</v>
      </c>
      <c r="CQ79" s="1435" t="s">
        <v>5</v>
      </c>
      <c r="CR79" s="1436" t="s">
        <v>250</v>
      </c>
      <c r="CS79" s="1436" t="s">
        <v>251</v>
      </c>
      <c r="CT79" s="1436" t="s">
        <v>252</v>
      </c>
      <c r="CU79" s="1436" t="s">
        <v>253</v>
      </c>
      <c r="CV79" s="888">
        <v>2023</v>
      </c>
      <c r="CW79" s="73"/>
      <c r="CY79" s="1132"/>
      <c r="CZ79" s="1421" t="s">
        <v>4</v>
      </c>
      <c r="DA79" s="1421" t="s">
        <v>5</v>
      </c>
      <c r="DB79" s="1422" t="s">
        <v>250</v>
      </c>
      <c r="DC79" s="1422" t="s">
        <v>251</v>
      </c>
      <c r="DD79" s="1422" t="s">
        <v>252</v>
      </c>
      <c r="DE79" s="1422" t="s">
        <v>253</v>
      </c>
      <c r="DF79" s="1423">
        <v>2024</v>
      </c>
      <c r="DG79" s="1424"/>
      <c r="DI79" s="1132"/>
      <c r="DJ79" s="1421" t="s">
        <v>4</v>
      </c>
      <c r="DK79" s="1421" t="s">
        <v>5</v>
      </c>
      <c r="DL79" s="1422" t="s">
        <v>250</v>
      </c>
      <c r="DM79" s="1422" t="s">
        <v>251</v>
      </c>
      <c r="DN79" s="1422" t="s">
        <v>252</v>
      </c>
      <c r="DO79" s="1422" t="s">
        <v>253</v>
      </c>
      <c r="DP79" s="1423">
        <v>2025</v>
      </c>
      <c r="DQ79" s="1424"/>
    </row>
    <row r="80" spans="2:123" s="229" customFormat="1" ht="33.75" customHeight="1">
      <c r="V80" s="475" t="s">
        <v>287</v>
      </c>
      <c r="W80" s="1793" t="s">
        <v>37</v>
      </c>
      <c r="X80" s="1119" t="s">
        <v>288</v>
      </c>
      <c r="Y80" s="1794">
        <v>189</v>
      </c>
      <c r="Z80" s="1794">
        <v>112</v>
      </c>
      <c r="AA80" s="1794">
        <v>92</v>
      </c>
      <c r="AB80" s="1794">
        <v>163</v>
      </c>
      <c r="AC80" s="943">
        <v>556</v>
      </c>
      <c r="AE80" s="463"/>
      <c r="AF80" s="475" t="s">
        <v>287</v>
      </c>
      <c r="AG80" s="1793" t="s">
        <v>37</v>
      </c>
      <c r="AH80" s="1119" t="s">
        <v>288</v>
      </c>
      <c r="AI80" s="1794">
        <v>189</v>
      </c>
      <c r="AJ80" s="1794">
        <v>112</v>
      </c>
      <c r="AK80" s="1794">
        <v>92</v>
      </c>
      <c r="AL80" s="1794">
        <v>163</v>
      </c>
      <c r="AM80" s="943">
        <v>556</v>
      </c>
      <c r="AO80" s="154"/>
      <c r="AP80" s="475" t="s">
        <v>287</v>
      </c>
      <c r="AQ80" s="1793" t="s">
        <v>37</v>
      </c>
      <c r="AR80" s="1119" t="s">
        <v>288</v>
      </c>
      <c r="AS80" s="2068">
        <v>192.8</v>
      </c>
      <c r="AT80" s="2068"/>
      <c r="AU80" s="2068">
        <v>54.5</v>
      </c>
      <c r="AV80" s="2068"/>
      <c r="AW80" s="2068">
        <v>44.2</v>
      </c>
      <c r="AX80" s="2068"/>
      <c r="AY80" s="2068">
        <v>116.7</v>
      </c>
      <c r="AZ80" s="2068"/>
      <c r="BA80" s="2068">
        <v>408.3</v>
      </c>
      <c r="BB80" s="2068"/>
      <c r="BE80" s="475" t="s">
        <v>287</v>
      </c>
      <c r="BF80" s="1793" t="s">
        <v>37</v>
      </c>
      <c r="BG80" s="1119" t="s">
        <v>288</v>
      </c>
      <c r="BI80" s="688">
        <v>130.80000000000001</v>
      </c>
      <c r="BJ80" s="2078">
        <v>92.5</v>
      </c>
      <c r="BK80" s="2079"/>
      <c r="BL80" s="2076">
        <v>86.4</v>
      </c>
      <c r="BM80" s="2077"/>
      <c r="BN80" s="2078">
        <v>184.8</v>
      </c>
      <c r="BO80" s="2079"/>
      <c r="BP80" s="2078">
        <v>494.5</v>
      </c>
      <c r="BQ80" s="2080"/>
      <c r="BT80" s="2081" t="s">
        <v>287</v>
      </c>
      <c r="BU80" s="1795" t="s">
        <v>37</v>
      </c>
      <c r="BV80" s="889">
        <v>117.6</v>
      </c>
      <c r="BW80" s="889">
        <v>113.6</v>
      </c>
      <c r="BX80" s="889">
        <v>20.9</v>
      </c>
      <c r="BY80" s="889">
        <v>22.6</v>
      </c>
      <c r="BZ80" s="889">
        <v>274.7</v>
      </c>
      <c r="CA80" s="1796" t="s">
        <v>289</v>
      </c>
      <c r="CB80"/>
      <c r="CC80" s="130"/>
      <c r="CE80" s="2081" t="s">
        <v>287</v>
      </c>
      <c r="CF80" s="1795" t="s">
        <v>37</v>
      </c>
      <c r="CG80" s="889">
        <v>36.681370000000001</v>
      </c>
      <c r="CH80" s="889">
        <v>37.085000000000001</v>
      </c>
      <c r="CI80" s="889">
        <v>24.367000000000001</v>
      </c>
      <c r="CJ80" s="889">
        <v>132.75749999999999</v>
      </c>
      <c r="CK80" s="889">
        <f>SUM(CG80:CJ80)</f>
        <v>230.89087000000001</v>
      </c>
      <c r="CL80" s="1796" t="s">
        <v>289</v>
      </c>
      <c r="CN80" s="1132"/>
      <c r="CP80" s="2093" t="s">
        <v>287</v>
      </c>
      <c r="CQ80" s="1440" t="s">
        <v>37</v>
      </c>
      <c r="CR80" s="1437">
        <v>36.681370000000001</v>
      </c>
      <c r="CS80" s="1437">
        <v>37.085000000000001</v>
      </c>
      <c r="CT80" s="1437">
        <v>24.367000000000001</v>
      </c>
      <c r="CU80" s="1437">
        <v>132.75749999999999</v>
      </c>
      <c r="CV80" s="1437">
        <f>SUM(CR80:CU80)</f>
        <v>230.89087000000001</v>
      </c>
      <c r="CW80" s="1441" t="s">
        <v>289</v>
      </c>
      <c r="CY80" s="1132"/>
      <c r="CZ80" s="2033" t="s">
        <v>287</v>
      </c>
      <c r="DA80" s="1421" t="s">
        <v>37</v>
      </c>
      <c r="DB80" s="1237">
        <v>22.10324</v>
      </c>
      <c r="DC80" s="1237">
        <v>6.4929999999999994</v>
      </c>
      <c r="DD80" s="1237">
        <v>1.9763600000000001</v>
      </c>
      <c r="DE80" s="1237">
        <v>10.013699999999996</v>
      </c>
      <c r="DF80" s="1425">
        <f>SUM(DB80:DE80)</f>
        <v>40.586299999999994</v>
      </c>
      <c r="DG80" s="1426" t="s">
        <v>289</v>
      </c>
      <c r="DI80" s="1132"/>
      <c r="DJ80" s="2033" t="s">
        <v>287</v>
      </c>
      <c r="DK80" s="1421" t="s">
        <v>37</v>
      </c>
      <c r="DL80" s="1941">
        <v>3.5662999999999996</v>
      </c>
      <c r="DM80" s="1941">
        <v>3.7235100000000005</v>
      </c>
      <c r="DN80" s="1941">
        <v>5.8852000000000002</v>
      </c>
      <c r="DO80" s="1941">
        <v>8.5067699999999995</v>
      </c>
      <c r="DP80" s="1941">
        <f>SUM(DL80:DO80)</f>
        <v>21.68178</v>
      </c>
      <c r="DQ80" s="1426" t="s">
        <v>289</v>
      </c>
    </row>
    <row r="81" spans="2:122" ht="15.6">
      <c r="B81" s="422"/>
      <c r="C81" s="422"/>
      <c r="D81" s="371"/>
      <c r="E81" s="371"/>
      <c r="F81" s="371"/>
      <c r="G81" s="371"/>
      <c r="H81" s="371"/>
      <c r="I81" s="371"/>
      <c r="J81" s="371"/>
      <c r="K81" s="371"/>
      <c r="L81" s="2060"/>
      <c r="M81" s="2060"/>
      <c r="N81" s="372"/>
      <c r="V81" s="476"/>
      <c r="W81" s="1797"/>
      <c r="X81" s="1798" t="s">
        <v>256</v>
      </c>
      <c r="Y81" s="1799">
        <v>20</v>
      </c>
      <c r="Z81" s="1799">
        <v>22</v>
      </c>
      <c r="AA81" s="1799">
        <v>19</v>
      </c>
      <c r="AB81" s="1799">
        <v>30</v>
      </c>
      <c r="AC81" s="944">
        <f>SUM(Y81:AB81)</f>
        <v>91</v>
      </c>
      <c r="AD81" s="4">
        <f>AC81/AC80*1000</f>
        <v>163.66906474820144</v>
      </c>
      <c r="AF81" s="476"/>
      <c r="AG81" s="1797"/>
      <c r="AH81" s="1798" t="s">
        <v>256</v>
      </c>
      <c r="AI81" s="1799">
        <v>20</v>
      </c>
      <c r="AJ81" s="1799">
        <v>22</v>
      </c>
      <c r="AK81" s="1799">
        <v>19</v>
      </c>
      <c r="AL81" s="1799">
        <v>30</v>
      </c>
      <c r="AM81" s="944">
        <f>SUM(AI81:AL81)</f>
        <v>91</v>
      </c>
      <c r="AN81" s="4">
        <f>AM81/AM80*1000</f>
        <v>163.66906474820144</v>
      </c>
      <c r="AO81" s="154"/>
      <c r="AP81" s="476"/>
      <c r="AQ81" s="1797"/>
      <c r="AR81" s="1798" t="s">
        <v>290</v>
      </c>
      <c r="AS81" s="1799">
        <v>3</v>
      </c>
      <c r="AT81" s="1119">
        <v>16</v>
      </c>
      <c r="AU81" s="1799">
        <v>2</v>
      </c>
      <c r="AV81" s="1119">
        <v>7</v>
      </c>
      <c r="AW81" s="1799">
        <v>3</v>
      </c>
      <c r="AX81" s="1119">
        <v>5</v>
      </c>
      <c r="AY81" s="1799">
        <v>3</v>
      </c>
      <c r="AZ81" s="1119">
        <v>8</v>
      </c>
      <c r="BA81" s="1119">
        <v>11</v>
      </c>
      <c r="BB81" s="1799">
        <v>36</v>
      </c>
      <c r="BC81" s="92">
        <f>(BB81/BA80)*1000</f>
        <v>88.170462894930196</v>
      </c>
      <c r="BE81" s="476"/>
      <c r="BF81" s="1797"/>
      <c r="BG81" s="1798" t="s">
        <v>290</v>
      </c>
      <c r="BH81" s="1799"/>
      <c r="BI81" s="1119"/>
      <c r="BJ81" s="1799"/>
      <c r="BK81" s="1119"/>
      <c r="BL81" s="1799"/>
      <c r="BN81" s="1799"/>
      <c r="BO81" s="1119"/>
      <c r="BP81" s="1119"/>
      <c r="BQ81" s="1799">
        <v>56</v>
      </c>
      <c r="BR81" s="92">
        <f>BQ81/BP80*1000</f>
        <v>113.24570273003033</v>
      </c>
      <c r="BT81" s="2082"/>
      <c r="BU81" s="1795"/>
      <c r="BV81" s="1800">
        <v>22</v>
      </c>
      <c r="BW81" s="1800">
        <v>29</v>
      </c>
      <c r="BX81" s="1800">
        <v>16</v>
      </c>
      <c r="BY81" s="1800">
        <v>11</v>
      </c>
      <c r="BZ81" s="875">
        <v>78</v>
      </c>
      <c r="CA81" s="1796" t="s">
        <v>291</v>
      </c>
      <c r="CB81" s="2">
        <f>BZ81/BZ80*1000</f>
        <v>283.94612304332003</v>
      </c>
      <c r="CC81" s="130"/>
      <c r="CE81" s="2082"/>
      <c r="CF81" s="1795"/>
      <c r="CG81" s="1800">
        <v>6</v>
      </c>
      <c r="CH81" s="1800">
        <v>14</v>
      </c>
      <c r="CI81" s="1800">
        <v>8</v>
      </c>
      <c r="CJ81" s="1800">
        <v>24</v>
      </c>
      <c r="CK81" s="1240">
        <f>SUM(CG81:CJ81)</f>
        <v>52</v>
      </c>
      <c r="CL81" s="1796" t="s">
        <v>291</v>
      </c>
      <c r="CM81" s="2">
        <f>CK81/CK80*1000</f>
        <v>225.21462195538524</v>
      </c>
      <c r="CP81" s="2094"/>
      <c r="CQ81" s="1440"/>
      <c r="CR81" s="1442">
        <v>6</v>
      </c>
      <c r="CS81" s="1442">
        <v>14</v>
      </c>
      <c r="CT81" s="1442">
        <v>8</v>
      </c>
      <c r="CU81" s="1442">
        <v>24</v>
      </c>
      <c r="CV81" s="1438">
        <f>SUM(CR81:CU81)</f>
        <v>52</v>
      </c>
      <c r="CW81" s="1441" t="s">
        <v>291</v>
      </c>
      <c r="CX81" s="2">
        <f>CV81/CV80*1000</f>
        <v>225.21462195538524</v>
      </c>
      <c r="CZ81" s="2034"/>
      <c r="DA81" s="1421"/>
      <c r="DB81" s="1238">
        <v>10</v>
      </c>
      <c r="DC81" s="1238">
        <v>8</v>
      </c>
      <c r="DD81" s="1238">
        <v>3</v>
      </c>
      <c r="DE81" s="1238">
        <v>2</v>
      </c>
      <c r="DF81" s="1422">
        <f>SUM(DB81:DE81)</f>
        <v>23</v>
      </c>
      <c r="DG81" s="1426" t="s">
        <v>291</v>
      </c>
      <c r="DH81" s="2">
        <f>DF81/DF80*1000</f>
        <v>566.69368727871233</v>
      </c>
      <c r="DJ81" s="2034"/>
      <c r="DK81" s="1421"/>
      <c r="DL81" s="1940">
        <v>9</v>
      </c>
      <c r="DM81" s="1940">
        <v>3</v>
      </c>
      <c r="DN81" s="1940">
        <v>7</v>
      </c>
      <c r="DO81" s="1940">
        <v>8</v>
      </c>
      <c r="DP81" s="1942">
        <f t="shared" ref="DP81:DP82" si="20">SUM(DL81:DO81)</f>
        <v>27</v>
      </c>
      <c r="DQ81" s="1426" t="s">
        <v>291</v>
      </c>
      <c r="DR81" s="2">
        <f>DP81/DP80*1000</f>
        <v>1245.2852118230144</v>
      </c>
    </row>
    <row r="82" spans="2:122" ht="40.200000000000003">
      <c r="B82" s="423"/>
      <c r="C82" s="424"/>
      <c r="D82" s="371"/>
      <c r="E82" s="371"/>
      <c r="F82" s="371"/>
      <c r="G82" s="371"/>
      <c r="H82" s="371"/>
      <c r="I82" s="371"/>
      <c r="J82" s="371"/>
      <c r="K82" s="371"/>
      <c r="L82" s="2061"/>
      <c r="M82" s="2061"/>
      <c r="N82" s="137"/>
      <c r="V82" s="476"/>
      <c r="W82" s="1797"/>
      <c r="X82" s="1801" t="s">
        <v>257</v>
      </c>
      <c r="Y82" s="1799">
        <f>671+1918</f>
        <v>2589</v>
      </c>
      <c r="Z82" s="1799">
        <f>600+2116</f>
        <v>2716</v>
      </c>
      <c r="AA82" s="1799">
        <f>915+1800</f>
        <v>2715</v>
      </c>
      <c r="AB82" s="1799">
        <f>797+3001</f>
        <v>3798</v>
      </c>
      <c r="AC82" s="944">
        <f>SUM(Y82:AB82)</f>
        <v>11818</v>
      </c>
      <c r="AD82" s="4"/>
      <c r="AF82" s="476"/>
      <c r="AG82" s="1797"/>
      <c r="AH82" s="1801" t="s">
        <v>257</v>
      </c>
      <c r="AI82" s="1799">
        <f>671+1918</f>
        <v>2589</v>
      </c>
      <c r="AJ82" s="1799">
        <f>600+2116</f>
        <v>2716</v>
      </c>
      <c r="AK82" s="1799">
        <f>915+1800</f>
        <v>2715</v>
      </c>
      <c r="AL82" s="1799">
        <f>797+3001</f>
        <v>3798</v>
      </c>
      <c r="AM82" s="944">
        <f>SUM(AI82:AL82)</f>
        <v>11818</v>
      </c>
      <c r="AN82" s="4"/>
      <c r="AO82" s="154"/>
      <c r="AP82" s="476"/>
      <c r="AQ82" s="1797"/>
      <c r="AR82" s="1801" t="s">
        <v>292</v>
      </c>
      <c r="AS82" s="1799">
        <v>534</v>
      </c>
      <c r="AT82" s="1119">
        <v>2316</v>
      </c>
      <c r="AU82" s="1799">
        <v>368</v>
      </c>
      <c r="AV82" s="1119">
        <v>902</v>
      </c>
      <c r="AW82" s="1799">
        <v>617</v>
      </c>
      <c r="AX82" s="1119">
        <v>782</v>
      </c>
      <c r="AY82" s="1799">
        <v>497</v>
      </c>
      <c r="AZ82" s="1119">
        <v>1663</v>
      </c>
      <c r="BA82" s="1119">
        <v>2016</v>
      </c>
      <c r="BB82" s="1799">
        <v>5663</v>
      </c>
      <c r="BE82" s="476"/>
      <c r="BF82" s="1797"/>
      <c r="BG82" s="1801" t="s">
        <v>292</v>
      </c>
      <c r="BH82" s="148">
        <v>99.500788716485204</v>
      </c>
      <c r="BI82" s="1799"/>
      <c r="BJ82" s="148">
        <v>112.684543309962</v>
      </c>
      <c r="BK82" s="1799"/>
      <c r="BL82" s="148">
        <v>78.655518793188193</v>
      </c>
      <c r="BM82" s="1799"/>
      <c r="BN82" s="148">
        <v>171.21878877289001</v>
      </c>
      <c r="BP82" s="1799">
        <v>462.0596395925254</v>
      </c>
      <c r="BT82" s="2082"/>
      <c r="BU82" s="1795"/>
      <c r="BV82" s="1800">
        <v>4930</v>
      </c>
      <c r="BW82" s="1800">
        <v>5022</v>
      </c>
      <c r="BX82" s="1800">
        <v>2306</v>
      </c>
      <c r="BY82" s="1800">
        <v>1233</v>
      </c>
      <c r="BZ82" s="875">
        <v>13491</v>
      </c>
      <c r="CA82" s="1796" t="s">
        <v>292</v>
      </c>
      <c r="CB82"/>
      <c r="CC82" s="130"/>
      <c r="CE82" s="2082"/>
      <c r="CF82" s="1795"/>
      <c r="CG82" s="1800">
        <v>1904</v>
      </c>
      <c r="CH82" s="1800">
        <v>2573</v>
      </c>
      <c r="CI82" s="1800">
        <v>1277</v>
      </c>
      <c r="CJ82" s="1800">
        <v>7884</v>
      </c>
      <c r="CK82" s="1240">
        <f>SUM(CG82:CJ82)</f>
        <v>13638</v>
      </c>
      <c r="CL82" s="1796" t="s">
        <v>292</v>
      </c>
      <c r="CP82" s="2094"/>
      <c r="CQ82" s="1440"/>
      <c r="CR82" s="1442">
        <v>1904</v>
      </c>
      <c r="CS82" s="1442">
        <v>2573</v>
      </c>
      <c r="CT82" s="1442">
        <v>1277</v>
      </c>
      <c r="CU82" s="1442">
        <v>7884</v>
      </c>
      <c r="CV82" s="1438">
        <f>SUM(CR82:CU82)</f>
        <v>13638</v>
      </c>
      <c r="CW82" s="1441" t="s">
        <v>292</v>
      </c>
      <c r="CZ82" s="2034"/>
      <c r="DA82" s="1421"/>
      <c r="DB82" s="1238">
        <v>1263</v>
      </c>
      <c r="DC82" s="1238">
        <v>719</v>
      </c>
      <c r="DD82" s="1238">
        <v>213</v>
      </c>
      <c r="DE82" s="1238">
        <v>287</v>
      </c>
      <c r="DF82" s="1422">
        <f>SUM(DB82:DE82)</f>
        <v>2482</v>
      </c>
      <c r="DG82" s="1426" t="s">
        <v>292</v>
      </c>
      <c r="DJ82" s="2034"/>
      <c r="DK82" s="1421"/>
      <c r="DL82" s="1943">
        <v>818</v>
      </c>
      <c r="DM82" s="1943">
        <v>286</v>
      </c>
      <c r="DN82" s="1943">
        <v>693</v>
      </c>
      <c r="DO82" s="1943">
        <v>938</v>
      </c>
      <c r="DP82" s="1942">
        <f t="shared" si="20"/>
        <v>2735</v>
      </c>
    </row>
    <row r="83" spans="2:122" ht="13.8" thickBot="1">
      <c r="B83" s="423"/>
      <c r="C83" s="424"/>
      <c r="D83" s="371"/>
      <c r="E83" s="371"/>
      <c r="F83" s="371"/>
      <c r="G83" s="371"/>
      <c r="H83" s="371"/>
      <c r="I83" s="371"/>
      <c r="J83" s="371"/>
      <c r="K83" s="371"/>
      <c r="L83" s="371"/>
      <c r="M83" s="371"/>
      <c r="N83" s="421"/>
      <c r="V83" s="477"/>
      <c r="W83" s="777"/>
      <c r="X83" s="778" t="s">
        <v>258</v>
      </c>
      <c r="Y83" s="779" t="s">
        <v>293</v>
      </c>
      <c r="Z83" s="779" t="s">
        <v>293</v>
      </c>
      <c r="AA83" s="779" t="s">
        <v>293</v>
      </c>
      <c r="AB83" s="779" t="s">
        <v>293</v>
      </c>
      <c r="AC83" s="780" t="s">
        <v>293</v>
      </c>
      <c r="AD83" s="4"/>
      <c r="AF83" s="477"/>
      <c r="AG83" s="777"/>
      <c r="AH83" s="778" t="s">
        <v>258</v>
      </c>
      <c r="AI83" s="779" t="s">
        <v>293</v>
      </c>
      <c r="AJ83" s="779" t="s">
        <v>293</v>
      </c>
      <c r="AK83" s="779" t="s">
        <v>293</v>
      </c>
      <c r="AL83" s="779" t="s">
        <v>293</v>
      </c>
      <c r="AM83" s="780" t="s">
        <v>293</v>
      </c>
      <c r="AN83" s="4"/>
      <c r="AO83" s="154"/>
      <c r="AP83" s="477"/>
      <c r="AQ83" s="777"/>
      <c r="AR83" s="778" t="s">
        <v>294</v>
      </c>
      <c r="AS83" s="2069">
        <v>300</v>
      </c>
      <c r="AT83" s="2070"/>
      <c r="AU83" s="2069">
        <v>201</v>
      </c>
      <c r="AV83" s="2070"/>
      <c r="AW83" s="2069">
        <v>294</v>
      </c>
      <c r="AX83" s="2070"/>
      <c r="AY83" s="2069">
        <v>300</v>
      </c>
      <c r="AZ83" s="2070"/>
      <c r="BA83" s="2074">
        <v>1095</v>
      </c>
      <c r="BB83" s="2075"/>
      <c r="BE83" s="477"/>
      <c r="BF83" s="777"/>
      <c r="BG83" s="778" t="s">
        <v>294</v>
      </c>
      <c r="BH83" s="2069"/>
      <c r="BI83" s="2070"/>
      <c r="BJ83" s="2069"/>
      <c r="BK83" s="2070"/>
      <c r="BL83" s="2069"/>
      <c r="BM83" s="2070"/>
      <c r="BN83" s="2069"/>
      <c r="BO83" s="2070"/>
      <c r="BP83" s="2074"/>
      <c r="BQ83" s="2075"/>
      <c r="BT83" s="2083"/>
      <c r="BU83" s="1795"/>
      <c r="BV83" s="876"/>
      <c r="BW83" s="876"/>
      <c r="BX83" s="876"/>
      <c r="BY83" s="876"/>
      <c r="BZ83" s="876"/>
      <c r="CA83" s="1796" t="s">
        <v>295</v>
      </c>
      <c r="CB83"/>
      <c r="CC83" s="130"/>
      <c r="CE83" s="2083"/>
      <c r="CF83" s="1795"/>
      <c r="CG83" s="876"/>
      <c r="CH83" s="876"/>
      <c r="CI83" s="876"/>
      <c r="CJ83" s="876"/>
      <c r="CK83" s="876"/>
      <c r="CL83" s="1796"/>
      <c r="CP83" s="2095"/>
      <c r="CQ83" s="1440"/>
      <c r="CR83" s="1439"/>
      <c r="CS83" s="1439"/>
      <c r="CT83" s="1439"/>
      <c r="CU83" s="1439"/>
      <c r="CV83" s="1439"/>
      <c r="CW83" s="1441"/>
      <c r="CZ83" s="2035"/>
      <c r="DA83" s="1421"/>
      <c r="DB83" s="1427"/>
      <c r="DC83" s="1427"/>
      <c r="DD83" s="1427"/>
      <c r="DE83" s="1427"/>
      <c r="DF83" s="1427"/>
      <c r="DG83" s="1426"/>
      <c r="DJ83" s="2035"/>
      <c r="DK83" s="1421"/>
    </row>
    <row r="84" spans="2:122" ht="13.8" thickBot="1">
      <c r="B84" s="423"/>
      <c r="C84" s="424"/>
      <c r="D84" s="371"/>
      <c r="E84" s="371"/>
      <c r="F84" s="371"/>
      <c r="G84" s="371"/>
      <c r="H84" s="371"/>
      <c r="I84" s="371"/>
      <c r="J84" s="371"/>
      <c r="K84" s="371"/>
      <c r="L84" s="371"/>
      <c r="M84" s="371"/>
      <c r="N84" s="421"/>
      <c r="V84" s="154"/>
      <c r="W84" s="154"/>
      <c r="X84" s="154"/>
      <c r="Y84" s="154"/>
      <c r="Z84" s="154"/>
      <c r="AA84" s="154"/>
      <c r="AB84" s="154"/>
      <c r="AC84" s="154"/>
      <c r="AD84" s="4"/>
      <c r="AF84" s="154"/>
      <c r="AG84" s="154"/>
      <c r="AH84" s="154"/>
      <c r="AI84" s="154"/>
      <c r="AJ84" s="154"/>
      <c r="AK84" s="154"/>
      <c r="AL84" s="154"/>
      <c r="AM84" s="154"/>
      <c r="AN84" s="4"/>
      <c r="AO84" s="154"/>
      <c r="AP84" s="154"/>
      <c r="AQ84" s="154"/>
      <c r="AR84" s="154"/>
      <c r="AS84" s="154"/>
      <c r="AU84" s="154"/>
      <c r="AV84" s="154"/>
      <c r="AW84" s="154"/>
      <c r="AX84" s="154"/>
      <c r="CZ84" s="78"/>
      <c r="DA84" s="78"/>
      <c r="DB84" s="78"/>
      <c r="DC84" s="78"/>
      <c r="DD84" s="78"/>
      <c r="DE84" s="78"/>
      <c r="DF84" s="78"/>
      <c r="DG84" s="78"/>
    </row>
    <row r="85" spans="2:122" ht="15" thickTop="1">
      <c r="B85" s="423"/>
      <c r="C85" s="424"/>
      <c r="D85" s="371"/>
      <c r="E85" s="371"/>
      <c r="F85" s="371"/>
      <c r="G85" s="371"/>
      <c r="H85" s="371"/>
      <c r="I85" s="371"/>
      <c r="J85" s="371"/>
      <c r="K85" s="371"/>
      <c r="L85" s="2061"/>
      <c r="M85" s="2061"/>
      <c r="N85" s="421"/>
      <c r="V85" s="478" t="s">
        <v>4</v>
      </c>
      <c r="W85" s="472" t="s">
        <v>5</v>
      </c>
      <c r="X85" s="473"/>
      <c r="Y85" s="472" t="s">
        <v>250</v>
      </c>
      <c r="Z85" s="472" t="s">
        <v>251</v>
      </c>
      <c r="AA85" s="472" t="s">
        <v>252</v>
      </c>
      <c r="AB85" s="472" t="s">
        <v>253</v>
      </c>
      <c r="AC85" s="474">
        <v>2014</v>
      </c>
      <c r="AD85" s="4"/>
      <c r="AF85" s="478" t="s">
        <v>4</v>
      </c>
      <c r="AG85" s="472" t="s">
        <v>5</v>
      </c>
      <c r="AH85" s="473"/>
      <c r="AI85" s="472" t="s">
        <v>250</v>
      </c>
      <c r="AJ85" s="472" t="s">
        <v>251</v>
      </c>
      <c r="AK85" s="472" t="s">
        <v>252</v>
      </c>
      <c r="AL85" s="472" t="s">
        <v>253</v>
      </c>
      <c r="AM85" s="474">
        <v>2014</v>
      </c>
      <c r="AN85" s="4"/>
      <c r="AO85" s="154"/>
      <c r="AP85" s="478" t="s">
        <v>4</v>
      </c>
      <c r="AQ85" s="472" t="s">
        <v>5</v>
      </c>
      <c r="AR85" s="473"/>
      <c r="AS85" s="472"/>
      <c r="AU85" s="472"/>
      <c r="AV85" s="472"/>
      <c r="AW85" s="472"/>
      <c r="AX85" s="474"/>
      <c r="BE85" s="873" t="s">
        <v>4</v>
      </c>
      <c r="BF85" s="874" t="s">
        <v>5</v>
      </c>
      <c r="BG85" s="877" t="s">
        <v>250</v>
      </c>
      <c r="BH85" s="877" t="s">
        <v>251</v>
      </c>
      <c r="BI85" s="877" t="s">
        <v>252</v>
      </c>
      <c r="BJ85" s="877" t="s">
        <v>253</v>
      </c>
      <c r="BK85" s="1802">
        <v>2020</v>
      </c>
      <c r="BL85" s="1803"/>
      <c r="BM85" s="1803"/>
      <c r="BN85" s="1803"/>
      <c r="BO85" s="1803"/>
      <c r="CP85" s="1434" t="s">
        <v>4</v>
      </c>
      <c r="CQ85" s="1435" t="s">
        <v>5</v>
      </c>
      <c r="CR85" s="1436" t="s">
        <v>250</v>
      </c>
      <c r="CS85" s="1436" t="s">
        <v>251</v>
      </c>
      <c r="CT85" s="1436" t="s">
        <v>252</v>
      </c>
      <c r="CU85" s="1436" t="s">
        <v>253</v>
      </c>
      <c r="CV85" s="888">
        <v>2023</v>
      </c>
      <c r="CW85" s="73"/>
    </row>
    <row r="86" spans="2:122" ht="20.399999999999999">
      <c r="B86" s="423"/>
      <c r="C86" s="424"/>
      <c r="D86" s="371"/>
      <c r="E86" s="371"/>
      <c r="F86" s="371"/>
      <c r="G86" s="371"/>
      <c r="H86" s="371"/>
      <c r="I86" s="371"/>
      <c r="J86" s="371"/>
      <c r="K86" s="371"/>
      <c r="L86" s="371"/>
      <c r="M86" s="371"/>
      <c r="N86" s="421"/>
      <c r="V86" s="781" t="s">
        <v>287</v>
      </c>
      <c r="W86" s="1793" t="s">
        <v>37</v>
      </c>
      <c r="X86" s="1119" t="s">
        <v>288</v>
      </c>
      <c r="Y86" s="1794">
        <v>180</v>
      </c>
      <c r="Z86" s="1794">
        <v>113</v>
      </c>
      <c r="AA86" s="1794">
        <v>75</v>
      </c>
      <c r="AB86" s="1794">
        <v>64</v>
      </c>
      <c r="AC86" s="943">
        <v>432</v>
      </c>
      <c r="AD86" s="4"/>
      <c r="AF86" s="781" t="s">
        <v>287</v>
      </c>
      <c r="AG86" s="1793" t="s">
        <v>37</v>
      </c>
      <c r="AH86" s="1119" t="s">
        <v>288</v>
      </c>
      <c r="AI86" s="1794">
        <v>180</v>
      </c>
      <c r="AJ86" s="1794">
        <v>113</v>
      </c>
      <c r="AK86" s="1794">
        <v>75</v>
      </c>
      <c r="AL86" s="1794">
        <v>64</v>
      </c>
      <c r="AM86" s="943">
        <v>432</v>
      </c>
      <c r="AN86" s="4"/>
      <c r="AO86" s="154"/>
      <c r="AP86" s="781" t="s">
        <v>287</v>
      </c>
      <c r="AQ86" s="1793" t="s">
        <v>37</v>
      </c>
      <c r="AR86" s="1119" t="s">
        <v>288</v>
      </c>
      <c r="AS86" s="1794"/>
      <c r="AU86" s="1794"/>
      <c r="AV86" s="1794"/>
      <c r="AW86" s="1794"/>
      <c r="AX86" s="943"/>
      <c r="BE86" s="2081" t="s">
        <v>287</v>
      </c>
      <c r="BF86" s="1795" t="s">
        <v>37</v>
      </c>
      <c r="BG86" s="872">
        <v>189.2</v>
      </c>
      <c r="BH86" s="872">
        <v>120.8</v>
      </c>
      <c r="BI86" s="872">
        <v>172.3</v>
      </c>
      <c r="BJ86" s="872">
        <v>145.4</v>
      </c>
      <c r="BK86" s="872">
        <v>627.70000000000005</v>
      </c>
      <c r="BL86" s="1796" t="s">
        <v>289</v>
      </c>
      <c r="BM86" s="1803"/>
      <c r="BN86" s="1803"/>
      <c r="BO86" s="1803">
        <v>12.744941851202803</v>
      </c>
      <c r="CP86" s="2093" t="s">
        <v>287</v>
      </c>
      <c r="CQ86" s="1440" t="s">
        <v>37</v>
      </c>
      <c r="CR86" s="1437">
        <v>69.844069999999988</v>
      </c>
      <c r="CS86" s="1437">
        <v>12.3691</v>
      </c>
      <c r="CT86" s="1437">
        <v>7.1306499999999993</v>
      </c>
      <c r="CU86" s="1437">
        <v>30.740690000000004</v>
      </c>
      <c r="CV86" s="1437">
        <v>120.08450999999999</v>
      </c>
      <c r="CW86" s="1441" t="s">
        <v>289</v>
      </c>
      <c r="DA86" s="1" t="s">
        <v>296</v>
      </c>
    </row>
    <row r="87" spans="2:122" ht="16.2" thickBot="1">
      <c r="B87" s="372"/>
      <c r="C87" s="372"/>
      <c r="D87" s="371"/>
      <c r="E87" s="371"/>
      <c r="F87" s="371"/>
      <c r="G87" s="371"/>
      <c r="H87" s="371"/>
      <c r="I87" s="371"/>
      <c r="J87" s="371"/>
      <c r="K87" s="371"/>
      <c r="L87" s="371"/>
      <c r="M87" s="371"/>
      <c r="N87" s="372"/>
      <c r="V87" s="476"/>
      <c r="W87" s="1793"/>
      <c r="X87" s="1798" t="s">
        <v>256</v>
      </c>
      <c r="Y87" s="1799">
        <v>25</v>
      </c>
      <c r="Z87" s="1799">
        <v>15</v>
      </c>
      <c r="AA87" s="1799">
        <v>20</v>
      </c>
      <c r="AB87" s="1799">
        <v>11</v>
      </c>
      <c r="AC87" s="944">
        <f>SUM(Y87:AB87)</f>
        <v>71</v>
      </c>
      <c r="AD87" s="4">
        <f>AC87/AC86*1000</f>
        <v>164.35185185185185</v>
      </c>
      <c r="AF87" s="476"/>
      <c r="AG87" s="1793"/>
      <c r="AH87" s="1798" t="s">
        <v>256</v>
      </c>
      <c r="AI87" s="1799">
        <v>25</v>
      </c>
      <c r="AJ87" s="1799">
        <v>15</v>
      </c>
      <c r="AK87" s="1799">
        <v>20</v>
      </c>
      <c r="AL87" s="1799">
        <v>11</v>
      </c>
      <c r="AM87" s="944">
        <f>SUM(AI87:AL87)</f>
        <v>71</v>
      </c>
      <c r="AN87" s="4">
        <f>AM87/AM86*1000</f>
        <v>164.35185185185185</v>
      </c>
      <c r="AO87" s="154"/>
      <c r="AP87" s="476"/>
      <c r="AQ87" s="1793"/>
      <c r="AR87" s="1798" t="s">
        <v>256</v>
      </c>
      <c r="AS87" s="1799"/>
      <c r="AU87" s="1799"/>
      <c r="AV87" s="1799"/>
      <c r="AW87" s="1799"/>
      <c r="AX87" s="944"/>
      <c r="BE87" s="2082"/>
      <c r="BF87" s="1795"/>
      <c r="BG87" s="1800">
        <v>2</v>
      </c>
      <c r="BH87" s="1800">
        <v>0</v>
      </c>
      <c r="BI87" s="1800">
        <v>1</v>
      </c>
      <c r="BJ87" s="1800">
        <v>5</v>
      </c>
      <c r="BK87" s="875">
        <v>8</v>
      </c>
      <c r="BL87" s="1796" t="s">
        <v>291</v>
      </c>
      <c r="BM87" s="1803"/>
      <c r="BN87" s="1803"/>
      <c r="BO87" s="1803"/>
      <c r="CP87" s="2094"/>
      <c r="CQ87" s="1440"/>
      <c r="CR87" s="1442">
        <v>19</v>
      </c>
      <c r="CS87" s="1442">
        <v>15</v>
      </c>
      <c r="CT87" s="1442">
        <v>4</v>
      </c>
      <c r="CU87" s="1442">
        <v>12</v>
      </c>
      <c r="CV87" s="1438">
        <f>SUM(CR87:CU87)</f>
        <v>50</v>
      </c>
      <c r="CW87" s="1441" t="s">
        <v>291</v>
      </c>
      <c r="CX87" s="2">
        <f>CV87/CV86*1000</f>
        <v>416.37343567459283</v>
      </c>
    </row>
    <row r="88" spans="2:122" ht="28.2" thickTop="1" thickBot="1">
      <c r="B88" s="369" t="s">
        <v>4</v>
      </c>
      <c r="C88" s="370" t="s">
        <v>5</v>
      </c>
      <c r="D88" s="405" t="s">
        <v>250</v>
      </c>
      <c r="E88" s="406"/>
      <c r="F88" s="407" t="s">
        <v>251</v>
      </c>
      <c r="G88" s="406"/>
      <c r="H88" s="407" t="s">
        <v>252</v>
      </c>
      <c r="I88" s="406"/>
      <c r="J88" s="407" t="s">
        <v>253</v>
      </c>
      <c r="K88" s="419"/>
      <c r="L88" s="2060"/>
      <c r="M88" s="2060"/>
      <c r="N88" s="372"/>
      <c r="V88" s="476"/>
      <c r="W88" s="1797"/>
      <c r="X88" s="1801" t="s">
        <v>257</v>
      </c>
      <c r="Y88" s="1799">
        <f>605+2719</f>
        <v>3324</v>
      </c>
      <c r="Z88" s="1799">
        <f>409+1372</f>
        <v>1781</v>
      </c>
      <c r="AA88" s="1799">
        <f>1218+2476</f>
        <v>3694</v>
      </c>
      <c r="AB88" s="1799">
        <f>708+1153</f>
        <v>1861</v>
      </c>
      <c r="AC88" s="944">
        <f>SUM(Y88:AB88)</f>
        <v>10660</v>
      </c>
      <c r="AD88" s="4"/>
      <c r="AF88" s="476"/>
      <c r="AG88" s="1797"/>
      <c r="AH88" s="1801" t="s">
        <v>257</v>
      </c>
      <c r="AI88" s="1799">
        <f>605+2719</f>
        <v>3324</v>
      </c>
      <c r="AJ88" s="1799">
        <f>409+1372</f>
        <v>1781</v>
      </c>
      <c r="AK88" s="1799">
        <f>1218+2476</f>
        <v>3694</v>
      </c>
      <c r="AL88" s="1799">
        <f>708+1153</f>
        <v>1861</v>
      </c>
      <c r="AM88" s="944">
        <f>SUM(AI88:AL88)</f>
        <v>10660</v>
      </c>
      <c r="AN88" s="4"/>
      <c r="AO88" s="154"/>
      <c r="AP88" s="476"/>
      <c r="AQ88" s="1797"/>
      <c r="AR88" s="1801" t="s">
        <v>257</v>
      </c>
      <c r="AS88" s="1799"/>
      <c r="AU88" s="1799"/>
      <c r="AV88" s="1799"/>
      <c r="AW88" s="1799"/>
      <c r="AX88" s="944"/>
      <c r="BE88" s="2082"/>
      <c r="BF88" s="1795"/>
      <c r="BG88" s="1800">
        <v>1094</v>
      </c>
      <c r="BH88" s="1800">
        <v>0</v>
      </c>
      <c r="BI88" s="1800">
        <v>201</v>
      </c>
      <c r="BJ88" s="1800">
        <v>890</v>
      </c>
      <c r="BK88" s="875">
        <v>2185</v>
      </c>
      <c r="BL88" s="1796" t="s">
        <v>292</v>
      </c>
      <c r="BM88" s="1803"/>
      <c r="BN88" s="1803"/>
      <c r="BO88" s="1803"/>
      <c r="CP88" s="2094"/>
      <c r="CQ88" s="1440"/>
      <c r="CR88" s="1442">
        <v>2557</v>
      </c>
      <c r="CS88" s="1442">
        <v>1811</v>
      </c>
      <c r="CT88" s="1442">
        <v>469</v>
      </c>
      <c r="CU88" s="1442">
        <v>1670</v>
      </c>
      <c r="CV88" s="1438">
        <f>SUM(CR88:CU88)</f>
        <v>6507</v>
      </c>
      <c r="CW88" s="1441" t="s">
        <v>292</v>
      </c>
    </row>
    <row r="89" spans="2:122" ht="27.6" thickBot="1">
      <c r="B89" s="408" t="s">
        <v>287</v>
      </c>
      <c r="C89" s="411" t="s">
        <v>37</v>
      </c>
      <c r="D89" s="404">
        <v>179.6</v>
      </c>
      <c r="E89" s="403"/>
      <c r="F89" s="402">
        <v>113.1</v>
      </c>
      <c r="G89" s="403"/>
      <c r="H89" s="402">
        <v>75</v>
      </c>
      <c r="I89" s="403"/>
      <c r="J89" s="402">
        <v>63.5</v>
      </c>
      <c r="K89" s="420"/>
      <c r="L89" s="2061"/>
      <c r="M89" s="2061"/>
      <c r="N89" s="137"/>
      <c r="V89" s="477"/>
      <c r="W89" s="777"/>
      <c r="X89" s="778" t="s">
        <v>258</v>
      </c>
      <c r="Y89" s="779" t="s">
        <v>293</v>
      </c>
      <c r="Z89" s="779" t="s">
        <v>293</v>
      </c>
      <c r="AA89" s="779" t="s">
        <v>293</v>
      </c>
      <c r="AB89" s="779" t="s">
        <v>293</v>
      </c>
      <c r="AC89" s="780" t="s">
        <v>293</v>
      </c>
      <c r="AD89" s="4"/>
      <c r="AF89" s="477"/>
      <c r="AG89" s="777"/>
      <c r="AH89" s="778" t="s">
        <v>258</v>
      </c>
      <c r="AI89" s="779" t="s">
        <v>293</v>
      </c>
      <c r="AJ89" s="779" t="s">
        <v>293</v>
      </c>
      <c r="AK89" s="779" t="s">
        <v>293</v>
      </c>
      <c r="AL89" s="779" t="s">
        <v>293</v>
      </c>
      <c r="AM89" s="780" t="s">
        <v>293</v>
      </c>
      <c r="AN89" s="4"/>
      <c r="AO89" s="154"/>
      <c r="AP89" s="477"/>
      <c r="AQ89" s="777"/>
      <c r="AR89" s="778" t="s">
        <v>258</v>
      </c>
      <c r="AS89" s="779"/>
      <c r="AU89" s="779"/>
      <c r="AV89" s="779"/>
      <c r="AW89" s="779"/>
      <c r="AX89" s="780"/>
      <c r="BE89" s="2083"/>
      <c r="BF89" s="1795"/>
      <c r="BG89" s="876"/>
      <c r="BH89" s="876"/>
      <c r="BI89" s="876"/>
      <c r="BJ89" s="876"/>
      <c r="BK89" s="876"/>
      <c r="BL89" s="1796" t="s">
        <v>295</v>
      </c>
      <c r="BM89" s="1803"/>
      <c r="BN89" s="1803"/>
      <c r="BO89" s="1803"/>
      <c r="CP89" s="2095"/>
      <c r="CQ89" s="1440"/>
      <c r="CR89" s="1439"/>
      <c r="CS89" s="1439"/>
      <c r="CT89" s="1439"/>
      <c r="CU89" s="1439"/>
      <c r="CV89" s="1439"/>
      <c r="CW89" s="1441"/>
    </row>
    <row r="90" spans="2:122" ht="13.8" thickBot="1">
      <c r="B90" s="409"/>
      <c r="C90" s="412"/>
      <c r="D90" s="374">
        <v>3</v>
      </c>
      <c r="E90" s="374">
        <v>22</v>
      </c>
      <c r="F90" s="374">
        <v>3</v>
      </c>
      <c r="G90" s="374">
        <v>12</v>
      </c>
      <c r="H90" s="374">
        <v>3</v>
      </c>
      <c r="I90" s="374">
        <v>17</v>
      </c>
      <c r="J90" s="374">
        <v>2</v>
      </c>
      <c r="K90" s="373">
        <v>9</v>
      </c>
      <c r="L90" s="371"/>
      <c r="M90" s="371"/>
      <c r="N90" s="421"/>
      <c r="V90" s="154"/>
      <c r="W90" s="154"/>
      <c r="X90" s="154"/>
      <c r="Y90" s="154"/>
      <c r="Z90" s="154"/>
      <c r="AA90" s="154"/>
      <c r="AB90" s="154"/>
      <c r="AC90" s="154"/>
      <c r="AD90" s="4"/>
      <c r="AF90" s="154"/>
      <c r="AG90" s="154"/>
      <c r="AH90" s="154"/>
      <c r="AI90" s="154"/>
      <c r="AJ90" s="154"/>
      <c r="AK90" s="154"/>
      <c r="AL90" s="154"/>
      <c r="AM90" s="154"/>
      <c r="AN90" s="4"/>
      <c r="AO90" s="154"/>
      <c r="AP90" s="154"/>
      <c r="AQ90" s="154"/>
      <c r="AR90" s="154"/>
      <c r="AS90" s="154"/>
      <c r="AU90" s="154"/>
      <c r="AV90" s="154"/>
      <c r="AW90" s="154"/>
      <c r="AX90" s="154"/>
    </row>
    <row r="91" spans="2:122" ht="13.8" thickBot="1">
      <c r="B91" s="409"/>
      <c r="C91" s="412"/>
      <c r="D91" s="374">
        <v>605</v>
      </c>
      <c r="E91" s="374">
        <v>2719</v>
      </c>
      <c r="F91" s="374">
        <v>409</v>
      </c>
      <c r="G91" s="374">
        <v>1372</v>
      </c>
      <c r="H91" s="374">
        <v>1218</v>
      </c>
      <c r="I91" s="374">
        <v>2476</v>
      </c>
      <c r="J91" s="374">
        <v>708</v>
      </c>
      <c r="K91" s="373">
        <v>1153</v>
      </c>
      <c r="L91" s="371"/>
      <c r="M91" s="371"/>
      <c r="N91" s="421"/>
      <c r="V91" s="478" t="s">
        <v>4</v>
      </c>
      <c r="W91" s="472" t="s">
        <v>5</v>
      </c>
      <c r="X91" s="473"/>
      <c r="Y91" s="472" t="s">
        <v>250</v>
      </c>
      <c r="Z91" s="472" t="s">
        <v>251</v>
      </c>
      <c r="AA91" s="472" t="s">
        <v>252</v>
      </c>
      <c r="AB91" s="472" t="s">
        <v>253</v>
      </c>
      <c r="AC91" s="474">
        <v>2015</v>
      </c>
      <c r="AD91" s="4"/>
      <c r="AF91" s="478" t="s">
        <v>4</v>
      </c>
      <c r="AG91" s="472" t="s">
        <v>5</v>
      </c>
      <c r="AH91" s="473"/>
      <c r="AI91" s="472" t="s">
        <v>250</v>
      </c>
      <c r="AJ91" s="472" t="s">
        <v>251</v>
      </c>
      <c r="AK91" s="472" t="s">
        <v>252</v>
      </c>
      <c r="AL91" s="472" t="s">
        <v>253</v>
      </c>
      <c r="AM91" s="474">
        <v>2015</v>
      </c>
      <c r="AN91" s="4"/>
      <c r="AO91" s="154"/>
      <c r="AP91" s="478" t="s">
        <v>4</v>
      </c>
      <c r="AQ91" s="472" t="s">
        <v>5</v>
      </c>
      <c r="AR91" s="473"/>
      <c r="AS91" s="472"/>
      <c r="AU91" s="472"/>
      <c r="AV91" s="472"/>
      <c r="AW91" s="472"/>
      <c r="AX91" s="474"/>
    </row>
    <row r="92" spans="2:122" ht="21" thickBot="1">
      <c r="B92" s="409"/>
      <c r="C92" s="412"/>
      <c r="D92" s="373"/>
      <c r="E92" s="373"/>
      <c r="F92" s="373"/>
      <c r="G92" s="373"/>
      <c r="H92" s="373"/>
      <c r="I92" s="373"/>
      <c r="J92" s="373"/>
      <c r="K92" s="373"/>
      <c r="L92" s="371"/>
      <c r="M92" s="371"/>
      <c r="N92" s="421"/>
      <c r="V92" s="782" t="s">
        <v>287</v>
      </c>
      <c r="W92" s="1793" t="s">
        <v>37</v>
      </c>
      <c r="X92" s="1119" t="s">
        <v>288</v>
      </c>
      <c r="Y92" s="1794">
        <v>225</v>
      </c>
      <c r="Z92" s="1794">
        <v>167</v>
      </c>
      <c r="AA92" s="1794">
        <v>88</v>
      </c>
      <c r="AB92" s="1794">
        <v>149</v>
      </c>
      <c r="AC92" s="943">
        <v>629</v>
      </c>
      <c r="AD92" s="4"/>
      <c r="AF92" s="782" t="s">
        <v>287</v>
      </c>
      <c r="AG92" s="1793" t="s">
        <v>37</v>
      </c>
      <c r="AH92" s="1119" t="s">
        <v>288</v>
      </c>
      <c r="AI92" s="1794">
        <v>225</v>
      </c>
      <c r="AJ92" s="1794">
        <v>167</v>
      </c>
      <c r="AK92" s="1794">
        <v>88</v>
      </c>
      <c r="AL92" s="1794">
        <v>149</v>
      </c>
      <c r="AM92" s="943">
        <v>629</v>
      </c>
      <c r="AN92" s="4"/>
      <c r="AO92" s="154"/>
      <c r="AP92" s="782" t="s">
        <v>287</v>
      </c>
      <c r="AQ92" s="1793" t="s">
        <v>37</v>
      </c>
      <c r="AR92" s="1119" t="s">
        <v>288</v>
      </c>
      <c r="AS92" s="1794"/>
      <c r="AU92" s="1794"/>
      <c r="AV92" s="1794"/>
      <c r="AW92" s="1794"/>
      <c r="AX92" s="943"/>
    </row>
    <row r="93" spans="2:122" ht="13.8" thickBot="1">
      <c r="B93" s="410"/>
      <c r="C93" s="413"/>
      <c r="D93" s="404">
        <v>300</v>
      </c>
      <c r="E93" s="403"/>
      <c r="F93" s="402">
        <v>300</v>
      </c>
      <c r="G93" s="403"/>
      <c r="H93" s="402">
        <v>300</v>
      </c>
      <c r="I93" s="403"/>
      <c r="J93" s="402">
        <v>200</v>
      </c>
      <c r="K93" s="420"/>
      <c r="L93" s="2061"/>
      <c r="M93" s="2061"/>
      <c r="N93" s="421"/>
      <c r="V93" s="783"/>
      <c r="W93" s="1793"/>
      <c r="X93" s="1798" t="s">
        <v>256</v>
      </c>
      <c r="Y93" s="1799">
        <v>3</v>
      </c>
      <c r="Z93" s="1799">
        <v>3</v>
      </c>
      <c r="AA93" s="1799">
        <v>3</v>
      </c>
      <c r="AB93" s="1799">
        <v>3</v>
      </c>
      <c r="AC93" s="944">
        <f>SUM(Y93:AB93)</f>
        <v>12</v>
      </c>
      <c r="AD93" s="4">
        <f>AC93/AC92*1000</f>
        <v>19.077901430842605</v>
      </c>
      <c r="AF93" s="783"/>
      <c r="AG93" s="1793"/>
      <c r="AH93" s="1798" t="s">
        <v>256</v>
      </c>
      <c r="AI93" s="1799">
        <v>3</v>
      </c>
      <c r="AJ93" s="1799">
        <v>3</v>
      </c>
      <c r="AK93" s="1799">
        <v>3</v>
      </c>
      <c r="AL93" s="1799">
        <v>3</v>
      </c>
      <c r="AM93" s="944">
        <f>SUM(AI93:AL93)</f>
        <v>12</v>
      </c>
      <c r="AN93" s="4">
        <f>AM93/AM92*1000</f>
        <v>19.077901430842605</v>
      </c>
      <c r="AO93" s="154"/>
      <c r="AP93" s="783"/>
      <c r="AQ93" s="1793"/>
      <c r="AR93" s="1798" t="s">
        <v>256</v>
      </c>
      <c r="AS93" s="1799"/>
      <c r="AU93" s="1799"/>
      <c r="AV93" s="1799"/>
      <c r="AW93" s="1799"/>
      <c r="AX93" s="944"/>
    </row>
    <row r="94" spans="2:122" ht="27.6" thickBot="1">
      <c r="B94" s="372"/>
      <c r="C94" s="372"/>
      <c r="D94" s="371"/>
      <c r="E94" s="371"/>
      <c r="F94" s="371"/>
      <c r="G94" s="371"/>
      <c r="H94" s="371"/>
      <c r="I94" s="371"/>
      <c r="J94" s="371"/>
      <c r="K94" s="371"/>
      <c r="L94" s="371"/>
      <c r="M94" s="371"/>
      <c r="N94" s="372"/>
      <c r="V94" s="783"/>
      <c r="W94" s="1797"/>
      <c r="X94" s="1801" t="s">
        <v>257</v>
      </c>
      <c r="Y94" s="1799">
        <v>758</v>
      </c>
      <c r="Z94" s="1799">
        <v>624</v>
      </c>
      <c r="AA94" s="1799">
        <v>401</v>
      </c>
      <c r="AB94" s="1799">
        <v>511</v>
      </c>
      <c r="AC94" s="944">
        <f>SUM(Y94:AB94)</f>
        <v>2294</v>
      </c>
      <c r="AD94" s="4"/>
      <c r="AF94" s="783"/>
      <c r="AG94" s="1797"/>
      <c r="AH94" s="1801" t="s">
        <v>257</v>
      </c>
      <c r="AI94" s="1799">
        <v>758</v>
      </c>
      <c r="AJ94" s="1799">
        <v>624</v>
      </c>
      <c r="AK94" s="1799">
        <v>401</v>
      </c>
      <c r="AL94" s="1799">
        <v>511</v>
      </c>
      <c r="AM94" s="944">
        <f>SUM(AI94:AL94)</f>
        <v>2294</v>
      </c>
      <c r="AN94" s="4"/>
      <c r="AO94" s="154"/>
      <c r="AP94" s="783"/>
      <c r="AQ94" s="1797"/>
      <c r="AR94" s="1801" t="s">
        <v>257</v>
      </c>
      <c r="AS94" s="1799"/>
      <c r="AU94" s="1799"/>
      <c r="AV94" s="1799"/>
      <c r="AW94" s="1799"/>
      <c r="AX94" s="944"/>
    </row>
    <row r="95" spans="2:122" ht="16.8" thickTop="1" thickBot="1">
      <c r="B95" s="369" t="s">
        <v>4</v>
      </c>
      <c r="C95" s="370" t="s">
        <v>5</v>
      </c>
      <c r="D95" s="405" t="s">
        <v>250</v>
      </c>
      <c r="E95" s="406"/>
      <c r="F95" s="407" t="s">
        <v>251</v>
      </c>
      <c r="G95" s="406"/>
      <c r="H95" s="407" t="s">
        <v>252</v>
      </c>
      <c r="I95" s="406"/>
      <c r="J95" s="407" t="s">
        <v>253</v>
      </c>
      <c r="K95" s="419"/>
      <c r="L95" s="2060"/>
      <c r="M95" s="2060"/>
      <c r="N95" s="372"/>
      <c r="V95" s="784"/>
      <c r="W95" s="777"/>
      <c r="X95" s="778" t="s">
        <v>258</v>
      </c>
      <c r="Y95" s="779" t="s">
        <v>293</v>
      </c>
      <c r="Z95" s="779" t="s">
        <v>293</v>
      </c>
      <c r="AA95" s="779" t="s">
        <v>293</v>
      </c>
      <c r="AB95" s="779" t="s">
        <v>293</v>
      </c>
      <c r="AC95" s="780" t="s">
        <v>293</v>
      </c>
      <c r="AD95" s="4"/>
      <c r="AF95" s="784"/>
      <c r="AG95" s="777"/>
      <c r="AH95" s="778" t="s">
        <v>258</v>
      </c>
      <c r="AI95" s="779" t="s">
        <v>293</v>
      </c>
      <c r="AJ95" s="779" t="s">
        <v>293</v>
      </c>
      <c r="AK95" s="779" t="s">
        <v>293</v>
      </c>
      <c r="AL95" s="779" t="s">
        <v>293</v>
      </c>
      <c r="AM95" s="780" t="s">
        <v>293</v>
      </c>
      <c r="AN95" s="4"/>
      <c r="AO95" s="154"/>
      <c r="AP95" s="784"/>
      <c r="AQ95" s="777"/>
      <c r="AR95" s="778" t="s">
        <v>258</v>
      </c>
      <c r="AS95" s="779"/>
      <c r="AU95" s="779"/>
      <c r="AV95" s="779"/>
      <c r="AW95" s="779"/>
      <c r="AX95" s="780"/>
    </row>
    <row r="96" spans="2:122" ht="27" thickBot="1">
      <c r="B96" s="408" t="s">
        <v>287</v>
      </c>
      <c r="C96" s="411" t="s">
        <v>37</v>
      </c>
      <c r="D96" s="404" t="s">
        <v>297</v>
      </c>
      <c r="E96" s="403"/>
      <c r="F96" s="402" t="s">
        <v>297</v>
      </c>
      <c r="G96" s="403"/>
      <c r="H96" s="402" t="s">
        <v>297</v>
      </c>
      <c r="I96" s="403"/>
      <c r="J96" s="402" t="s">
        <v>297</v>
      </c>
      <c r="K96" s="420"/>
      <c r="L96" s="2061"/>
      <c r="M96" s="2061"/>
      <c r="N96" s="137"/>
      <c r="V96" s="154"/>
      <c r="W96" s="154"/>
      <c r="X96" s="154"/>
      <c r="Y96" s="154"/>
      <c r="Z96" s="154"/>
      <c r="AA96" s="154"/>
      <c r="AB96" s="154"/>
      <c r="AC96" s="154"/>
      <c r="AD96" s="4"/>
      <c r="AF96" s="154"/>
      <c r="AG96" s="154"/>
      <c r="AH96" s="154"/>
      <c r="AI96" s="154"/>
      <c r="AJ96" s="154"/>
      <c r="AK96" s="154"/>
      <c r="AL96" s="154"/>
      <c r="AM96" s="154"/>
      <c r="AN96" s="4"/>
      <c r="AO96" s="154"/>
      <c r="AP96" s="154"/>
      <c r="AQ96" s="154"/>
      <c r="AR96" s="154"/>
      <c r="AS96" s="154"/>
      <c r="AU96" s="154"/>
      <c r="AV96" s="154"/>
      <c r="AW96" s="154"/>
      <c r="AX96" s="154"/>
    </row>
    <row r="97" spans="2:50" ht="13.8" thickBot="1">
      <c r="B97" s="409"/>
      <c r="C97" s="412"/>
      <c r="D97" s="374">
        <v>3</v>
      </c>
      <c r="E97" s="374">
        <v>19</v>
      </c>
      <c r="F97" s="374">
        <v>3</v>
      </c>
      <c r="G97" s="374">
        <v>17</v>
      </c>
      <c r="H97" s="374">
        <v>3</v>
      </c>
      <c r="I97" s="374">
        <v>16</v>
      </c>
      <c r="J97" s="374">
        <v>3</v>
      </c>
      <c r="K97" s="373">
        <v>14</v>
      </c>
      <c r="L97" s="371"/>
      <c r="M97" s="371"/>
      <c r="N97" s="421"/>
      <c r="V97" s="478" t="s">
        <v>4</v>
      </c>
      <c r="W97" s="472" t="s">
        <v>5</v>
      </c>
      <c r="X97" s="473"/>
      <c r="Y97" s="472" t="s">
        <v>250</v>
      </c>
      <c r="Z97" s="472" t="s">
        <v>251</v>
      </c>
      <c r="AA97" s="472" t="s">
        <v>252</v>
      </c>
      <c r="AB97" s="472" t="s">
        <v>253</v>
      </c>
      <c r="AC97" s="474">
        <v>2016</v>
      </c>
      <c r="AD97" s="4"/>
      <c r="AF97" s="478" t="s">
        <v>4</v>
      </c>
      <c r="AG97" s="472" t="s">
        <v>5</v>
      </c>
      <c r="AH97" s="473"/>
      <c r="AI97" s="472" t="s">
        <v>250</v>
      </c>
      <c r="AJ97" s="472" t="s">
        <v>251</v>
      </c>
      <c r="AK97" s="472" t="s">
        <v>252</v>
      </c>
      <c r="AL97" s="472" t="s">
        <v>253</v>
      </c>
      <c r="AM97" s="474">
        <v>2016</v>
      </c>
      <c r="AN97" s="4"/>
      <c r="AO97" s="154"/>
      <c r="AP97" s="478" t="s">
        <v>4</v>
      </c>
      <c r="AQ97" s="472" t="s">
        <v>5</v>
      </c>
      <c r="AR97" s="473"/>
      <c r="AS97" s="472"/>
      <c r="AU97" s="472"/>
      <c r="AV97" s="472"/>
      <c r="AW97" s="472"/>
      <c r="AX97" s="474"/>
    </row>
    <row r="98" spans="2:50" ht="21" thickBot="1">
      <c r="B98" s="409"/>
      <c r="C98" s="412"/>
      <c r="D98" s="374"/>
      <c r="E98" s="374"/>
      <c r="F98" s="374"/>
      <c r="G98" s="374"/>
      <c r="H98" s="374"/>
      <c r="I98" s="374"/>
      <c r="J98" s="374"/>
      <c r="K98" s="373"/>
      <c r="L98" s="371"/>
      <c r="M98" s="371"/>
      <c r="N98" s="421"/>
      <c r="V98" s="782" t="s">
        <v>287</v>
      </c>
      <c r="W98" s="1793" t="s">
        <v>37</v>
      </c>
      <c r="X98" s="1119" t="s">
        <v>288</v>
      </c>
      <c r="Y98" s="1794">
        <v>293</v>
      </c>
      <c r="Z98" s="1794">
        <v>149</v>
      </c>
      <c r="AA98" s="1794">
        <v>139</v>
      </c>
      <c r="AB98" s="1794">
        <v>132</v>
      </c>
      <c r="AC98" s="943">
        <v>713</v>
      </c>
      <c r="AD98" s="4"/>
      <c r="AF98" s="782" t="s">
        <v>287</v>
      </c>
      <c r="AG98" s="1793" t="s">
        <v>37</v>
      </c>
      <c r="AH98" s="1119" t="s">
        <v>288</v>
      </c>
      <c r="AI98" s="1794">
        <v>293</v>
      </c>
      <c r="AJ98" s="1794">
        <v>149</v>
      </c>
      <c r="AK98" s="1794">
        <v>139</v>
      </c>
      <c r="AL98" s="1794">
        <v>132</v>
      </c>
      <c r="AM98" s="943">
        <v>713</v>
      </c>
      <c r="AN98" s="4"/>
      <c r="AO98" s="154"/>
      <c r="AP98" s="782" t="s">
        <v>287</v>
      </c>
      <c r="AQ98" s="1793" t="s">
        <v>37</v>
      </c>
      <c r="AR98" s="1119" t="s">
        <v>288</v>
      </c>
      <c r="AS98" s="1794"/>
      <c r="AU98" s="1794"/>
      <c r="AV98" s="1794"/>
      <c r="AW98" s="1794"/>
      <c r="AX98" s="943"/>
    </row>
    <row r="99" spans="2:50" ht="13.8" thickBot="1">
      <c r="B99" s="409"/>
      <c r="C99" s="412"/>
      <c r="D99" s="374">
        <v>758</v>
      </c>
      <c r="E99" s="374"/>
      <c r="F99" s="374">
        <v>624</v>
      </c>
      <c r="G99" s="374"/>
      <c r="H99" s="374">
        <v>401</v>
      </c>
      <c r="I99" s="374"/>
      <c r="J99" s="374">
        <v>511</v>
      </c>
      <c r="K99" s="373"/>
      <c r="L99" s="371"/>
      <c r="M99" s="371"/>
      <c r="N99" s="421"/>
      <c r="V99" s="783"/>
      <c r="W99" s="1793"/>
      <c r="X99" s="1798" t="s">
        <v>256</v>
      </c>
      <c r="Y99" s="1799">
        <v>3</v>
      </c>
      <c r="Z99" s="1799">
        <v>3</v>
      </c>
      <c r="AA99" s="1799">
        <v>3</v>
      </c>
      <c r="AB99" s="1799">
        <v>3</v>
      </c>
      <c r="AC99" s="944">
        <f>SUM(Y99:AB99)</f>
        <v>12</v>
      </c>
      <c r="AD99" s="4">
        <f>AC99/AC98*1000</f>
        <v>16.830294530154276</v>
      </c>
      <c r="AF99" s="783"/>
      <c r="AG99" s="1793"/>
      <c r="AH99" s="1798" t="s">
        <v>256</v>
      </c>
      <c r="AI99" s="1799">
        <v>3</v>
      </c>
      <c r="AJ99" s="1799">
        <v>3</v>
      </c>
      <c r="AK99" s="1799">
        <v>3</v>
      </c>
      <c r="AL99" s="1799">
        <v>3</v>
      </c>
      <c r="AM99" s="944">
        <f>SUM(AI99:AL99)</f>
        <v>12</v>
      </c>
      <c r="AN99" s="4">
        <f>AM99/AM98*1000</f>
        <v>16.830294530154276</v>
      </c>
      <c r="AO99" s="154"/>
      <c r="AP99" s="783"/>
      <c r="AQ99" s="1793"/>
      <c r="AR99" s="1798" t="s">
        <v>256</v>
      </c>
      <c r="AS99" s="1799"/>
      <c r="AU99" s="1799"/>
      <c r="AV99" s="1799"/>
      <c r="AW99" s="1799"/>
      <c r="AX99" s="944"/>
    </row>
    <row r="100" spans="2:50" ht="27" thickBot="1">
      <c r="B100" s="410"/>
      <c r="C100" s="413"/>
      <c r="D100" s="404">
        <v>300</v>
      </c>
      <c r="E100" s="403"/>
      <c r="F100" s="402">
        <v>300</v>
      </c>
      <c r="G100" s="403"/>
      <c r="H100" s="402">
        <v>310</v>
      </c>
      <c r="I100" s="403"/>
      <c r="J100" s="402">
        <v>300</v>
      </c>
      <c r="K100" s="420"/>
      <c r="L100" s="2061"/>
      <c r="M100" s="2061"/>
      <c r="N100" s="421"/>
      <c r="V100" s="783"/>
      <c r="W100" s="1797"/>
      <c r="X100" s="1801" t="s">
        <v>257</v>
      </c>
      <c r="Y100" s="1799">
        <v>604</v>
      </c>
      <c r="Z100" s="1799">
        <v>572</v>
      </c>
      <c r="AA100" s="1799">
        <v>513</v>
      </c>
      <c r="AB100" s="1799">
        <v>782</v>
      </c>
      <c r="AC100" s="944">
        <f>SUM(Y100:AB100)</f>
        <v>2471</v>
      </c>
      <c r="AD100" s="4"/>
      <c r="AF100" s="783"/>
      <c r="AG100" s="1797"/>
      <c r="AH100" s="1801" t="s">
        <v>257</v>
      </c>
      <c r="AI100" s="1799">
        <v>604</v>
      </c>
      <c r="AJ100" s="1799">
        <v>572</v>
      </c>
      <c r="AK100" s="1799">
        <v>513</v>
      </c>
      <c r="AL100" s="1799">
        <v>782</v>
      </c>
      <c r="AM100" s="944">
        <f>SUM(AI100:AL100)</f>
        <v>2471</v>
      </c>
      <c r="AN100" s="4"/>
      <c r="AO100" s="154"/>
      <c r="AP100" s="783"/>
      <c r="AQ100" s="1797"/>
      <c r="AR100" s="1801" t="s">
        <v>257</v>
      </c>
      <c r="AS100" s="1799"/>
      <c r="AU100" s="1799"/>
      <c r="AV100" s="1799"/>
      <c r="AW100" s="1799"/>
      <c r="AX100" s="944"/>
    </row>
    <row r="101" spans="2:50" ht="13.8" thickBot="1">
      <c r="K101" s="1"/>
      <c r="L101" s="1"/>
      <c r="M101" s="1"/>
      <c r="N101" s="1"/>
      <c r="V101" s="784"/>
      <c r="W101" s="777"/>
      <c r="X101" s="778" t="s">
        <v>258</v>
      </c>
      <c r="Y101" s="779" t="s">
        <v>293</v>
      </c>
      <c r="Z101" s="779" t="s">
        <v>293</v>
      </c>
      <c r="AA101" s="779" t="s">
        <v>293</v>
      </c>
      <c r="AB101" s="779" t="s">
        <v>293</v>
      </c>
      <c r="AC101" s="780" t="s">
        <v>293</v>
      </c>
      <c r="AD101" s="4"/>
      <c r="AF101" s="784"/>
      <c r="AG101" s="777"/>
      <c r="AH101" s="778" t="s">
        <v>258</v>
      </c>
      <c r="AI101" s="779" t="s">
        <v>293</v>
      </c>
      <c r="AJ101" s="779" t="s">
        <v>293</v>
      </c>
      <c r="AK101" s="779" t="s">
        <v>293</v>
      </c>
      <c r="AL101" s="779" t="s">
        <v>293</v>
      </c>
      <c r="AM101" s="780" t="s">
        <v>293</v>
      </c>
      <c r="AN101" s="4"/>
      <c r="AO101" s="154"/>
      <c r="AP101" s="784"/>
      <c r="AQ101" s="777"/>
      <c r="AR101" s="778" t="s">
        <v>258</v>
      </c>
      <c r="AS101" s="779"/>
      <c r="AU101" s="779"/>
      <c r="AV101" s="779"/>
      <c r="AW101" s="779"/>
      <c r="AX101" s="780"/>
    </row>
    <row r="102" spans="2:50" ht="13.8" thickBot="1">
      <c r="AD102" s="4"/>
      <c r="AO102" s="154"/>
      <c r="AP102" s="4"/>
      <c r="AQ102" s="4"/>
      <c r="AR102" s="4"/>
      <c r="AS102" s="4"/>
      <c r="AU102" s="4"/>
      <c r="AV102" s="4"/>
    </row>
    <row r="103" spans="2:50">
      <c r="AD103" s="4"/>
      <c r="AF103" s="478" t="s">
        <v>4</v>
      </c>
      <c r="AG103" s="472" t="s">
        <v>5</v>
      </c>
      <c r="AH103" s="473"/>
      <c r="AI103" s="479" t="s">
        <v>250</v>
      </c>
      <c r="AJ103" s="479" t="s">
        <v>251</v>
      </c>
      <c r="AK103" s="479" t="s">
        <v>252</v>
      </c>
      <c r="AL103" s="479" t="s">
        <v>253</v>
      </c>
      <c r="AM103" s="480">
        <v>2017</v>
      </c>
      <c r="AP103" s="478" t="s">
        <v>4</v>
      </c>
      <c r="AQ103" s="472" t="s">
        <v>5</v>
      </c>
      <c r="AR103" s="473"/>
      <c r="AS103" s="479"/>
      <c r="AU103" s="479"/>
      <c r="AV103" s="479"/>
      <c r="AW103" s="479"/>
      <c r="AX103" s="480"/>
    </row>
    <row r="104" spans="2:50">
      <c r="AD104" s="4"/>
      <c r="AF104" s="2065" t="s">
        <v>287</v>
      </c>
      <c r="AG104" s="1793" t="s">
        <v>37</v>
      </c>
      <c r="AH104" s="1119" t="s">
        <v>288</v>
      </c>
      <c r="AI104" s="1792">
        <v>252</v>
      </c>
      <c r="AJ104" s="1792">
        <v>156.9</v>
      </c>
      <c r="AK104" s="1792">
        <v>140.30000000000001</v>
      </c>
      <c r="AL104" s="1792">
        <v>161.1</v>
      </c>
      <c r="AM104" s="945">
        <v>710.3</v>
      </c>
      <c r="AP104" s="2065" t="s">
        <v>287</v>
      </c>
      <c r="AQ104" s="1793" t="s">
        <v>37</v>
      </c>
      <c r="AR104" s="1119" t="s">
        <v>288</v>
      </c>
      <c r="AS104" s="1792"/>
      <c r="AU104" s="1792"/>
      <c r="AV104" s="1792"/>
      <c r="AW104" s="1792"/>
      <c r="AX104" s="945"/>
    </row>
    <row r="105" spans="2:50">
      <c r="AD105" s="4"/>
      <c r="AF105" s="2066"/>
      <c r="AG105" s="1793"/>
      <c r="AH105" s="1798" t="s">
        <v>256</v>
      </c>
      <c r="AI105" s="1786">
        <v>6</v>
      </c>
      <c r="AJ105" s="1786">
        <v>5</v>
      </c>
      <c r="AK105" s="1786">
        <v>6</v>
      </c>
      <c r="AL105" s="1786">
        <v>6</v>
      </c>
      <c r="AM105" s="939">
        <v>23</v>
      </c>
      <c r="AN105" s="4">
        <f>AM105/AM104*1000</f>
        <v>32.380684217936086</v>
      </c>
      <c r="AP105" s="2066"/>
      <c r="AQ105" s="1793"/>
      <c r="AR105" s="1798" t="s">
        <v>256</v>
      </c>
      <c r="AS105" s="1786"/>
      <c r="AU105" s="1786"/>
      <c r="AV105" s="1786"/>
      <c r="AW105" s="1786"/>
      <c r="AX105" s="939"/>
    </row>
    <row r="106" spans="2:50" ht="26.4">
      <c r="AD106" s="4"/>
      <c r="AF106" s="2066"/>
      <c r="AG106" s="1797"/>
      <c r="AH106" s="1801" t="s">
        <v>257</v>
      </c>
      <c r="AI106" s="1786">
        <v>1416</v>
      </c>
      <c r="AJ106" s="1786">
        <v>722</v>
      </c>
      <c r="AK106" s="1786">
        <v>1013</v>
      </c>
      <c r="AL106" s="1786">
        <v>1158</v>
      </c>
      <c r="AM106" s="939">
        <v>4309</v>
      </c>
      <c r="AP106" s="2066"/>
      <c r="AQ106" s="1797"/>
      <c r="AR106" s="1801" t="s">
        <v>257</v>
      </c>
      <c r="AS106" s="1786"/>
      <c r="AU106" s="1786"/>
      <c r="AV106" s="1786"/>
      <c r="AW106" s="1786"/>
      <c r="AX106" s="939"/>
    </row>
    <row r="107" spans="2:50" ht="13.8" thickBot="1">
      <c r="AD107" s="4"/>
      <c r="AF107" s="2067"/>
      <c r="AG107" s="777"/>
      <c r="AH107" s="778" t="s">
        <v>258</v>
      </c>
      <c r="AI107" s="769" t="s">
        <v>293</v>
      </c>
      <c r="AJ107" s="769" t="s">
        <v>293</v>
      </c>
      <c r="AK107" s="769" t="s">
        <v>293</v>
      </c>
      <c r="AL107" s="769" t="s">
        <v>293</v>
      </c>
      <c r="AM107" s="770" t="s">
        <v>293</v>
      </c>
      <c r="AP107" s="2067"/>
      <c r="AQ107" s="777"/>
      <c r="AR107" s="778" t="s">
        <v>258</v>
      </c>
      <c r="AS107" s="769"/>
      <c r="AU107" s="769"/>
      <c r="AV107" s="769"/>
      <c r="AW107" s="769"/>
      <c r="AX107" s="770"/>
    </row>
    <row r="108" spans="2:50">
      <c r="AD108" s="4"/>
    </row>
    <row r="109" spans="2:50">
      <c r="AD109" s="4"/>
    </row>
    <row r="110" spans="2:50">
      <c r="AD110" s="4"/>
    </row>
    <row r="111" spans="2:50">
      <c r="AD111" s="4"/>
    </row>
    <row r="112" spans="2:50">
      <c r="AD112" s="4"/>
    </row>
    <row r="113" spans="30:30">
      <c r="AD113" s="4"/>
    </row>
    <row r="114" spans="30:30">
      <c r="AD114" s="4"/>
    </row>
  </sheetData>
  <mergeCells count="158">
    <mergeCell ref="DM27:DQ27"/>
    <mergeCell ref="CP86:CP89"/>
    <mergeCell ref="CP47:CP50"/>
    <mergeCell ref="CP51:CP55"/>
    <mergeCell ref="CP80:CP83"/>
    <mergeCell ref="CP6:CP9"/>
    <mergeCell ref="CP10:CP13"/>
    <mergeCell ref="CP14:CP17"/>
    <mergeCell ref="CP18:CP21"/>
    <mergeCell ref="CP22:CP25"/>
    <mergeCell ref="CP26:CP29"/>
    <mergeCell ref="CP30:CP33"/>
    <mergeCell ref="CP38:CP41"/>
    <mergeCell ref="CP42:CP46"/>
    <mergeCell ref="CZ47:CZ50"/>
    <mergeCell ref="CZ51:CZ55"/>
    <mergeCell ref="CZ80:CZ83"/>
    <mergeCell ref="CZ6:CZ9"/>
    <mergeCell ref="CZ10:CZ13"/>
    <mergeCell ref="CZ14:CZ17"/>
    <mergeCell ref="CZ18:CZ21"/>
    <mergeCell ref="CZ22:CZ25"/>
    <mergeCell ref="CZ26:CZ29"/>
    <mergeCell ref="CZ30:CZ33"/>
    <mergeCell ref="CE80:CE83"/>
    <mergeCell ref="CE47:CE50"/>
    <mergeCell ref="CE51:CE55"/>
    <mergeCell ref="BT6:BT9"/>
    <mergeCell ref="BT10:BT13"/>
    <mergeCell ref="BT14:BT17"/>
    <mergeCell ref="BT18:BT21"/>
    <mergeCell ref="BT22:BT25"/>
    <mergeCell ref="BT26:BT29"/>
    <mergeCell ref="BT30:BT33"/>
    <mergeCell ref="BT38:BT41"/>
    <mergeCell ref="BT42:BT46"/>
    <mergeCell ref="BT47:BT50"/>
    <mergeCell ref="BT51:BT55"/>
    <mergeCell ref="BT80:BT83"/>
    <mergeCell ref="CE6:CE9"/>
    <mergeCell ref="CE10:CE13"/>
    <mergeCell ref="CE14:CE17"/>
    <mergeCell ref="CE18:CE21"/>
    <mergeCell ref="CE22:CE25"/>
    <mergeCell ref="CE26:CE29"/>
    <mergeCell ref="CE30:CE33"/>
    <mergeCell ref="CE38:CE41"/>
    <mergeCell ref="CE42:CE46"/>
    <mergeCell ref="BE86:BE89"/>
    <mergeCell ref="BJ26:BJ29"/>
    <mergeCell ref="BJ30:BJ33"/>
    <mergeCell ref="BJ38:BJ41"/>
    <mergeCell ref="BJ42:BJ46"/>
    <mergeCell ref="BJ80:BK80"/>
    <mergeCell ref="BH79:BI79"/>
    <mergeCell ref="BJ79:BK79"/>
    <mergeCell ref="BJ6:BJ9"/>
    <mergeCell ref="BJ10:BJ13"/>
    <mergeCell ref="BJ14:BJ17"/>
    <mergeCell ref="BJ47:BJ50"/>
    <mergeCell ref="BJ51:BJ55"/>
    <mergeCell ref="BL80:BM80"/>
    <mergeCell ref="BN80:BO80"/>
    <mergeCell ref="BP80:BQ80"/>
    <mergeCell ref="BH83:BI83"/>
    <mergeCell ref="BJ83:BK83"/>
    <mergeCell ref="BL83:BM83"/>
    <mergeCell ref="BN83:BO83"/>
    <mergeCell ref="BP83:BQ83"/>
    <mergeCell ref="BL79:BM79"/>
    <mergeCell ref="BN79:BO79"/>
    <mergeCell ref="BP79:BQ79"/>
    <mergeCell ref="AY6:AY9"/>
    <mergeCell ref="AY10:AY13"/>
    <mergeCell ref="AY14:AY17"/>
    <mergeCell ref="AY18:AY21"/>
    <mergeCell ref="AY22:AY25"/>
    <mergeCell ref="AY26:AY29"/>
    <mergeCell ref="AY30:AY33"/>
    <mergeCell ref="AY38:AY41"/>
    <mergeCell ref="AY42:AY46"/>
    <mergeCell ref="AY47:AY50"/>
    <mergeCell ref="AY51:AY55"/>
    <mergeCell ref="BJ18:BJ21"/>
    <mergeCell ref="BJ22:BJ25"/>
    <mergeCell ref="AU83:AV83"/>
    <mergeCell ref="AW83:AX83"/>
    <mergeCell ref="AY83:AZ83"/>
    <mergeCell ref="BA83:BB83"/>
    <mergeCell ref="AW79:AX79"/>
    <mergeCell ref="AY79:AZ79"/>
    <mergeCell ref="AU80:AV80"/>
    <mergeCell ref="AW80:AX80"/>
    <mergeCell ref="AY80:AZ80"/>
    <mergeCell ref="AU79:AV79"/>
    <mergeCell ref="BA79:BB79"/>
    <mergeCell ref="BA80:BB80"/>
    <mergeCell ref="AP42:AP46"/>
    <mergeCell ref="AP47:AP50"/>
    <mergeCell ref="AP51:AP55"/>
    <mergeCell ref="AP104:AP107"/>
    <mergeCell ref="AS79:AT79"/>
    <mergeCell ref="AS80:AT80"/>
    <mergeCell ref="AS83:AT83"/>
    <mergeCell ref="AF104:AF107"/>
    <mergeCell ref="AF26:AF29"/>
    <mergeCell ref="AF30:AF33"/>
    <mergeCell ref="AF38:AF41"/>
    <mergeCell ref="AF42:AF46"/>
    <mergeCell ref="AF47:AF50"/>
    <mergeCell ref="AF51:AF55"/>
    <mergeCell ref="V51:V55"/>
    <mergeCell ref="V26:V29"/>
    <mergeCell ref="V30:V33"/>
    <mergeCell ref="V38:V41"/>
    <mergeCell ref="V42:V46"/>
    <mergeCell ref="V47:V50"/>
    <mergeCell ref="V18:V21"/>
    <mergeCell ref="V10:V13"/>
    <mergeCell ref="V6:V9"/>
    <mergeCell ref="V14:V17"/>
    <mergeCell ref="V22:V25"/>
    <mergeCell ref="L81:M81"/>
    <mergeCell ref="L96:M96"/>
    <mergeCell ref="L100:M100"/>
    <mergeCell ref="L95:M95"/>
    <mergeCell ref="L89:M89"/>
    <mergeCell ref="L93:M93"/>
    <mergeCell ref="L88:M88"/>
    <mergeCell ref="L82:M82"/>
    <mergeCell ref="L85:M85"/>
    <mergeCell ref="AF6:AF9"/>
    <mergeCell ref="AF10:AF13"/>
    <mergeCell ref="AF14:AF17"/>
    <mergeCell ref="AF18:AF21"/>
    <mergeCell ref="AF22:AF25"/>
    <mergeCell ref="AP26:AP29"/>
    <mergeCell ref="AP30:AP33"/>
    <mergeCell ref="AP38:AP41"/>
    <mergeCell ref="AP6:AP9"/>
    <mergeCell ref="AP10:AP13"/>
    <mergeCell ref="AP14:AP17"/>
    <mergeCell ref="AP18:AP21"/>
    <mergeCell ref="AP22:AP25"/>
    <mergeCell ref="CZ38:CZ41"/>
    <mergeCell ref="CZ42:CZ46"/>
    <mergeCell ref="DJ47:DJ50"/>
    <mergeCell ref="DJ51:DJ55"/>
    <mergeCell ref="DJ80:DJ83"/>
    <mergeCell ref="DJ6:DJ9"/>
    <mergeCell ref="DJ10:DJ13"/>
    <mergeCell ref="DJ14:DJ17"/>
    <mergeCell ref="DJ18:DJ21"/>
    <mergeCell ref="DJ22:DJ25"/>
    <mergeCell ref="DJ26:DJ29"/>
    <mergeCell ref="DJ30:DJ33"/>
    <mergeCell ref="DJ38:DJ41"/>
    <mergeCell ref="DJ42:DJ46"/>
  </mergeCells>
  <phoneticPr fontId="23" type="noConversion"/>
  <pageMargins left="0.78740157499999996" right="0.78740157499999996" top="0.984251969" bottom="0.984251969" header="0.5" footer="0.5"/>
  <pageSetup paperSize="9" orientation="portrait" horizontalDpi="4294967295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U138"/>
  <sheetViews>
    <sheetView topLeftCell="HK1" zoomScaleNormal="100" workbookViewId="0">
      <selection activeCell="HQ102" sqref="HQ102"/>
    </sheetView>
  </sheetViews>
  <sheetFormatPr defaultColWidth="11.44140625" defaultRowHeight="13.2"/>
  <cols>
    <col min="1" max="1" width="16.44140625" style="1" customWidth="1"/>
    <col min="2" max="2" width="21.33203125" style="1" customWidth="1"/>
    <col min="3" max="3" width="17.44140625" style="1" customWidth="1"/>
    <col min="4" max="5" width="15.109375" style="1" customWidth="1"/>
    <col min="6" max="7" width="13.44140625" style="1" customWidth="1"/>
    <col min="8" max="17" width="13.44140625" style="154" customWidth="1"/>
    <col min="18" max="18" width="19.6640625" style="154" customWidth="1"/>
    <col min="19" max="19" width="11.33203125" style="154" customWidth="1"/>
    <col min="20" max="20" width="17.44140625" style="154" bestFit="1" customWidth="1"/>
    <col min="21" max="21" width="14" style="154" bestFit="1" customWidth="1"/>
    <col min="22" max="23" width="13.44140625" style="154" customWidth="1"/>
    <col min="24" max="25" width="11.44140625" style="1"/>
    <col min="26" max="28" width="13.33203125" style="1" customWidth="1"/>
    <col min="29" max="29" width="17.44140625" style="1" bestFit="1" customWidth="1"/>
    <col min="30" max="30" width="16" style="1" customWidth="1"/>
    <col min="31" max="39" width="11.44140625" style="1"/>
    <col min="40" max="40" width="24.44140625" style="1" customWidth="1"/>
    <col min="41" max="41" width="35.33203125" style="1" customWidth="1"/>
    <col min="42" max="49" width="11.44140625" style="1"/>
    <col min="50" max="50" width="18.109375" style="1" customWidth="1"/>
    <col min="51" max="51" width="14.44140625" style="1" customWidth="1"/>
    <col min="52" max="52" width="13.44140625" style="1" bestFit="1" customWidth="1"/>
    <col min="53" max="53" width="13.44140625" style="1" customWidth="1"/>
    <col min="54" max="54" width="14" style="1" bestFit="1" customWidth="1"/>
    <col min="55" max="58" width="11.44140625" style="1"/>
    <col min="59" max="59" width="3.109375" style="1" customWidth="1"/>
    <col min="60" max="68" width="11.44140625" style="1"/>
    <col min="69" max="69" width="11" style="1" bestFit="1" customWidth="1"/>
    <col min="70" max="70" width="12.6640625" style="1" bestFit="1" customWidth="1"/>
    <col min="71" max="73" width="11.44140625" style="1"/>
    <col min="74" max="74" width="12.44140625" style="1" bestFit="1" customWidth="1"/>
    <col min="75" max="84" width="11.44140625" style="1"/>
    <col min="85" max="85" width="11.44140625" style="75"/>
    <col min="86" max="99" width="11.44140625" style="1"/>
    <col min="100" max="100" width="11.44140625" style="75"/>
    <col min="101" max="102" width="11.44140625" style="1"/>
    <col min="103" max="104" width="18" style="1" customWidth="1"/>
    <col min="105" max="118" width="11.44140625" style="1"/>
    <col min="119" max="119" width="11.44140625" style="75"/>
    <col min="120" max="140" width="11.44140625" style="1"/>
    <col min="141" max="141" width="11.44140625" style="75"/>
    <col min="142" max="146" width="11.44140625" style="1"/>
    <col min="147" max="147" width="11.44140625" style="1" customWidth="1"/>
    <col min="148" max="149" width="11.44140625" style="1"/>
    <col min="150" max="150" width="14" style="1" customWidth="1"/>
    <col min="151" max="152" width="11.44140625" style="1"/>
    <col min="153" max="154" width="15.44140625" style="1" customWidth="1"/>
    <col min="155" max="155" width="11.44140625" style="1"/>
    <col min="156" max="156" width="11.44140625" style="1" customWidth="1"/>
    <col min="157" max="166" width="11.44140625" style="1"/>
    <col min="167" max="167" width="11.44140625" style="75"/>
    <col min="168" max="170" width="11.44140625" style="1"/>
    <col min="171" max="171" width="14.5546875" style="1" customWidth="1"/>
    <col min="172" max="172" width="11.44140625" style="1"/>
    <col min="173" max="173" width="17.88671875" style="1" customWidth="1"/>
    <col min="174" max="174" width="18.88671875" style="1" customWidth="1"/>
    <col min="175" max="175" width="11.44140625" style="1"/>
    <col min="176" max="176" width="14" style="1" bestFit="1" customWidth="1"/>
    <col min="177" max="177" width="11.44140625" style="1"/>
    <col min="178" max="178" width="11.44140625" style="1" customWidth="1"/>
    <col min="179" max="192" width="11.44140625" style="1"/>
    <col min="193" max="193" width="11.44140625" style="75"/>
    <col min="194" max="194" width="11.44140625" style="1"/>
    <col min="195" max="195" width="15.44140625" style="1" customWidth="1"/>
    <col min="196" max="198" width="11.44140625" style="1"/>
    <col min="199" max="199" width="11.6640625" style="1" bestFit="1" customWidth="1"/>
    <col min="200" max="215" width="11.44140625" style="1"/>
    <col min="216" max="216" width="11.44140625" style="75"/>
    <col min="217" max="220" width="11.44140625" style="1"/>
    <col min="221" max="221" width="12.88671875" style="1" bestFit="1" customWidth="1"/>
    <col min="222" max="238" width="11.44140625" style="1"/>
    <col min="239" max="239" width="11.44140625" style="75"/>
    <col min="240" max="240" width="11.44140625" style="1"/>
    <col min="241" max="241" width="14.33203125" style="1" bestFit="1" customWidth="1"/>
    <col min="242" max="242" width="11.44140625" style="1"/>
    <col min="243" max="243" width="14.33203125" style="1" bestFit="1" customWidth="1"/>
    <col min="244" max="244" width="16.109375" style="1" bestFit="1" customWidth="1"/>
    <col min="245" max="16384" width="11.44140625" style="1"/>
  </cols>
  <sheetData>
    <row r="1" spans="1:255" ht="18" thickBot="1">
      <c r="A1" s="230">
        <v>2014</v>
      </c>
      <c r="B1" s="225" t="s">
        <v>298</v>
      </c>
      <c r="C1"/>
      <c r="G1"/>
      <c r="H1" s="231"/>
      <c r="M1" s="232"/>
      <c r="N1" s="232"/>
      <c r="O1" s="232"/>
      <c r="BN1" s="94" t="s">
        <v>299</v>
      </c>
    </row>
    <row r="2" spans="1:255" ht="43.8" thickBot="1">
      <c r="A2" s="223" t="s">
        <v>76</v>
      </c>
      <c r="C2"/>
      <c r="I2" s="233"/>
      <c r="J2" s="233"/>
      <c r="K2" s="233"/>
      <c r="L2" s="310" t="s">
        <v>300</v>
      </c>
      <c r="M2" s="311"/>
      <c r="N2" s="311"/>
      <c r="O2" s="311"/>
      <c r="P2" s="311"/>
      <c r="Q2" s="312"/>
      <c r="R2" s="310" t="s">
        <v>301</v>
      </c>
      <c r="S2" s="1" t="s">
        <v>302</v>
      </c>
      <c r="T2" s="1"/>
      <c r="U2" s="1"/>
      <c r="V2" s="1"/>
      <c r="W2" s="353"/>
      <c r="X2" s="353"/>
      <c r="Y2" s="353"/>
      <c r="AU2" s="425" t="s">
        <v>303</v>
      </c>
      <c r="AV2" s="426" t="s">
        <v>254</v>
      </c>
      <c r="AW2" s="426" t="s">
        <v>304</v>
      </c>
      <c r="AX2" s="426" t="s">
        <v>261</v>
      </c>
      <c r="AY2" s="1" t="s">
        <v>305</v>
      </c>
      <c r="AZ2" s="1" t="s">
        <v>305</v>
      </c>
      <c r="BN2" s="425" t="s">
        <v>303</v>
      </c>
      <c r="BO2" s="426" t="s">
        <v>254</v>
      </c>
      <c r="BP2" s="426" t="s">
        <v>304</v>
      </c>
      <c r="BQ2" s="426" t="s">
        <v>261</v>
      </c>
      <c r="BR2" s="1" t="s">
        <v>305</v>
      </c>
      <c r="BS2" s="1" t="s">
        <v>305</v>
      </c>
    </row>
    <row r="3" spans="1:255" ht="27" thickBot="1">
      <c r="A3" s="152" t="s">
        <v>306</v>
      </c>
      <c r="B3" s="1804" t="s">
        <v>307</v>
      </c>
      <c r="C3" s="1804" t="s">
        <v>308</v>
      </c>
      <c r="D3" s="1804" t="s">
        <v>309</v>
      </c>
      <c r="E3" s="1804" t="s">
        <v>310</v>
      </c>
      <c r="F3" s="1804" t="s">
        <v>29</v>
      </c>
      <c r="G3" s="1804" t="s">
        <v>45</v>
      </c>
      <c r="H3" s="1805" t="s">
        <v>311</v>
      </c>
      <c r="I3" s="1805" t="s">
        <v>312</v>
      </c>
      <c r="J3" s="946" t="s">
        <v>307</v>
      </c>
      <c r="K3" s="212" t="s">
        <v>45</v>
      </c>
      <c r="L3" s="234" t="s">
        <v>311</v>
      </c>
      <c r="M3" s="235" t="s">
        <v>312</v>
      </c>
      <c r="N3" s="235"/>
      <c r="O3" s="235"/>
      <c r="P3" s="196" t="s">
        <v>307</v>
      </c>
      <c r="Q3" s="194" t="s">
        <v>45</v>
      </c>
      <c r="R3" s="309"/>
      <c r="S3" s="1119" t="s">
        <v>313</v>
      </c>
      <c r="T3" s="1689" t="s">
        <v>314</v>
      </c>
      <c r="U3" s="1689" t="s">
        <v>314</v>
      </c>
      <c r="V3" s="1119" t="s">
        <v>315</v>
      </c>
      <c r="W3" s="1290" t="s">
        <v>316</v>
      </c>
      <c r="X3" s="1290" t="s">
        <v>317</v>
      </c>
      <c r="Y3" s="1290" t="s">
        <v>318</v>
      </c>
      <c r="Z3" s="1119" t="s">
        <v>319</v>
      </c>
      <c r="AC3" s="1" t="s">
        <v>320</v>
      </c>
      <c r="AU3" s="427" t="s">
        <v>321</v>
      </c>
      <c r="AV3" s="428" t="s">
        <v>147</v>
      </c>
      <c r="AW3" s="428" t="s">
        <v>147</v>
      </c>
      <c r="AX3" s="428" t="s">
        <v>147</v>
      </c>
      <c r="AY3" s="428" t="s">
        <v>147</v>
      </c>
      <c r="AZ3" s="428" t="s">
        <v>147</v>
      </c>
      <c r="BA3" s="428"/>
      <c r="BN3" s="427" t="s">
        <v>321</v>
      </c>
      <c r="BO3" s="428" t="s">
        <v>147</v>
      </c>
      <c r="BP3" s="428" t="s">
        <v>147</v>
      </c>
      <c r="BQ3" s="428" t="s">
        <v>147</v>
      </c>
      <c r="BR3" s="428" t="s">
        <v>147</v>
      </c>
      <c r="BS3" s="1054" t="s">
        <v>147</v>
      </c>
      <c r="BT3" s="428"/>
      <c r="CH3" s="543" t="s">
        <v>322</v>
      </c>
      <c r="CY3" s="543" t="s">
        <v>323</v>
      </c>
      <c r="CZ3" s="543"/>
    </row>
    <row r="4" spans="1:255" ht="53.4" thickBot="1">
      <c r="A4" s="1119">
        <v>5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236">
        <v>0</v>
      </c>
      <c r="I4" s="236">
        <v>0</v>
      </c>
      <c r="J4" s="236">
        <v>0</v>
      </c>
      <c r="K4" s="237">
        <v>0</v>
      </c>
      <c r="L4" s="238">
        <f t="shared" ref="L4:L47" si="0">+H4/H$47*100</f>
        <v>0</v>
      </c>
      <c r="M4" s="239">
        <f t="shared" ref="M4:M47" si="1">+I4/I$47*100</f>
        <v>0</v>
      </c>
      <c r="N4" s="240"/>
      <c r="O4" s="240"/>
      <c r="P4" s="240">
        <f t="shared" ref="P4:P47" si="2">+J4/J$47*100</f>
        <v>0</v>
      </c>
      <c r="Q4" s="239">
        <f t="shared" ref="Q4:Q47" si="3">+K4/K$47*100</f>
        <v>0</v>
      </c>
      <c r="R4" s="240"/>
      <c r="S4" s="1154"/>
      <c r="T4" s="1119" t="s">
        <v>324</v>
      </c>
      <c r="U4" s="1154" t="s">
        <v>325</v>
      </c>
      <c r="V4" s="1154" t="s">
        <v>325</v>
      </c>
      <c r="W4" s="1806" t="s">
        <v>326</v>
      </c>
      <c r="X4" s="1290"/>
      <c r="Y4" s="1290"/>
      <c r="Z4" s="1147"/>
      <c r="AA4" s="29" t="s">
        <v>327</v>
      </c>
      <c r="AB4" s="29" t="s">
        <v>328</v>
      </c>
      <c r="AC4" s="1" t="s">
        <v>320</v>
      </c>
      <c r="AD4" s="1" t="s">
        <v>329</v>
      </c>
      <c r="AE4" s="1" t="s">
        <v>330</v>
      </c>
      <c r="AU4" s="429" t="s">
        <v>5</v>
      </c>
      <c r="AV4" s="428" t="s">
        <v>298</v>
      </c>
      <c r="AW4" s="428" t="s">
        <v>298</v>
      </c>
      <c r="AX4" s="428" t="s">
        <v>331</v>
      </c>
      <c r="AY4" s="354" t="s">
        <v>332</v>
      </c>
      <c r="AZ4" s="354" t="s">
        <v>332</v>
      </c>
      <c r="BA4" s="354" t="s">
        <v>333</v>
      </c>
      <c r="BB4" s="1" t="s">
        <v>334</v>
      </c>
      <c r="BC4" s="1" t="s">
        <v>335</v>
      </c>
      <c r="BD4" s="1" t="s">
        <v>336</v>
      </c>
      <c r="BE4" s="1" t="s">
        <v>337</v>
      </c>
      <c r="BF4" s="1" t="s">
        <v>338</v>
      </c>
      <c r="BN4" s="429" t="s">
        <v>5</v>
      </c>
      <c r="BO4" s="428" t="s">
        <v>298</v>
      </c>
      <c r="BP4" s="428" t="s">
        <v>298</v>
      </c>
      <c r="BQ4" s="428" t="s">
        <v>331</v>
      </c>
      <c r="BR4" s="354" t="s">
        <v>332</v>
      </c>
      <c r="BS4" s="354" t="s">
        <v>332</v>
      </c>
      <c r="BT4" s="469" t="s">
        <v>333</v>
      </c>
      <c r="BU4" s="441" t="s">
        <v>334</v>
      </c>
      <c r="BV4" s="441" t="s">
        <v>335</v>
      </c>
      <c r="BW4" s="1" t="s">
        <v>336</v>
      </c>
      <c r="BX4" s="1" t="s">
        <v>337</v>
      </c>
      <c r="BY4" s="1" t="s">
        <v>338</v>
      </c>
      <c r="CH4" s="1" t="s">
        <v>339</v>
      </c>
      <c r="CI4" s="1" t="s">
        <v>340</v>
      </c>
      <c r="CJ4" s="1" t="s">
        <v>334</v>
      </c>
      <c r="CK4" s="1" t="s">
        <v>335</v>
      </c>
      <c r="CL4" s="1" t="s">
        <v>341</v>
      </c>
      <c r="CM4" s="1" t="s">
        <v>342</v>
      </c>
      <c r="CN4" s="1" t="s">
        <v>343</v>
      </c>
      <c r="CX4" s="1" t="s">
        <v>339</v>
      </c>
      <c r="CY4" s="1" t="s">
        <v>340</v>
      </c>
      <c r="DA4" s="1" t="s">
        <v>334</v>
      </c>
      <c r="DC4" s="1" t="s">
        <v>335</v>
      </c>
      <c r="DE4" s="1" t="s">
        <v>341</v>
      </c>
      <c r="DF4" s="1" t="s">
        <v>342</v>
      </c>
      <c r="DG4" s="1" t="s">
        <v>343</v>
      </c>
      <c r="DS4" s="543" t="s">
        <v>344</v>
      </c>
      <c r="DT4" s="543"/>
      <c r="EO4" s="543" t="s">
        <v>345</v>
      </c>
      <c r="EP4" s="543"/>
      <c r="FN4" s="543" t="s">
        <v>346</v>
      </c>
      <c r="FO4" s="543"/>
      <c r="GN4" s="543" t="s">
        <v>347</v>
      </c>
      <c r="GO4" s="543"/>
      <c r="HI4" s="543" t="s">
        <v>348</v>
      </c>
      <c r="IF4" s="543" t="s">
        <v>349</v>
      </c>
    </row>
    <row r="5" spans="1:255" ht="15" thickTop="1" thickBot="1">
      <c r="A5" s="1119">
        <v>6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236">
        <v>0</v>
      </c>
      <c r="I5" s="236">
        <v>0</v>
      </c>
      <c r="J5" s="236">
        <v>0</v>
      </c>
      <c r="K5" s="237">
        <v>0</v>
      </c>
      <c r="L5" s="241">
        <f t="shared" si="0"/>
        <v>0</v>
      </c>
      <c r="M5" s="242">
        <f t="shared" si="1"/>
        <v>0</v>
      </c>
      <c r="N5" s="240"/>
      <c r="O5" s="240"/>
      <c r="P5" s="240">
        <f t="shared" si="2"/>
        <v>0</v>
      </c>
      <c r="Q5" s="242">
        <f t="shared" si="3"/>
        <v>0</v>
      </c>
      <c r="R5" s="358"/>
      <c r="S5" s="1154">
        <v>6</v>
      </c>
      <c r="T5" s="1154">
        <v>0</v>
      </c>
      <c r="U5" s="1154">
        <v>0</v>
      </c>
      <c r="V5" s="1154">
        <v>0</v>
      </c>
      <c r="W5" s="1154">
        <v>0</v>
      </c>
      <c r="X5" s="1119"/>
      <c r="Y5" s="1119">
        <f t="shared" ref="Y5:Y46" si="4">T5+U5+V5+W5+X5</f>
        <v>0</v>
      </c>
      <c r="Z5" s="1147"/>
      <c r="AA5" s="57">
        <v>0</v>
      </c>
      <c r="AB5" s="29">
        <f t="shared" ref="AB5:AB45" si="5">(AA5/$AA$45)*100</f>
        <v>0</v>
      </c>
      <c r="AC5" s="57">
        <f t="shared" ref="AC5:AC46" si="6">W5+X5</f>
        <v>0</v>
      </c>
      <c r="AD5" s="1">
        <f t="shared" ref="AD5:AD45" si="7">(AC5/$AC$45)*100</f>
        <v>0</v>
      </c>
      <c r="AE5" s="1">
        <f t="shared" ref="AE5:AE45" si="8">(Z5/$Z$45)*100</f>
        <v>0</v>
      </c>
      <c r="AU5" s="137">
        <v>10</v>
      </c>
      <c r="AV5" s="431">
        <v>0</v>
      </c>
      <c r="AW5" s="431">
        <v>0</v>
      </c>
      <c r="AX5" s="431">
        <v>0</v>
      </c>
      <c r="AY5" s="431"/>
      <c r="AZ5" s="434"/>
      <c r="BA5" s="435">
        <v>0</v>
      </c>
      <c r="BB5" s="2">
        <v>0</v>
      </c>
      <c r="BC5" s="1">
        <v>0</v>
      </c>
      <c r="BD5" s="1">
        <f t="shared" ref="BD5:BD46" si="9">BA5/$BA$46</f>
        <v>0</v>
      </c>
      <c r="BE5" s="1">
        <f t="shared" ref="BE5:BE46" si="10">BB5/$BB$46</f>
        <v>0</v>
      </c>
      <c r="BF5" s="1">
        <f t="shared" ref="BF5:BF46" si="11">BC5/$BC$46</f>
        <v>0</v>
      </c>
      <c r="BN5" s="137">
        <v>10</v>
      </c>
      <c r="BO5" s="1807"/>
      <c r="BP5" s="1807"/>
      <c r="BQ5" s="1808">
        <v>3280.2686770537848</v>
      </c>
      <c r="BR5" s="1147"/>
      <c r="BS5" s="468"/>
      <c r="BT5" s="470">
        <f t="shared" ref="BT5:BT48" si="12">BO5+BP5</f>
        <v>0</v>
      </c>
      <c r="BU5" s="467">
        <f t="shared" ref="BU5:BU48" si="13">BQ5</f>
        <v>3280.2686770537848</v>
      </c>
      <c r="BV5" s="470">
        <f t="shared" ref="BV5:BV48" si="14">BR5</f>
        <v>0</v>
      </c>
      <c r="BW5" s="1">
        <f t="shared" ref="BW5:BW46" si="15">BT5/$BT$46</f>
        <v>0</v>
      </c>
      <c r="BX5" s="1">
        <f t="shared" ref="BX5:BX46" si="16">BU5/$BU$46</f>
        <v>1.9181981298632994E-5</v>
      </c>
      <c r="BY5" s="1">
        <f t="shared" ref="BY5:BY46" si="17">BV5/$BV$46</f>
        <v>0</v>
      </c>
      <c r="CH5" s="1">
        <v>5</v>
      </c>
      <c r="CI5" s="1">
        <v>0</v>
      </c>
      <c r="CJ5" s="1">
        <v>0</v>
      </c>
      <c r="CK5" s="1">
        <v>0</v>
      </c>
      <c r="CL5" s="1">
        <f t="shared" ref="CL5:CL51" si="18">CI5/CI$51</f>
        <v>0</v>
      </c>
      <c r="CM5" s="1">
        <f t="shared" ref="CM5:CM51" si="19">CJ5/CJ$51</f>
        <v>0</v>
      </c>
      <c r="CN5" s="1">
        <f t="shared" ref="CN5:CN51" si="20">CK5/CK$51</f>
        <v>0</v>
      </c>
      <c r="CX5" s="1">
        <v>5</v>
      </c>
      <c r="DQ5" s="1" t="s">
        <v>339</v>
      </c>
      <c r="DR5" s="1" t="s">
        <v>350</v>
      </c>
      <c r="DS5" s="1" t="s">
        <v>340</v>
      </c>
      <c r="DT5" s="1" t="s">
        <v>351</v>
      </c>
      <c r="DU5" s="1" t="s">
        <v>352</v>
      </c>
      <c r="DX5" s="1" t="s">
        <v>318</v>
      </c>
      <c r="DY5" s="1" t="s">
        <v>335</v>
      </c>
      <c r="DZ5" s="1" t="s">
        <v>353</v>
      </c>
      <c r="EA5" s="1" t="s">
        <v>341</v>
      </c>
      <c r="EB5" s="1" t="s">
        <v>342</v>
      </c>
      <c r="EC5" s="1" t="s">
        <v>343</v>
      </c>
      <c r="EM5" s="1" t="s">
        <v>339</v>
      </c>
      <c r="EN5" s="1" t="s">
        <v>350</v>
      </c>
      <c r="EO5" s="1" t="s">
        <v>340</v>
      </c>
      <c r="EP5" s="1" t="s">
        <v>351</v>
      </c>
      <c r="EQ5" s="1" t="s">
        <v>352</v>
      </c>
      <c r="ER5" s="1" t="s">
        <v>354</v>
      </c>
      <c r="ES5" s="1" t="s">
        <v>355</v>
      </c>
      <c r="ET5" s="1" t="s">
        <v>318</v>
      </c>
      <c r="EU5" s="1" t="s">
        <v>356</v>
      </c>
      <c r="EV5" s="1" t="s">
        <v>357</v>
      </c>
      <c r="EW5" s="1" t="s">
        <v>358</v>
      </c>
      <c r="EX5" s="1" t="s">
        <v>359</v>
      </c>
      <c r="EY5" s="1" t="s">
        <v>341</v>
      </c>
      <c r="EZ5" s="1" t="s">
        <v>342</v>
      </c>
      <c r="FA5" s="1" t="s">
        <v>343</v>
      </c>
      <c r="FL5" s="1" t="s">
        <v>339</v>
      </c>
      <c r="FM5" s="1" t="s">
        <v>350</v>
      </c>
      <c r="FN5" s="1" t="s">
        <v>360</v>
      </c>
      <c r="FO5" s="1" t="s">
        <v>351</v>
      </c>
      <c r="FP5" s="1" t="s">
        <v>352</v>
      </c>
      <c r="FQ5" s="1" t="s">
        <v>354</v>
      </c>
      <c r="FR5" s="1" t="s">
        <v>355</v>
      </c>
      <c r="FS5" s="1" t="s">
        <v>18</v>
      </c>
      <c r="FT5" s="1" t="s">
        <v>356</v>
      </c>
      <c r="FU5" s="1" t="s">
        <v>361</v>
      </c>
      <c r="FV5" s="1" t="s">
        <v>362</v>
      </c>
      <c r="FW5" s="1" t="s">
        <v>363</v>
      </c>
      <c r="FX5" s="1" t="s">
        <v>341</v>
      </c>
      <c r="FY5" s="1" t="s">
        <v>342</v>
      </c>
      <c r="FZ5" s="1" t="s">
        <v>343</v>
      </c>
      <c r="GL5" s="1" t="s">
        <v>339</v>
      </c>
      <c r="GM5" s="1" t="s">
        <v>350</v>
      </c>
      <c r="GN5" s="1" t="s">
        <v>340</v>
      </c>
      <c r="GO5" s="1" t="s">
        <v>351</v>
      </c>
      <c r="GP5" s="1" t="s">
        <v>352</v>
      </c>
      <c r="GQ5" s="1" t="s">
        <v>354</v>
      </c>
      <c r="GR5" s="1" t="s">
        <v>318</v>
      </c>
      <c r="GS5" s="1" t="s">
        <v>356</v>
      </c>
      <c r="GT5" s="1" t="s">
        <v>364</v>
      </c>
      <c r="GU5" s="1" t="s">
        <v>358</v>
      </c>
      <c r="GV5" s="1" t="s">
        <v>359</v>
      </c>
      <c r="GW5" s="1" t="s">
        <v>341</v>
      </c>
      <c r="GX5" s="1" t="s">
        <v>342</v>
      </c>
      <c r="GY5" s="1" t="s">
        <v>343</v>
      </c>
      <c r="HI5" s="1" t="s">
        <v>339</v>
      </c>
      <c r="HJ5" s="1" t="s">
        <v>350</v>
      </c>
      <c r="HK5" s="1" t="s">
        <v>340</v>
      </c>
      <c r="HL5" s="1" t="s">
        <v>351</v>
      </c>
      <c r="HM5" s="1" t="s">
        <v>352</v>
      </c>
      <c r="HN5" s="1" t="s">
        <v>354</v>
      </c>
      <c r="HO5" s="1" t="s">
        <v>318</v>
      </c>
      <c r="HP5" s="1" t="s">
        <v>365</v>
      </c>
      <c r="HQ5" s="1" t="s">
        <v>366</v>
      </c>
      <c r="HR5" s="1" t="s">
        <v>367</v>
      </c>
      <c r="HS5" s="1" t="s">
        <v>368</v>
      </c>
      <c r="HT5" s="1" t="s">
        <v>359</v>
      </c>
      <c r="HU5" s="1" t="s">
        <v>341</v>
      </c>
      <c r="HV5" s="1" t="s">
        <v>342</v>
      </c>
      <c r="HW5" s="1" t="s">
        <v>343</v>
      </c>
      <c r="HX5" s="1" t="s">
        <v>369</v>
      </c>
      <c r="IF5" s="1" t="s">
        <v>339</v>
      </c>
      <c r="IG5" s="1" t="s">
        <v>350</v>
      </c>
      <c r="IH5" s="1" t="s">
        <v>340</v>
      </c>
      <c r="II5" s="1" t="s">
        <v>351</v>
      </c>
      <c r="IJ5" s="1" t="s">
        <v>352</v>
      </c>
      <c r="IK5" s="1" t="s">
        <v>354</v>
      </c>
      <c r="IL5" s="1" t="s">
        <v>318</v>
      </c>
      <c r="IM5" s="1" t="s">
        <v>365</v>
      </c>
      <c r="IN5" s="1" t="s">
        <v>366</v>
      </c>
      <c r="IO5" s="1" t="s">
        <v>367</v>
      </c>
      <c r="IP5" s="1" t="s">
        <v>368</v>
      </c>
      <c r="IQ5" s="1" t="s">
        <v>359</v>
      </c>
      <c r="IR5" s="1" t="s">
        <v>341</v>
      </c>
      <c r="IS5" s="1" t="s">
        <v>342</v>
      </c>
      <c r="IT5" s="1" t="s">
        <v>343</v>
      </c>
      <c r="IU5" s="1" t="s">
        <v>369</v>
      </c>
    </row>
    <row r="6" spans="1:255" ht="18" thickTop="1">
      <c r="A6" s="1119">
        <v>7</v>
      </c>
      <c r="B6" s="2">
        <v>0</v>
      </c>
      <c r="C6" s="2"/>
      <c r="D6" s="2">
        <v>0</v>
      </c>
      <c r="E6" s="2">
        <v>0</v>
      </c>
      <c r="F6" s="2"/>
      <c r="G6" s="13">
        <f t="shared" ref="G6:G46" si="21">SUM(B6:F6)</f>
        <v>0</v>
      </c>
      <c r="H6" s="243">
        <v>0</v>
      </c>
      <c r="I6" s="244">
        <v>0</v>
      </c>
      <c r="J6" s="245">
        <v>0</v>
      </c>
      <c r="K6" s="246">
        <f>SUM(F6:J6)</f>
        <v>0</v>
      </c>
      <c r="L6" s="241">
        <f t="shared" si="0"/>
        <v>0</v>
      </c>
      <c r="M6" s="242">
        <f t="shared" si="1"/>
        <v>0</v>
      </c>
      <c r="N6" s="240"/>
      <c r="O6" s="240"/>
      <c r="P6" s="240">
        <f t="shared" si="2"/>
        <v>0</v>
      </c>
      <c r="Q6" s="242">
        <f t="shared" si="3"/>
        <v>0</v>
      </c>
      <c r="R6" s="358"/>
      <c r="S6" s="1154">
        <v>7</v>
      </c>
      <c r="T6" s="1154">
        <v>0</v>
      </c>
      <c r="U6" s="1154">
        <v>0</v>
      </c>
      <c r="V6" s="1154">
        <v>0</v>
      </c>
      <c r="W6" s="1154">
        <v>0</v>
      </c>
      <c r="X6" s="1119"/>
      <c r="Y6" s="1119">
        <f t="shared" si="4"/>
        <v>0</v>
      </c>
      <c r="Z6" s="1147"/>
      <c r="AA6" s="57">
        <v>0</v>
      </c>
      <c r="AB6" s="29">
        <f t="shared" si="5"/>
        <v>0</v>
      </c>
      <c r="AC6" s="57">
        <f t="shared" si="6"/>
        <v>0</v>
      </c>
      <c r="AD6" s="1">
        <f t="shared" si="7"/>
        <v>0</v>
      </c>
      <c r="AE6" s="1">
        <f t="shared" si="8"/>
        <v>0</v>
      </c>
      <c r="AU6" s="137">
        <v>11</v>
      </c>
      <c r="AV6" s="431">
        <v>0</v>
      </c>
      <c r="AW6" s="431">
        <v>8012551.6815543333</v>
      </c>
      <c r="AX6" s="431">
        <v>0</v>
      </c>
      <c r="AY6" s="431"/>
      <c r="BA6" s="435">
        <v>8012551.6815543333</v>
      </c>
      <c r="BB6" s="2">
        <v>0</v>
      </c>
      <c r="BC6" s="1">
        <v>0</v>
      </c>
      <c r="BD6" s="1">
        <f t="shared" si="9"/>
        <v>8.1230724682057637E-2</v>
      </c>
      <c r="BE6" s="1">
        <f t="shared" si="10"/>
        <v>0</v>
      </c>
      <c r="BF6" s="1">
        <f t="shared" si="11"/>
        <v>0</v>
      </c>
      <c r="BN6" s="137">
        <v>11</v>
      </c>
      <c r="BO6" s="1807"/>
      <c r="BP6" s="1807"/>
      <c r="BQ6" s="1808">
        <v>79474.877731113578</v>
      </c>
      <c r="BR6" s="1147"/>
      <c r="BT6" s="470">
        <f t="shared" si="12"/>
        <v>0</v>
      </c>
      <c r="BU6" s="467">
        <f t="shared" si="13"/>
        <v>79474.877731113578</v>
      </c>
      <c r="BV6" s="470">
        <f t="shared" si="14"/>
        <v>0</v>
      </c>
      <c r="BW6" s="1">
        <f t="shared" si="15"/>
        <v>0</v>
      </c>
      <c r="BX6" s="1">
        <f t="shared" si="16"/>
        <v>4.6474413178819267E-4</v>
      </c>
      <c r="BY6" s="1">
        <f t="shared" si="17"/>
        <v>0</v>
      </c>
      <c r="CH6" s="1">
        <v>6</v>
      </c>
      <c r="CI6" s="1">
        <v>0</v>
      </c>
      <c r="CJ6" s="1">
        <v>0</v>
      </c>
      <c r="CK6" s="1">
        <v>0</v>
      </c>
      <c r="CL6" s="1">
        <f t="shared" si="18"/>
        <v>0</v>
      </c>
      <c r="CM6" s="1">
        <f t="shared" si="19"/>
        <v>0</v>
      </c>
      <c r="CN6" s="1">
        <f t="shared" si="20"/>
        <v>0</v>
      </c>
      <c r="CX6" s="1">
        <v>6</v>
      </c>
      <c r="CY6" s="1">
        <v>0</v>
      </c>
      <c r="DE6" s="1">
        <f t="shared" ref="DE6:DE39" si="22">CY6/CY$51</f>
        <v>0</v>
      </c>
      <c r="FL6" s="94"/>
      <c r="FM6" s="94"/>
      <c r="FN6" s="94"/>
      <c r="FO6" s="94"/>
      <c r="FP6" s="94"/>
      <c r="FQ6" s="94"/>
      <c r="FR6" s="94"/>
      <c r="FS6" s="94"/>
      <c r="FT6" s="94"/>
      <c r="FU6" s="94"/>
      <c r="FV6" s="94"/>
      <c r="FW6" s="94"/>
      <c r="FX6" s="94"/>
      <c r="FY6" s="94"/>
      <c r="FZ6" s="94"/>
      <c r="GA6" s="94"/>
      <c r="GL6" s="94"/>
    </row>
    <row r="7" spans="1:255" ht="13.8">
      <c r="A7" s="1119">
        <v>8</v>
      </c>
      <c r="B7" s="2">
        <v>0</v>
      </c>
      <c r="C7" s="2"/>
      <c r="D7" s="2">
        <v>0</v>
      </c>
      <c r="E7" s="2">
        <v>0</v>
      </c>
      <c r="F7" s="2"/>
      <c r="G7" s="13">
        <f t="shared" si="21"/>
        <v>0</v>
      </c>
      <c r="H7" s="243">
        <v>0</v>
      </c>
      <c r="I7" s="244">
        <v>0</v>
      </c>
      <c r="J7" s="245">
        <v>0</v>
      </c>
      <c r="K7" s="246">
        <f>SUM(F7:J7)</f>
        <v>0</v>
      </c>
      <c r="L7" s="241">
        <f t="shared" si="0"/>
        <v>0</v>
      </c>
      <c r="M7" s="242">
        <f t="shared" si="1"/>
        <v>0</v>
      </c>
      <c r="N7" s="240"/>
      <c r="O7" s="240"/>
      <c r="P7" s="240">
        <f t="shared" si="2"/>
        <v>0</v>
      </c>
      <c r="Q7" s="242">
        <f t="shared" si="3"/>
        <v>0</v>
      </c>
      <c r="R7" s="358"/>
      <c r="S7" s="1154">
        <v>8</v>
      </c>
      <c r="T7" s="1154">
        <v>0</v>
      </c>
      <c r="U7" s="1155">
        <v>29519.835251335673</v>
      </c>
      <c r="V7" s="1154">
        <v>0</v>
      </c>
      <c r="W7" s="1154">
        <v>0</v>
      </c>
      <c r="X7" s="1119"/>
      <c r="Y7" s="1119">
        <f t="shared" si="4"/>
        <v>29519.835251335673</v>
      </c>
      <c r="Z7" s="1147"/>
      <c r="AA7" s="57">
        <v>0</v>
      </c>
      <c r="AB7" s="29">
        <f t="shared" si="5"/>
        <v>0</v>
      </c>
      <c r="AC7" s="57">
        <f t="shared" si="6"/>
        <v>0</v>
      </c>
      <c r="AD7" s="1">
        <f t="shared" si="7"/>
        <v>0</v>
      </c>
      <c r="AE7" s="1">
        <f t="shared" si="8"/>
        <v>0</v>
      </c>
      <c r="AU7" s="137">
        <v>12</v>
      </c>
      <c r="AV7" s="431">
        <v>0</v>
      </c>
      <c r="AW7" s="431">
        <v>17093443.587315913</v>
      </c>
      <c r="AX7" s="431">
        <v>0</v>
      </c>
      <c r="AY7" s="431"/>
      <c r="BA7" s="435">
        <v>17093443.587315913</v>
      </c>
      <c r="BB7" s="2">
        <v>0</v>
      </c>
      <c r="BC7" s="1">
        <v>0</v>
      </c>
      <c r="BD7" s="1">
        <f t="shared" si="9"/>
        <v>0.17329221265505632</v>
      </c>
      <c r="BE7" s="1">
        <f t="shared" si="10"/>
        <v>0</v>
      </c>
      <c r="BF7" s="1">
        <f t="shared" si="11"/>
        <v>0</v>
      </c>
      <c r="BN7" s="137">
        <v>12</v>
      </c>
      <c r="BO7" s="1807"/>
      <c r="BP7" s="1807"/>
      <c r="BQ7" s="1808">
        <v>231670.89866909219</v>
      </c>
      <c r="BR7" s="1147"/>
      <c r="BT7" s="470">
        <f t="shared" si="12"/>
        <v>0</v>
      </c>
      <c r="BU7" s="467">
        <f t="shared" si="13"/>
        <v>231670.89866909219</v>
      </c>
      <c r="BV7" s="470">
        <f t="shared" si="14"/>
        <v>0</v>
      </c>
      <c r="BW7" s="1">
        <f t="shared" si="15"/>
        <v>0</v>
      </c>
      <c r="BX7" s="1">
        <f t="shared" si="16"/>
        <v>1.3547386763755516E-3</v>
      </c>
      <c r="BY7" s="1">
        <f t="shared" si="17"/>
        <v>0</v>
      </c>
      <c r="CH7" s="1">
        <v>7</v>
      </c>
      <c r="CI7" s="1">
        <v>0</v>
      </c>
      <c r="CJ7" s="1">
        <v>0</v>
      </c>
      <c r="CK7" s="1">
        <v>0</v>
      </c>
      <c r="CL7" s="1">
        <f t="shared" si="18"/>
        <v>0</v>
      </c>
      <c r="CM7" s="1">
        <f t="shared" si="19"/>
        <v>0</v>
      </c>
      <c r="CN7" s="1">
        <f t="shared" si="20"/>
        <v>0</v>
      </c>
      <c r="CX7" s="1">
        <v>7</v>
      </c>
      <c r="CY7" s="2">
        <v>38100363.217469513</v>
      </c>
      <c r="CZ7" s="2">
        <f t="shared" ref="CZ7:CZ43" si="23">CY7*$CY$55</f>
        <v>62561660.336372308</v>
      </c>
      <c r="DE7" s="1">
        <f t="shared" si="22"/>
        <v>9.9108908342018284E-2</v>
      </c>
    </row>
    <row r="8" spans="1:255" ht="14.4">
      <c r="A8" s="1119">
        <v>9</v>
      </c>
      <c r="B8" s="2">
        <v>0</v>
      </c>
      <c r="C8" s="2"/>
      <c r="D8" s="2">
        <v>0</v>
      </c>
      <c r="E8" s="2">
        <v>0</v>
      </c>
      <c r="F8" s="2"/>
      <c r="G8" s="13">
        <f t="shared" si="21"/>
        <v>0</v>
      </c>
      <c r="H8" s="243">
        <v>0</v>
      </c>
      <c r="I8" s="244">
        <v>0</v>
      </c>
      <c r="J8" s="245">
        <v>0</v>
      </c>
      <c r="K8" s="246">
        <f>SUM(F8:J8)</f>
        <v>0</v>
      </c>
      <c r="L8" s="241">
        <f t="shared" si="0"/>
        <v>0</v>
      </c>
      <c r="M8" s="242">
        <f t="shared" si="1"/>
        <v>0</v>
      </c>
      <c r="N8" s="240"/>
      <c r="O8" s="240"/>
      <c r="P8" s="240">
        <f t="shared" si="2"/>
        <v>0</v>
      </c>
      <c r="Q8" s="242">
        <f t="shared" si="3"/>
        <v>0</v>
      </c>
      <c r="R8" s="358"/>
      <c r="S8" s="1154">
        <v>9</v>
      </c>
      <c r="T8" s="1155"/>
      <c r="U8" s="1155">
        <v>2367.0178750600835</v>
      </c>
      <c r="V8" s="1155"/>
      <c r="W8" s="1155"/>
      <c r="X8" s="1119"/>
      <c r="Y8" s="1119">
        <f t="shared" si="4"/>
        <v>2367.0178750600835</v>
      </c>
      <c r="Z8" s="1147"/>
      <c r="AA8" s="57">
        <v>0</v>
      </c>
      <c r="AB8" s="29">
        <f t="shared" si="5"/>
        <v>0</v>
      </c>
      <c r="AC8" s="57">
        <f t="shared" si="6"/>
        <v>0</v>
      </c>
      <c r="AD8" s="1">
        <f t="shared" si="7"/>
        <v>0</v>
      </c>
      <c r="AE8" s="1">
        <f t="shared" si="8"/>
        <v>0</v>
      </c>
      <c r="AU8" s="137">
        <v>13</v>
      </c>
      <c r="AV8" s="431">
        <v>0</v>
      </c>
      <c r="AW8" s="431">
        <v>2016713.0775419432</v>
      </c>
      <c r="AX8" s="431">
        <v>0</v>
      </c>
      <c r="AY8" s="431"/>
      <c r="BA8" s="435">
        <v>2016713.0775419432</v>
      </c>
      <c r="BB8" s="2">
        <v>0</v>
      </c>
      <c r="BC8" s="1">
        <v>0</v>
      </c>
      <c r="BD8" s="1">
        <f t="shared" si="9"/>
        <v>2.0445305225505382E-2</v>
      </c>
      <c r="BE8" s="1">
        <f t="shared" si="10"/>
        <v>0</v>
      </c>
      <c r="BF8" s="1">
        <f t="shared" si="11"/>
        <v>0</v>
      </c>
      <c r="BN8" s="137">
        <v>13</v>
      </c>
      <c r="BO8" s="1807"/>
      <c r="BP8" s="1807"/>
      <c r="BQ8" s="1808">
        <v>541833.81815761072</v>
      </c>
      <c r="BR8" s="1147"/>
      <c r="BT8" s="470">
        <f t="shared" si="12"/>
        <v>0</v>
      </c>
      <c r="BU8" s="467">
        <f t="shared" si="13"/>
        <v>541833.81815761072</v>
      </c>
      <c r="BV8" s="470">
        <f t="shared" si="14"/>
        <v>0</v>
      </c>
      <c r="BW8" s="1">
        <f t="shared" si="15"/>
        <v>0</v>
      </c>
      <c r="BX8" s="1">
        <f t="shared" si="16"/>
        <v>3.1684740459129728E-3</v>
      </c>
      <c r="BY8" s="1">
        <f t="shared" si="17"/>
        <v>0</v>
      </c>
      <c r="CH8" s="1">
        <v>8</v>
      </c>
      <c r="CI8" s="1">
        <v>0</v>
      </c>
      <c r="CJ8" s="1">
        <v>0</v>
      </c>
      <c r="CK8" s="1">
        <v>0</v>
      </c>
      <c r="CL8" s="1">
        <f t="shared" si="18"/>
        <v>0</v>
      </c>
      <c r="CM8" s="1">
        <f t="shared" si="19"/>
        <v>0</v>
      </c>
      <c r="CN8" s="1">
        <f t="shared" si="20"/>
        <v>0</v>
      </c>
      <c r="CX8" s="1">
        <v>8</v>
      </c>
      <c r="CY8" s="2">
        <v>36300102.737333462</v>
      </c>
      <c r="CZ8" s="2">
        <f t="shared" si="23"/>
        <v>59605591.806725718</v>
      </c>
      <c r="DA8" s="2"/>
      <c r="DB8" s="2"/>
      <c r="DC8" s="2"/>
      <c r="DD8" s="2"/>
      <c r="DE8" s="1">
        <f t="shared" si="22"/>
        <v>9.4425964772709911E-2</v>
      </c>
      <c r="DQ8" s="1809">
        <v>7</v>
      </c>
      <c r="DR8" s="1810">
        <v>0</v>
      </c>
      <c r="DS8" s="947">
        <v>0</v>
      </c>
      <c r="DT8" s="833">
        <v>0</v>
      </c>
      <c r="DV8" s="1">
        <v>0</v>
      </c>
      <c r="DW8" s="2">
        <f t="shared" ref="DW8:DW50" si="24">DV8*$DV$55</f>
        <v>0</v>
      </c>
      <c r="DX8" s="2">
        <f t="shared" ref="DX8:DX50" si="25">DR8+DS8+DW8</f>
        <v>0</v>
      </c>
      <c r="DZ8" s="2">
        <f t="shared" ref="DZ8:DZ50" si="26">DY8*$DZ$55</f>
        <v>0</v>
      </c>
      <c r="EA8" s="1">
        <f>(DS8/DS$51)*100</f>
        <v>0</v>
      </c>
      <c r="EB8" s="1">
        <f>(DU8/DU$51)*100</f>
        <v>0</v>
      </c>
      <c r="EC8" s="1">
        <f>(DY8/DY$51)*100</f>
        <v>0</v>
      </c>
      <c r="EM8" s="1809">
        <v>7</v>
      </c>
      <c r="EO8" s="20">
        <v>75961.836261428121</v>
      </c>
      <c r="EP8" s="1">
        <v>0</v>
      </c>
      <c r="EQ8" s="1">
        <v>0</v>
      </c>
      <c r="ER8" s="1">
        <f t="shared" ref="ER8:ER52" si="27">EP8+EQ8</f>
        <v>0</v>
      </c>
      <c r="ES8" s="2">
        <f t="shared" ref="ES8:ES50" si="28">ER8*$ER$55</f>
        <v>0</v>
      </c>
      <c r="ET8" s="2">
        <f t="shared" ref="ET8:ET48" si="29">EN8+EO8+ES8</f>
        <v>75961.836261428121</v>
      </c>
      <c r="EU8" s="1">
        <v>0</v>
      </c>
      <c r="EV8" s="1">
        <v>0</v>
      </c>
      <c r="EW8" s="2">
        <f t="shared" ref="EW8:EW49" si="30">EV8*$EV$55</f>
        <v>0</v>
      </c>
      <c r="EX8" s="2">
        <f t="shared" ref="EX8:EX50" si="31">EU8+EW8</f>
        <v>0</v>
      </c>
      <c r="EY8" s="1">
        <f>(EO8/EO$51)*100</f>
        <v>5.1020795118629218E-2</v>
      </c>
      <c r="EZ8" s="1">
        <f>(ER8/ER$51)*100</f>
        <v>0</v>
      </c>
      <c r="FA8" s="1">
        <f>(EX8/EX$51)*100</f>
        <v>0</v>
      </c>
      <c r="FL8" s="1809">
        <v>7</v>
      </c>
      <c r="FN8" s="1">
        <v>5157</v>
      </c>
      <c r="FV8" s="1">
        <f>FM8+FN8+FR8+FU8</f>
        <v>5157</v>
      </c>
      <c r="FW8" s="1">
        <f>FV8*$FV$54</f>
        <v>6571.3057093081661</v>
      </c>
      <c r="GL8" s="1809">
        <v>7</v>
      </c>
      <c r="HI8" s="1809">
        <v>7</v>
      </c>
      <c r="IF8" s="1809">
        <v>7</v>
      </c>
    </row>
    <row r="9" spans="1:255" ht="15" thickBot="1">
      <c r="A9" s="1119">
        <v>10</v>
      </c>
      <c r="B9" s="2">
        <v>987503.52031867299</v>
      </c>
      <c r="C9" s="2"/>
      <c r="D9" s="2">
        <v>0</v>
      </c>
      <c r="E9" s="2">
        <v>0</v>
      </c>
      <c r="F9" s="2"/>
      <c r="G9" s="13">
        <f t="shared" si="21"/>
        <v>987503.52031867299</v>
      </c>
      <c r="H9" s="243">
        <v>0</v>
      </c>
      <c r="I9" s="244">
        <v>0</v>
      </c>
      <c r="J9" s="245">
        <v>987503.52031867299</v>
      </c>
      <c r="K9" s="246">
        <f t="shared" ref="K9:K47" si="32">SUM(H9:J9)</f>
        <v>987503.52031867299</v>
      </c>
      <c r="L9" s="241">
        <f t="shared" si="0"/>
        <v>0</v>
      </c>
      <c r="M9" s="242">
        <f t="shared" si="1"/>
        <v>0</v>
      </c>
      <c r="N9" s="240"/>
      <c r="O9" s="240"/>
      <c r="P9" s="240">
        <f t="shared" si="2"/>
        <v>4.0588406159352441</v>
      </c>
      <c r="Q9" s="242">
        <f t="shared" si="3"/>
        <v>0.78626465495139353</v>
      </c>
      <c r="R9" s="358"/>
      <c r="S9" s="1154">
        <v>10</v>
      </c>
      <c r="T9" s="1155">
        <v>43713.892681759156</v>
      </c>
      <c r="U9" s="1155">
        <v>1682.6707955033346</v>
      </c>
      <c r="V9" s="1155">
        <v>0</v>
      </c>
      <c r="W9" s="1155">
        <v>5257.1022727272721</v>
      </c>
      <c r="X9" s="1119"/>
      <c r="Y9" s="1119">
        <f t="shared" si="4"/>
        <v>50653.665749989763</v>
      </c>
      <c r="Z9" s="1147"/>
      <c r="AA9" s="57">
        <v>2409.9343401008987</v>
      </c>
      <c r="AB9" s="29">
        <f t="shared" si="5"/>
        <v>0.94228429449605622</v>
      </c>
      <c r="AC9" s="57">
        <f t="shared" si="6"/>
        <v>5257.1022727272721</v>
      </c>
      <c r="AD9" s="1">
        <f t="shared" si="7"/>
        <v>2.3343737751781593E-3</v>
      </c>
      <c r="AE9" s="1">
        <f t="shared" si="8"/>
        <v>0</v>
      </c>
      <c r="AU9" s="137">
        <v>14</v>
      </c>
      <c r="AV9" s="431">
        <v>0</v>
      </c>
      <c r="AW9" s="431">
        <v>3226740.9240671094</v>
      </c>
      <c r="AX9" s="431">
        <v>0</v>
      </c>
      <c r="AY9" s="431"/>
      <c r="BA9" s="435">
        <v>3226740.9240671094</v>
      </c>
      <c r="BB9" s="2">
        <v>0</v>
      </c>
      <c r="BC9" s="1">
        <v>0</v>
      </c>
      <c r="BD9" s="1">
        <f t="shared" si="9"/>
        <v>3.271248836080861E-2</v>
      </c>
      <c r="BE9" s="1">
        <f t="shared" si="10"/>
        <v>0</v>
      </c>
      <c r="BF9" s="1">
        <f t="shared" si="11"/>
        <v>0</v>
      </c>
      <c r="BN9" s="137">
        <v>14</v>
      </c>
      <c r="BO9" s="1807"/>
      <c r="BP9" s="1807"/>
      <c r="BQ9" s="1808">
        <v>788670.0520427241</v>
      </c>
      <c r="BR9" s="1147"/>
      <c r="BT9" s="470">
        <f t="shared" si="12"/>
        <v>0</v>
      </c>
      <c r="BU9" s="467">
        <f t="shared" si="13"/>
        <v>788670.0520427241</v>
      </c>
      <c r="BV9" s="470">
        <f t="shared" si="14"/>
        <v>0</v>
      </c>
      <c r="BW9" s="1">
        <f t="shared" si="15"/>
        <v>0</v>
      </c>
      <c r="BX9" s="1">
        <f t="shared" si="16"/>
        <v>4.6118948410845051E-3</v>
      </c>
      <c r="BY9" s="1">
        <f t="shared" si="17"/>
        <v>0</v>
      </c>
      <c r="CH9" s="1">
        <v>9</v>
      </c>
      <c r="CI9" s="1">
        <v>0</v>
      </c>
      <c r="CJ9" s="1">
        <v>0</v>
      </c>
      <c r="CK9" s="1">
        <v>0</v>
      </c>
      <c r="CL9" s="1">
        <f t="shared" si="18"/>
        <v>0</v>
      </c>
      <c r="CM9" s="1">
        <f t="shared" si="19"/>
        <v>0</v>
      </c>
      <c r="CN9" s="1">
        <f t="shared" si="20"/>
        <v>0</v>
      </c>
      <c r="CX9" s="1">
        <v>9</v>
      </c>
      <c r="CY9" s="2">
        <v>49172083.454571977</v>
      </c>
      <c r="CZ9" s="2">
        <f t="shared" si="23"/>
        <v>80741676.019145325</v>
      </c>
      <c r="DA9" s="2"/>
      <c r="DB9" s="2"/>
      <c r="DC9" s="2"/>
      <c r="DD9" s="2"/>
      <c r="DE9" s="1">
        <f t="shared" si="22"/>
        <v>0.12790931898126195</v>
      </c>
      <c r="DQ9" s="1809">
        <v>8</v>
      </c>
      <c r="DR9" s="1810"/>
      <c r="DS9" s="947">
        <v>4933181.8530650781</v>
      </c>
      <c r="DT9" s="833">
        <v>0</v>
      </c>
      <c r="DV9" s="1">
        <v>0</v>
      </c>
      <c r="DW9" s="2">
        <f t="shared" si="24"/>
        <v>0</v>
      </c>
      <c r="DX9" s="2">
        <f t="shared" si="25"/>
        <v>4933181.8530650781</v>
      </c>
      <c r="DZ9" s="2">
        <f t="shared" si="26"/>
        <v>0</v>
      </c>
      <c r="EA9" s="1">
        <f t="shared" ref="EA9:EA49" si="33">(DS9/DS$51)*100</f>
        <v>1.8018007950364845</v>
      </c>
      <c r="EB9" s="1">
        <f t="shared" ref="EB9:EB49" si="34">(DU9/DU$51)*100</f>
        <v>0</v>
      </c>
      <c r="EC9" s="1">
        <f t="shared" ref="EC9:EC49" si="35">(DY9/DY$51)*100</f>
        <v>0</v>
      </c>
      <c r="EM9" s="1809">
        <v>8</v>
      </c>
      <c r="EO9" s="20">
        <v>769739.69884173851</v>
      </c>
      <c r="ER9" s="1">
        <f t="shared" si="27"/>
        <v>0</v>
      </c>
      <c r="ES9" s="2">
        <f t="shared" si="28"/>
        <v>0</v>
      </c>
      <c r="ET9" s="2">
        <f t="shared" si="29"/>
        <v>769739.69884173851</v>
      </c>
      <c r="EU9" s="1">
        <v>0</v>
      </c>
      <c r="EV9">
        <v>1</v>
      </c>
      <c r="EW9" s="2">
        <f t="shared" si="30"/>
        <v>56532.356096784861</v>
      </c>
      <c r="EX9" s="2">
        <f t="shared" si="31"/>
        <v>56532.356096784861</v>
      </c>
      <c r="EY9" s="1">
        <f t="shared" ref="EY9:EY36" si="36">(EO9/EO$51)*100</f>
        <v>0.5170060836091398</v>
      </c>
      <c r="EZ9" s="1">
        <f t="shared" ref="EZ9:EZ49" si="37">(ER9/ER$51)*100</f>
        <v>0</v>
      </c>
      <c r="FA9" s="1">
        <f t="shared" ref="FA9:FA48" si="38">(EX9/EX$51)*100</f>
        <v>2.1311058807174238E-2</v>
      </c>
      <c r="FL9" s="1809">
        <v>8</v>
      </c>
      <c r="FN9" s="1">
        <v>25788</v>
      </c>
      <c r="FV9" s="1">
        <f t="shared" ref="FV9:FV52" si="39">FM9+FN9+FR9+FU9</f>
        <v>25788</v>
      </c>
      <c r="FW9" s="1">
        <f t="shared" ref="FW9:FW45" si="40">FV9*$FV$54</f>
        <v>32860.351295644556</v>
      </c>
      <c r="GL9" s="1809">
        <v>8</v>
      </c>
      <c r="HI9" s="1809">
        <v>8</v>
      </c>
      <c r="IF9" s="1809">
        <v>8</v>
      </c>
    </row>
    <row r="10" spans="1:255" ht="15.6" thickTop="1" thickBot="1">
      <c r="A10" s="1119">
        <v>11</v>
      </c>
      <c r="B10" s="2">
        <v>2962510.5609560185</v>
      </c>
      <c r="C10" s="2"/>
      <c r="D10" s="2">
        <v>0</v>
      </c>
      <c r="E10" s="2">
        <v>0</v>
      </c>
      <c r="F10" s="2"/>
      <c r="G10" s="13">
        <f t="shared" si="21"/>
        <v>2962510.5609560185</v>
      </c>
      <c r="H10" s="243">
        <v>0</v>
      </c>
      <c r="I10" s="244">
        <v>0</v>
      </c>
      <c r="J10" s="245">
        <v>2962510.5609560185</v>
      </c>
      <c r="K10" s="246">
        <f t="shared" si="32"/>
        <v>2962510.5609560185</v>
      </c>
      <c r="L10" s="241">
        <f t="shared" si="0"/>
        <v>0</v>
      </c>
      <c r="M10" s="242">
        <f t="shared" si="1"/>
        <v>0</v>
      </c>
      <c r="N10" s="240"/>
      <c r="O10" s="240"/>
      <c r="P10" s="240">
        <f t="shared" si="2"/>
        <v>12.176521847805729</v>
      </c>
      <c r="Q10" s="242">
        <f t="shared" si="3"/>
        <v>2.35879396485418</v>
      </c>
      <c r="R10" s="358"/>
      <c r="S10" s="1154">
        <v>11</v>
      </c>
      <c r="T10" s="1155">
        <v>149304.26746417646</v>
      </c>
      <c r="U10" s="1155">
        <v>3353.6594474468598</v>
      </c>
      <c r="V10" s="1155">
        <v>0</v>
      </c>
      <c r="W10" s="1155">
        <v>44646.821072244522</v>
      </c>
      <c r="X10" s="1119"/>
      <c r="Y10" s="1119">
        <f t="shared" si="4"/>
        <v>197304.74798386786</v>
      </c>
      <c r="Z10" s="1147"/>
      <c r="AA10" s="57">
        <v>3472.3114134788229</v>
      </c>
      <c r="AB10" s="29">
        <f t="shared" si="5"/>
        <v>1.3576737158670924</v>
      </c>
      <c r="AC10" s="57">
        <f t="shared" si="6"/>
        <v>44646.821072244522</v>
      </c>
      <c r="AD10" s="1">
        <f t="shared" si="7"/>
        <v>1.982506005196108E-2</v>
      </c>
      <c r="AE10" s="1">
        <f t="shared" si="8"/>
        <v>0</v>
      </c>
      <c r="AU10" s="137">
        <v>15</v>
      </c>
      <c r="AV10" s="431">
        <v>0</v>
      </c>
      <c r="AW10" s="431">
        <v>5646796.6171174422</v>
      </c>
      <c r="AX10" s="431">
        <v>0</v>
      </c>
      <c r="AY10" s="431"/>
      <c r="BA10" s="435">
        <v>5646796.6171174422</v>
      </c>
      <c r="BB10" s="2">
        <v>0</v>
      </c>
      <c r="BC10" s="1">
        <v>0</v>
      </c>
      <c r="BD10" s="1">
        <f t="shared" si="9"/>
        <v>5.724685463141508E-2</v>
      </c>
      <c r="BE10" s="1">
        <f t="shared" si="10"/>
        <v>0</v>
      </c>
      <c r="BF10" s="1">
        <f t="shared" si="11"/>
        <v>0</v>
      </c>
      <c r="BN10" s="137">
        <v>15</v>
      </c>
      <c r="BO10" s="1807"/>
      <c r="BP10" s="1807"/>
      <c r="BQ10" s="1808">
        <v>1371132.6729586527</v>
      </c>
      <c r="BR10" s="1147"/>
      <c r="BT10" s="470">
        <f t="shared" si="12"/>
        <v>0</v>
      </c>
      <c r="BU10" s="467">
        <f t="shared" si="13"/>
        <v>1371132.6729586527</v>
      </c>
      <c r="BV10" s="470">
        <f t="shared" si="14"/>
        <v>0</v>
      </c>
      <c r="BW10" s="1">
        <f t="shared" si="15"/>
        <v>0</v>
      </c>
      <c r="BX10" s="1">
        <f t="shared" si="16"/>
        <v>8.0179533690698055E-3</v>
      </c>
      <c r="BY10" s="1">
        <f t="shared" si="17"/>
        <v>0</v>
      </c>
      <c r="CH10" s="1">
        <v>10</v>
      </c>
      <c r="CI10" s="1">
        <v>669702.08355496998</v>
      </c>
      <c r="CJ10" s="1">
        <v>0</v>
      </c>
      <c r="CK10" s="1">
        <v>0</v>
      </c>
      <c r="CL10" s="1">
        <f t="shared" si="18"/>
        <v>2.8889303753322423E-3</v>
      </c>
      <c r="CM10" s="1">
        <f t="shared" si="19"/>
        <v>0</v>
      </c>
      <c r="CN10" s="1">
        <f t="shared" si="20"/>
        <v>0</v>
      </c>
      <c r="CX10" s="1">
        <v>10</v>
      </c>
      <c r="CY10" s="2">
        <v>52532384.24474062</v>
      </c>
      <c r="CZ10" s="2">
        <f t="shared" si="23"/>
        <v>86259366.11208865</v>
      </c>
      <c r="DA10" s="2"/>
      <c r="DB10" s="2"/>
      <c r="DC10" s="2"/>
      <c r="DD10" s="2"/>
      <c r="DE10" s="1">
        <f t="shared" si="22"/>
        <v>0.1366503312680355</v>
      </c>
      <c r="DQ10" s="1809">
        <v>9</v>
      </c>
      <c r="DR10" s="1810"/>
      <c r="DS10" s="947">
        <v>42701759.873993285</v>
      </c>
      <c r="DT10" s="833">
        <v>0</v>
      </c>
      <c r="DV10" s="1">
        <v>0</v>
      </c>
      <c r="DW10" s="2">
        <f t="shared" si="24"/>
        <v>0</v>
      </c>
      <c r="DX10" s="2">
        <f t="shared" si="25"/>
        <v>42701759.873993285</v>
      </c>
      <c r="DZ10" s="2">
        <f t="shared" si="26"/>
        <v>0</v>
      </c>
      <c r="EA10" s="1">
        <f t="shared" si="33"/>
        <v>15.596437995208682</v>
      </c>
      <c r="EB10" s="1">
        <f t="shared" si="34"/>
        <v>0</v>
      </c>
      <c r="EC10" s="1">
        <f t="shared" si="35"/>
        <v>0</v>
      </c>
      <c r="EM10" s="1809">
        <v>9</v>
      </c>
      <c r="EO10" s="20">
        <v>1818609.4999178573</v>
      </c>
      <c r="ER10" s="1">
        <f t="shared" si="27"/>
        <v>0</v>
      </c>
      <c r="ES10" s="2">
        <f t="shared" si="28"/>
        <v>0</v>
      </c>
      <c r="ET10" s="2">
        <f t="shared" si="29"/>
        <v>1818609.4999178573</v>
      </c>
      <c r="EU10" s="893">
        <v>3882.6993833932902</v>
      </c>
      <c r="EV10">
        <v>1</v>
      </c>
      <c r="EW10" s="2">
        <f t="shared" si="30"/>
        <v>56532.356096784861</v>
      </c>
      <c r="EX10" s="2">
        <f t="shared" si="31"/>
        <v>60415.055480178155</v>
      </c>
      <c r="EY10" s="1">
        <f t="shared" si="36"/>
        <v>1.2214936771245095</v>
      </c>
      <c r="EZ10" s="1">
        <f t="shared" si="37"/>
        <v>0</v>
      </c>
      <c r="FA10" s="1">
        <f t="shared" si="38"/>
        <v>2.2774723876226251E-2</v>
      </c>
      <c r="FL10" s="1809">
        <v>9</v>
      </c>
      <c r="FN10" s="1">
        <v>319156</v>
      </c>
      <c r="FV10" s="1">
        <f t="shared" si="39"/>
        <v>319156</v>
      </c>
      <c r="FW10" s="1">
        <f t="shared" si="40"/>
        <v>406684.43764978804</v>
      </c>
      <c r="GL10" s="1809">
        <v>9</v>
      </c>
      <c r="HI10" s="1809">
        <v>9</v>
      </c>
      <c r="IF10" s="1809">
        <v>9</v>
      </c>
    </row>
    <row r="11" spans="1:255" ht="15.6" thickTop="1" thickBot="1">
      <c r="A11" s="1119">
        <v>12</v>
      </c>
      <c r="B11" s="2">
        <v>657713.80432525428</v>
      </c>
      <c r="C11" s="2">
        <v>0</v>
      </c>
      <c r="D11" s="2">
        <v>0</v>
      </c>
      <c r="E11" s="2">
        <v>0</v>
      </c>
      <c r="F11" s="2"/>
      <c r="G11" s="13">
        <f t="shared" si="21"/>
        <v>657713.80432525428</v>
      </c>
      <c r="H11" s="243">
        <v>0</v>
      </c>
      <c r="I11" s="244">
        <v>0</v>
      </c>
      <c r="J11" s="245">
        <v>657713.80432525428</v>
      </c>
      <c r="K11" s="246">
        <f t="shared" si="32"/>
        <v>657713.80432525428</v>
      </c>
      <c r="L11" s="241">
        <f t="shared" si="0"/>
        <v>0</v>
      </c>
      <c r="M11" s="242">
        <f t="shared" si="1"/>
        <v>0</v>
      </c>
      <c r="N11" s="240"/>
      <c r="O11" s="240"/>
      <c r="P11" s="240">
        <f t="shared" si="2"/>
        <v>2.7033377073887763</v>
      </c>
      <c r="Q11" s="242">
        <f t="shared" si="3"/>
        <v>0.52368129001472452</v>
      </c>
      <c r="R11" s="358"/>
      <c r="S11" s="1154">
        <v>12</v>
      </c>
      <c r="T11" s="1155">
        <v>2507.0061966767257</v>
      </c>
      <c r="U11" s="1155">
        <v>590.71907721781622</v>
      </c>
      <c r="V11" s="1155">
        <v>0</v>
      </c>
      <c r="W11" s="1155">
        <v>113950.46935400172</v>
      </c>
      <c r="X11" s="1119"/>
      <c r="Y11" s="1119">
        <f t="shared" si="4"/>
        <v>117048.19462789626</v>
      </c>
      <c r="Z11" s="1147"/>
      <c r="AA11" s="57">
        <v>469.01278628633219</v>
      </c>
      <c r="AB11" s="29">
        <f t="shared" si="5"/>
        <v>0.18338399311615391</v>
      </c>
      <c r="AC11" s="57">
        <f t="shared" si="6"/>
        <v>113950.46935400172</v>
      </c>
      <c r="AD11" s="1">
        <f t="shared" si="7"/>
        <v>5.0598784944548447E-2</v>
      </c>
      <c r="AE11" s="1">
        <f t="shared" si="8"/>
        <v>0</v>
      </c>
      <c r="AU11" s="137">
        <v>16</v>
      </c>
      <c r="AV11" s="431">
        <v>0</v>
      </c>
      <c r="AW11" s="431">
        <v>2420055.6930503319</v>
      </c>
      <c r="AX11" s="431">
        <v>0</v>
      </c>
      <c r="AY11" s="431"/>
      <c r="BA11" s="435">
        <v>2420055.6930503319</v>
      </c>
      <c r="BB11" s="2">
        <v>0</v>
      </c>
      <c r="BC11" s="1">
        <v>0</v>
      </c>
      <c r="BD11" s="1">
        <f t="shared" si="9"/>
        <v>2.4534366270606459E-2</v>
      </c>
      <c r="BE11" s="1">
        <f t="shared" si="10"/>
        <v>0</v>
      </c>
      <c r="BF11" s="1">
        <f t="shared" si="11"/>
        <v>0</v>
      </c>
      <c r="BN11" s="137">
        <v>16</v>
      </c>
      <c r="BO11" s="1807"/>
      <c r="BP11" s="1807"/>
      <c r="BQ11" s="1808">
        <v>1460344.5464318907</v>
      </c>
      <c r="BR11" s="1147"/>
      <c r="BT11" s="470">
        <f t="shared" si="12"/>
        <v>0</v>
      </c>
      <c r="BU11" s="467">
        <f t="shared" si="13"/>
        <v>1460344.5464318907</v>
      </c>
      <c r="BV11" s="470">
        <f t="shared" si="14"/>
        <v>0</v>
      </c>
      <c r="BW11" s="1">
        <f t="shared" si="15"/>
        <v>0</v>
      </c>
      <c r="BX11" s="1">
        <f t="shared" si="16"/>
        <v>8.5396363947775212E-3</v>
      </c>
      <c r="BY11" s="1">
        <f t="shared" si="17"/>
        <v>0</v>
      </c>
      <c r="CH11" s="1">
        <v>11</v>
      </c>
      <c r="CI11" s="1">
        <v>711852.76033479429</v>
      </c>
      <c r="CJ11" s="1">
        <v>5800.2927704810072</v>
      </c>
      <c r="CK11" s="1">
        <v>0</v>
      </c>
      <c r="CL11" s="1">
        <f t="shared" si="18"/>
        <v>3.0707580468898013E-3</v>
      </c>
      <c r="CM11" s="1">
        <f t="shared" si="19"/>
        <v>1.3875669677866936E-5</v>
      </c>
      <c r="CN11" s="1">
        <f t="shared" si="20"/>
        <v>0</v>
      </c>
      <c r="CX11" s="1">
        <v>11</v>
      </c>
      <c r="CY11" s="2">
        <v>23736861.106476169</v>
      </c>
      <c r="CZ11" s="2">
        <f t="shared" si="23"/>
        <v>38976464.174864054</v>
      </c>
      <c r="DA11" s="2"/>
      <c r="DB11" s="2"/>
      <c r="DC11" s="2"/>
      <c r="DD11" s="2"/>
      <c r="DE11" s="1">
        <f t="shared" si="22"/>
        <v>6.1745720855760702E-2</v>
      </c>
      <c r="DQ11" s="1809">
        <v>10</v>
      </c>
      <c r="DR11" s="1810"/>
      <c r="DS11" s="947">
        <v>34809690.534652017</v>
      </c>
      <c r="DT11" s="833">
        <v>0</v>
      </c>
      <c r="DV11" s="1">
        <v>0</v>
      </c>
      <c r="DW11" s="2">
        <f t="shared" si="24"/>
        <v>0</v>
      </c>
      <c r="DX11" s="2">
        <f t="shared" si="25"/>
        <v>34809690.534652017</v>
      </c>
      <c r="DZ11" s="2">
        <f t="shared" si="26"/>
        <v>0</v>
      </c>
      <c r="EA11" s="1">
        <f t="shared" si="33"/>
        <v>12.713929862800576</v>
      </c>
      <c r="EB11" s="1">
        <f t="shared" si="34"/>
        <v>0</v>
      </c>
      <c r="EC11" s="1">
        <f t="shared" si="35"/>
        <v>0</v>
      </c>
      <c r="EM11" s="1809">
        <v>10</v>
      </c>
      <c r="EO11" s="20">
        <v>3248014.4202829245</v>
      </c>
      <c r="ER11" s="1">
        <f t="shared" si="27"/>
        <v>0</v>
      </c>
      <c r="ES11" s="2">
        <f t="shared" si="28"/>
        <v>0</v>
      </c>
      <c r="ET11" s="2">
        <f t="shared" si="29"/>
        <v>3248014.4202829245</v>
      </c>
      <c r="EU11" s="893">
        <v>62929.662607538201</v>
      </c>
      <c r="EV11">
        <v>3</v>
      </c>
      <c r="EW11" s="2">
        <f t="shared" si="30"/>
        <v>169597.06829035457</v>
      </c>
      <c r="EX11" s="2">
        <f t="shared" si="31"/>
        <v>232526.73089789276</v>
      </c>
      <c r="EY11" s="1">
        <f t="shared" si="36"/>
        <v>2.1815728323007337</v>
      </c>
      <c r="EZ11" s="1">
        <f t="shared" si="37"/>
        <v>0</v>
      </c>
      <c r="FA11" s="1">
        <f t="shared" si="38"/>
        <v>8.7655834261024149E-2</v>
      </c>
      <c r="FL11" s="1809">
        <v>10</v>
      </c>
      <c r="FN11" s="1">
        <v>585500</v>
      </c>
      <c r="FP11" s="2">
        <v>0</v>
      </c>
      <c r="FQ11" s="2">
        <f>SUM(FO11:FP11)</f>
        <v>0</v>
      </c>
      <c r="FR11" s="2">
        <f>$FQ$54*FQ11</f>
        <v>0</v>
      </c>
      <c r="FV11" s="1">
        <f t="shared" si="39"/>
        <v>585500</v>
      </c>
      <c r="FW11" s="1">
        <f t="shared" si="40"/>
        <v>746073.20007755107</v>
      </c>
      <c r="FY11" s="1">
        <f>(FP11/FP$51)*100</f>
        <v>0</v>
      </c>
      <c r="GL11" s="1809">
        <v>10</v>
      </c>
      <c r="HI11" s="1809">
        <v>10</v>
      </c>
      <c r="HK11" s="211">
        <v>7776236.1366684111</v>
      </c>
      <c r="HM11" s="57">
        <v>45801.837577992694</v>
      </c>
      <c r="HN11" s="2">
        <f>HM11*$HM$54</f>
        <v>175311.39829149484</v>
      </c>
      <c r="HO11" s="2">
        <f>HJ11+HK11+HN11</f>
        <v>7951547.5349599058</v>
      </c>
      <c r="HU11" s="1">
        <f>(HK11/$HK$51)*100</f>
        <v>4.3463364427426603</v>
      </c>
      <c r="HV11" s="1">
        <f>(HO11/$HO$51)*100</f>
        <v>1.3228867893692458</v>
      </c>
      <c r="HW11" s="1">
        <f>(HT11/$HT$51)*100</f>
        <v>0</v>
      </c>
      <c r="HX11" s="2">
        <f>HO11+HT11</f>
        <v>7951547.5349599058</v>
      </c>
      <c r="IF11" s="1809">
        <v>10</v>
      </c>
      <c r="IH11" s="57">
        <v>4720798.7991422256</v>
      </c>
      <c r="II11" s="57" t="s">
        <v>18</v>
      </c>
      <c r="IJ11" s="57">
        <v>0</v>
      </c>
      <c r="IK11" s="57">
        <f>IJ11*$IJ$54</f>
        <v>0</v>
      </c>
      <c r="IL11" s="2">
        <f>IG11+IH11+IK11</f>
        <v>4720798.7991422256</v>
      </c>
      <c r="IN11" s="57">
        <f>IM11*$IM$54</f>
        <v>0</v>
      </c>
      <c r="IR11" s="1">
        <f>(IH11/$IH$51)*100</f>
        <v>2.4916852740668634</v>
      </c>
    </row>
    <row r="12" spans="1:255" ht="15.6" thickTop="1" thickBot="1">
      <c r="A12" s="1119">
        <v>13</v>
      </c>
      <c r="B12" s="2">
        <v>1303106.8713286498</v>
      </c>
      <c r="C12" s="2">
        <v>0</v>
      </c>
      <c r="D12" s="2">
        <v>4796.1742614322065</v>
      </c>
      <c r="E12" s="2">
        <v>0</v>
      </c>
      <c r="F12" s="2"/>
      <c r="G12" s="13">
        <f t="shared" si="21"/>
        <v>1307903.045590082</v>
      </c>
      <c r="H12" s="243">
        <v>4796.1742614322065</v>
      </c>
      <c r="I12" s="244">
        <v>0</v>
      </c>
      <c r="J12" s="245">
        <v>1303106.8713286498</v>
      </c>
      <c r="K12" s="246">
        <f t="shared" si="32"/>
        <v>1307903.045590082</v>
      </c>
      <c r="L12" s="241">
        <f t="shared" si="0"/>
        <v>7.4188240177390308E-3</v>
      </c>
      <c r="M12" s="242">
        <f t="shared" si="1"/>
        <v>0</v>
      </c>
      <c r="N12" s="240"/>
      <c r="O12" s="240"/>
      <c r="P12" s="240">
        <f t="shared" si="2"/>
        <v>5.3560346747383765</v>
      </c>
      <c r="Q12" s="242">
        <f t="shared" si="3"/>
        <v>1.0413714135610428</v>
      </c>
      <c r="R12" s="358"/>
      <c r="S12" s="1154">
        <v>13</v>
      </c>
      <c r="T12" s="1155">
        <v>2130.9552671752167</v>
      </c>
      <c r="U12" s="1155">
        <v>1147.7457968221465</v>
      </c>
      <c r="V12" s="1155">
        <v>227.30608855179568</v>
      </c>
      <c r="W12" s="1155">
        <v>117303.56231099999</v>
      </c>
      <c r="X12" s="1119"/>
      <c r="Y12" s="1119">
        <f t="shared" si="4"/>
        <v>120809.56946354915</v>
      </c>
      <c r="Z12" s="1147"/>
      <c r="AA12" s="57">
        <v>2.6490887097176481</v>
      </c>
      <c r="AB12" s="29">
        <f t="shared" si="5"/>
        <v>1.0357936497926545E-3</v>
      </c>
      <c r="AC12" s="57">
        <f t="shared" si="6"/>
        <v>117303.56231099999</v>
      </c>
      <c r="AD12" s="1">
        <f t="shared" si="7"/>
        <v>5.208769877168818E-2</v>
      </c>
      <c r="AE12" s="1">
        <f t="shared" si="8"/>
        <v>0</v>
      </c>
      <c r="AU12" s="137">
        <v>17</v>
      </c>
      <c r="AV12" s="431">
        <v>0</v>
      </c>
      <c r="AW12" s="431">
        <v>403342.61550838867</v>
      </c>
      <c r="AX12" s="431">
        <v>0</v>
      </c>
      <c r="AY12" s="431"/>
      <c r="BA12" s="435">
        <v>403342.61550838867</v>
      </c>
      <c r="BB12" s="2">
        <v>0</v>
      </c>
      <c r="BC12" s="1">
        <v>0</v>
      </c>
      <c r="BD12" s="1">
        <f t="shared" si="9"/>
        <v>4.0890610451010763E-3</v>
      </c>
      <c r="BE12" s="1">
        <f t="shared" si="10"/>
        <v>0</v>
      </c>
      <c r="BF12" s="1">
        <f t="shared" si="11"/>
        <v>0</v>
      </c>
      <c r="BN12" s="137">
        <v>17</v>
      </c>
      <c r="BO12" s="1807"/>
      <c r="BP12" s="1807"/>
      <c r="BQ12" s="1808">
        <v>2194466.7366903727</v>
      </c>
      <c r="BR12" s="1147"/>
      <c r="BT12" s="470">
        <f t="shared" si="12"/>
        <v>0</v>
      </c>
      <c r="BU12" s="467">
        <f t="shared" si="13"/>
        <v>2194466.7366903727</v>
      </c>
      <c r="BV12" s="470">
        <f t="shared" si="14"/>
        <v>0</v>
      </c>
      <c r="BW12" s="1">
        <f t="shared" si="15"/>
        <v>0</v>
      </c>
      <c r="BX12" s="1">
        <f t="shared" si="16"/>
        <v>1.2832552466852918E-2</v>
      </c>
      <c r="BY12" s="1">
        <f t="shared" si="17"/>
        <v>0</v>
      </c>
      <c r="CH12" s="1">
        <v>12</v>
      </c>
      <c r="CI12" s="1">
        <v>51103447.807369359</v>
      </c>
      <c r="CJ12" s="1">
        <v>9728538.1833286453</v>
      </c>
      <c r="CK12" s="1">
        <v>0</v>
      </c>
      <c r="CL12" s="1">
        <f t="shared" si="18"/>
        <v>0.22044772784822494</v>
      </c>
      <c r="CM12" s="1">
        <f t="shared" si="19"/>
        <v>2.3272960111147892E-2</v>
      </c>
      <c r="CN12" s="1">
        <f t="shared" si="20"/>
        <v>0</v>
      </c>
      <c r="CX12" s="1">
        <v>12</v>
      </c>
      <c r="CY12" s="2">
        <v>15166261.85256644</v>
      </c>
      <c r="CZ12" s="2">
        <f t="shared" si="23"/>
        <v>24903345.859907523</v>
      </c>
      <c r="DA12" s="2"/>
      <c r="DB12" s="2"/>
      <c r="DC12" s="2"/>
      <c r="DD12" s="2"/>
      <c r="DE12" s="1">
        <f t="shared" si="22"/>
        <v>3.9451373396562774E-2</v>
      </c>
      <c r="DQ12" s="1809">
        <v>11</v>
      </c>
      <c r="DR12" s="1810"/>
      <c r="DS12" s="947">
        <v>26071850.982980251</v>
      </c>
      <c r="DT12" s="833">
        <v>0</v>
      </c>
      <c r="DV12" s="1">
        <v>0</v>
      </c>
      <c r="DW12" s="2">
        <f t="shared" si="24"/>
        <v>0</v>
      </c>
      <c r="DX12" s="2">
        <f t="shared" si="25"/>
        <v>26071850.982980251</v>
      </c>
      <c r="DZ12" s="2">
        <f t="shared" si="26"/>
        <v>0</v>
      </c>
      <c r="EA12" s="1">
        <f t="shared" si="33"/>
        <v>9.5225116828035272</v>
      </c>
      <c r="EB12" s="1">
        <f t="shared" si="34"/>
        <v>0</v>
      </c>
      <c r="EC12" s="1">
        <f t="shared" si="35"/>
        <v>0</v>
      </c>
      <c r="EM12" s="1809">
        <v>11</v>
      </c>
      <c r="EO12" s="20">
        <v>7038391.0117339343</v>
      </c>
      <c r="EP12" s="1">
        <v>839684.21089261561</v>
      </c>
      <c r="ER12" s="1">
        <f t="shared" si="27"/>
        <v>839684.21089261561</v>
      </c>
      <c r="ES12" s="2">
        <f t="shared" si="28"/>
        <v>2005388.0732183948</v>
      </c>
      <c r="ET12" s="2">
        <f t="shared" si="29"/>
        <v>9043779.0849523284</v>
      </c>
      <c r="EU12" s="893">
        <v>85690.704111805404</v>
      </c>
      <c r="EV12">
        <v>4</v>
      </c>
      <c r="EW12" s="2">
        <f t="shared" si="30"/>
        <v>226129.42438713944</v>
      </c>
      <c r="EX12" s="2">
        <f t="shared" si="31"/>
        <v>311820.12849894486</v>
      </c>
      <c r="EY12" s="1">
        <f t="shared" si="36"/>
        <v>4.7274305552408604</v>
      </c>
      <c r="EZ12" s="1">
        <f t="shared" si="37"/>
        <v>0.47441588848541433</v>
      </c>
      <c r="FA12" s="1">
        <f t="shared" si="38"/>
        <v>0.11754714564390097</v>
      </c>
      <c r="FL12" s="1809">
        <v>11</v>
      </c>
      <c r="FN12" s="1">
        <v>268680</v>
      </c>
      <c r="FP12" s="2">
        <v>850.67450527215703</v>
      </c>
      <c r="FQ12" s="2">
        <f t="shared" ref="FQ12:FQ37" si="41">SUM(FO12:FP12)</f>
        <v>850.67450527215703</v>
      </c>
      <c r="FR12" s="2">
        <f t="shared" ref="FR12:FR35" si="42">$FQ$54*FQ12</f>
        <v>650.7940693739763</v>
      </c>
      <c r="FV12" s="1">
        <f t="shared" si="39"/>
        <v>269330.79406937398</v>
      </c>
      <c r="FW12" s="1">
        <f t="shared" si="40"/>
        <v>343194.68387833604</v>
      </c>
      <c r="FY12" s="1">
        <f t="shared" ref="FY12:FY40" si="43">(FP12/FP$51)*100</f>
        <v>1.9134972920250321E-3</v>
      </c>
      <c r="GL12" s="1809">
        <v>11</v>
      </c>
      <c r="GM12" s="1">
        <v>0</v>
      </c>
      <c r="GN12">
        <v>94133.248559221829</v>
      </c>
      <c r="GP12" s="1135">
        <v>0</v>
      </c>
      <c r="GQ12" s="2">
        <f>GP12*$GP$54</f>
        <v>0</v>
      </c>
      <c r="GR12" s="2">
        <f>GM12+GN12+GQ12</f>
        <v>94133.248559221829</v>
      </c>
      <c r="GW12" s="1">
        <f t="shared" ref="GW12:GW34" si="44">(GN12/$GN$51)*100</f>
        <v>6.1325803112523822E-2</v>
      </c>
      <c r="GX12" s="1">
        <f t="shared" ref="GX12:GX38" si="45">(GQ12/$GQ$51)*100</f>
        <v>0</v>
      </c>
      <c r="GY12" s="2">
        <f>(GS12*$GS$51)*100</f>
        <v>0</v>
      </c>
      <c r="HI12" s="1809">
        <v>11</v>
      </c>
      <c r="HK12" s="211">
        <v>6489234.4290857725</v>
      </c>
      <c r="HM12" s="57">
        <v>715134.3679837964</v>
      </c>
      <c r="HN12" s="2">
        <f t="shared" ref="HN12:HN46" si="46">HM12*$HM$54</f>
        <v>2737252.7533214809</v>
      </c>
      <c r="HO12" s="2">
        <f>HJ12+HK12+HN12</f>
        <v>9226487.1824072525</v>
      </c>
      <c r="HU12" s="1">
        <f t="shared" ref="HU12:HU38" si="47">(HK12/$HK$51)*100</f>
        <v>3.6269984075765893</v>
      </c>
      <c r="HV12" s="1">
        <f t="shared" ref="HV12:HV46" si="48">(HO12/$HO$51)*100</f>
        <v>1.5349965465499507</v>
      </c>
      <c r="HW12" s="1">
        <f t="shared" ref="HW12:HW48" si="49">(HT12/$HT$51)*100</f>
        <v>0</v>
      </c>
      <c r="HX12" s="2">
        <f t="shared" ref="HX12:HX48" si="50">HO12+HT12</f>
        <v>9226487.1824072525</v>
      </c>
      <c r="IF12" s="1809">
        <v>11</v>
      </c>
      <c r="IH12" s="57">
        <v>12073870.665058173</v>
      </c>
      <c r="II12" s="57" t="s">
        <v>18</v>
      </c>
      <c r="IJ12" s="57">
        <v>0</v>
      </c>
      <c r="IK12" s="57">
        <f t="shared" ref="IK12:IK44" si="51">IJ12*$IJ$54</f>
        <v>0</v>
      </c>
      <c r="IL12" s="2">
        <f t="shared" ref="IL12:IL46" si="52">IG12+IH12+IK12</f>
        <v>12073870.665058173</v>
      </c>
      <c r="IN12" s="57">
        <f t="shared" ref="IN12:IN46" si="53">IM12*$IM$54</f>
        <v>0</v>
      </c>
      <c r="IR12" s="1">
        <f t="shared" ref="IR12:IR46" si="54">(IH12/$IH$51)*100</f>
        <v>6.3727108519388036</v>
      </c>
    </row>
    <row r="13" spans="1:255" ht="15.6" thickTop="1" thickBot="1">
      <c r="A13" s="1119">
        <v>14</v>
      </c>
      <c r="B13" s="2">
        <v>2639101.3315624148</v>
      </c>
      <c r="C13" s="2">
        <v>0</v>
      </c>
      <c r="D13" s="2">
        <v>88116.290222371055</v>
      </c>
      <c r="E13" s="2">
        <v>0</v>
      </c>
      <c r="F13" s="2"/>
      <c r="G13" s="13">
        <f t="shared" si="21"/>
        <v>2727217.6217847858</v>
      </c>
      <c r="H13" s="243">
        <v>88116.290222371055</v>
      </c>
      <c r="I13" s="244">
        <v>0</v>
      </c>
      <c r="J13" s="245">
        <v>2639101.3315624148</v>
      </c>
      <c r="K13" s="246">
        <f t="shared" si="32"/>
        <v>2727217.6217847858</v>
      </c>
      <c r="L13" s="260">
        <f t="shared" si="0"/>
        <v>0.136300145620768</v>
      </c>
      <c r="M13" s="242">
        <f t="shared" si="1"/>
        <v>0</v>
      </c>
      <c r="N13" s="240"/>
      <c r="O13" s="240"/>
      <c r="P13" s="240">
        <f t="shared" si="2"/>
        <v>10.847244038844126</v>
      </c>
      <c r="Q13" s="242">
        <f t="shared" si="3"/>
        <v>2.1714503070105433</v>
      </c>
      <c r="R13" s="358"/>
      <c r="S13" s="1154">
        <v>14</v>
      </c>
      <c r="T13" s="1155">
        <v>1267.7559810321861</v>
      </c>
      <c r="U13" s="1155">
        <v>1270.5033439118815</v>
      </c>
      <c r="V13" s="1155">
        <v>1380.7011624673564</v>
      </c>
      <c r="W13" s="1155">
        <v>37031.662905587051</v>
      </c>
      <c r="X13" s="1146">
        <v>26092.203877968386</v>
      </c>
      <c r="Y13" s="1119">
        <f t="shared" si="4"/>
        <v>67042.827270966867</v>
      </c>
      <c r="Z13" s="1147"/>
      <c r="AA13" s="57">
        <v>40.376103324696672</v>
      </c>
      <c r="AB13" s="29">
        <f t="shared" si="5"/>
        <v>1.5787055855728743E-2</v>
      </c>
      <c r="AC13" s="57">
        <f t="shared" si="6"/>
        <v>63123.866783555437</v>
      </c>
      <c r="AD13" s="1">
        <f t="shared" si="7"/>
        <v>2.8029642864628359E-2</v>
      </c>
      <c r="AE13" s="1">
        <f t="shared" si="8"/>
        <v>0</v>
      </c>
      <c r="AU13" s="137">
        <v>18</v>
      </c>
      <c r="AV13" s="431">
        <v>0</v>
      </c>
      <c r="AW13" s="431">
        <v>403342.61550838867</v>
      </c>
      <c r="AX13" s="431">
        <v>0</v>
      </c>
      <c r="AY13" s="431"/>
      <c r="BA13" s="435">
        <v>403342.61550838867</v>
      </c>
      <c r="BB13" s="2">
        <v>0</v>
      </c>
      <c r="BC13" s="1">
        <v>0</v>
      </c>
      <c r="BD13" s="1">
        <f t="shared" si="9"/>
        <v>4.0890610451010763E-3</v>
      </c>
      <c r="BE13" s="1">
        <f t="shared" si="10"/>
        <v>0</v>
      </c>
      <c r="BF13" s="1">
        <f t="shared" si="11"/>
        <v>0</v>
      </c>
      <c r="BN13" s="137">
        <v>18</v>
      </c>
      <c r="BO13" s="1154">
        <v>0</v>
      </c>
      <c r="BP13" s="1154">
        <v>327419.69911780057</v>
      </c>
      <c r="BQ13" s="1808">
        <v>2573323.0987156406</v>
      </c>
      <c r="BR13" s="1147"/>
      <c r="BT13" s="470">
        <f t="shared" si="12"/>
        <v>327419.69911780057</v>
      </c>
      <c r="BU13" s="467">
        <f t="shared" si="13"/>
        <v>2573323.0987156406</v>
      </c>
      <c r="BV13" s="470">
        <f t="shared" si="14"/>
        <v>0</v>
      </c>
      <c r="BW13" s="1">
        <f t="shared" si="15"/>
        <v>3.1767360644391349E-3</v>
      </c>
      <c r="BX13" s="1">
        <f t="shared" si="16"/>
        <v>1.5047985520270958E-2</v>
      </c>
      <c r="BY13" s="1">
        <f t="shared" si="17"/>
        <v>0</v>
      </c>
      <c r="CH13" s="1">
        <v>13</v>
      </c>
      <c r="CI13" s="1">
        <v>109368687.27813849</v>
      </c>
      <c r="CJ13" s="1">
        <v>176958950.90140629</v>
      </c>
      <c r="CK13" s="1">
        <v>0</v>
      </c>
      <c r="CL13" s="1">
        <f t="shared" si="18"/>
        <v>0.47178966669900319</v>
      </c>
      <c r="CM13" s="1">
        <f t="shared" si="19"/>
        <v>0.42332758817727117</v>
      </c>
      <c r="CN13" s="1">
        <f t="shared" si="20"/>
        <v>0</v>
      </c>
      <c r="CX13" s="1">
        <v>13</v>
      </c>
      <c r="CY13" s="2">
        <v>10573745.658058077</v>
      </c>
      <c r="CZ13" s="2">
        <f t="shared" si="23"/>
        <v>17362330.132309854</v>
      </c>
      <c r="DA13" s="2">
        <v>95441.606530887395</v>
      </c>
      <c r="DB13" s="2">
        <f t="shared" ref="DB13:DB42" si="55">DA13*$DA$55</f>
        <v>218041.23011971978</v>
      </c>
      <c r="DC13" s="2"/>
      <c r="DD13" s="2"/>
      <c r="DE13" s="1">
        <f t="shared" si="22"/>
        <v>2.750504984098923E-2</v>
      </c>
      <c r="DF13" s="1">
        <f t="shared" ref="DF13:DF45" si="56">DA13/DA$51</f>
        <v>1.0112176318355693E-3</v>
      </c>
      <c r="DQ13" s="1809">
        <v>12</v>
      </c>
      <c r="DR13" s="1810"/>
      <c r="DS13" s="947">
        <v>14076629.136982238</v>
      </c>
      <c r="DT13" s="833">
        <v>0</v>
      </c>
      <c r="DV13" s="1">
        <v>0</v>
      </c>
      <c r="DW13" s="2">
        <f t="shared" si="24"/>
        <v>0</v>
      </c>
      <c r="DX13" s="2">
        <f t="shared" si="25"/>
        <v>14076629.136982238</v>
      </c>
      <c r="DZ13" s="2">
        <f t="shared" si="26"/>
        <v>0</v>
      </c>
      <c r="EA13" s="1">
        <f t="shared" si="33"/>
        <v>5.1413635916725138</v>
      </c>
      <c r="EB13" s="1">
        <f t="shared" si="34"/>
        <v>0</v>
      </c>
      <c r="EC13" s="1">
        <f t="shared" si="35"/>
        <v>0</v>
      </c>
      <c r="EM13" s="1809">
        <v>12</v>
      </c>
      <c r="EO13" s="20">
        <v>22885332.085602503</v>
      </c>
      <c r="EP13" s="1">
        <v>0</v>
      </c>
      <c r="ER13" s="1">
        <f t="shared" si="27"/>
        <v>0</v>
      </c>
      <c r="ES13" s="2">
        <f t="shared" si="28"/>
        <v>0</v>
      </c>
      <c r="ET13" s="2">
        <f t="shared" si="29"/>
        <v>22885332.085602503</v>
      </c>
      <c r="EU13" s="893">
        <v>191038.443074896</v>
      </c>
      <c r="EV13">
        <v>5</v>
      </c>
      <c r="EW13" s="2">
        <f t="shared" si="30"/>
        <v>282661.78048392432</v>
      </c>
      <c r="EX13" s="2">
        <f t="shared" si="31"/>
        <v>473700.22355882032</v>
      </c>
      <c r="EY13" s="1">
        <f t="shared" si="36"/>
        <v>15.371242942875178</v>
      </c>
      <c r="EZ13" s="1">
        <f t="shared" si="37"/>
        <v>0</v>
      </c>
      <c r="FA13" s="1">
        <f t="shared" si="38"/>
        <v>0.17857124695016444</v>
      </c>
      <c r="FL13" s="1809">
        <v>12</v>
      </c>
      <c r="FN13" s="1">
        <v>213795</v>
      </c>
      <c r="FO13" s="2">
        <v>1795207.082240328</v>
      </c>
      <c r="FP13" s="2">
        <v>0</v>
      </c>
      <c r="FQ13" s="2">
        <f t="shared" si="41"/>
        <v>1795207.082240328</v>
      </c>
      <c r="FR13" s="2">
        <f t="shared" si="42"/>
        <v>1373392.6609759948</v>
      </c>
      <c r="FV13" s="1">
        <f t="shared" si="39"/>
        <v>1587187.6609759948</v>
      </c>
      <c r="FW13" s="1">
        <f t="shared" si="40"/>
        <v>2022473.4028146262</v>
      </c>
      <c r="FY13" s="1">
        <f t="shared" si="43"/>
        <v>0</v>
      </c>
      <c r="GL13" s="1809">
        <v>12</v>
      </c>
      <c r="GN13">
        <v>1058936.4263628596</v>
      </c>
      <c r="GP13" s="1135">
        <v>0</v>
      </c>
      <c r="GQ13" s="2">
        <f t="shared" ref="GQ13:GQ43" si="57">GP13*$GP$54</f>
        <v>0</v>
      </c>
      <c r="GR13" s="2">
        <f t="shared" ref="GR13:GR68" si="58">GM13+GN13+GQ13</f>
        <v>1058936.4263628596</v>
      </c>
      <c r="GW13" s="1">
        <f t="shared" si="44"/>
        <v>0.68987448946853969</v>
      </c>
      <c r="GX13" s="1">
        <f t="shared" si="45"/>
        <v>0</v>
      </c>
      <c r="GY13" s="2">
        <f t="shared" ref="GY13:GY20" si="59">GS13*$GS$51</f>
        <v>0</v>
      </c>
      <c r="HI13" s="1809">
        <v>12</v>
      </c>
      <c r="HK13" s="211">
        <v>9586254.1648485251</v>
      </c>
      <c r="HM13" s="57">
        <v>2557778.6960280258</v>
      </c>
      <c r="HN13" s="2">
        <f t="shared" si="46"/>
        <v>9790169.6401876435</v>
      </c>
      <c r="HO13" s="2">
        <f t="shared" ref="HO13:HO47" si="60">HJ13+HK13+HN13</f>
        <v>19376423.805036169</v>
      </c>
      <c r="HU13" s="1">
        <f t="shared" si="47"/>
        <v>5.3580016210677224</v>
      </c>
      <c r="HV13" s="1">
        <f t="shared" si="48"/>
        <v>3.2236259626449395</v>
      </c>
      <c r="HW13" s="1">
        <f t="shared" si="49"/>
        <v>0</v>
      </c>
      <c r="HX13" s="2">
        <f t="shared" si="50"/>
        <v>19376423.805036169</v>
      </c>
      <c r="IF13" s="1809">
        <v>12</v>
      </c>
      <c r="IH13" s="57">
        <v>7976581.2111305054</v>
      </c>
      <c r="II13" s="57" t="s">
        <v>18</v>
      </c>
      <c r="IJ13" s="57">
        <v>0</v>
      </c>
      <c r="IK13" s="57">
        <f t="shared" si="51"/>
        <v>0</v>
      </c>
      <c r="IL13" s="2">
        <f t="shared" si="52"/>
        <v>7976581.2111305054</v>
      </c>
      <c r="IN13" s="57">
        <f t="shared" si="53"/>
        <v>0</v>
      </c>
      <c r="IR13" s="1">
        <f t="shared" si="54"/>
        <v>4.2101201061107787</v>
      </c>
    </row>
    <row r="14" spans="1:255" ht="15.6" thickTop="1" thickBot="1">
      <c r="A14" s="1119">
        <v>15</v>
      </c>
      <c r="B14" s="2">
        <v>680541.01578865643</v>
      </c>
      <c r="C14" s="2">
        <v>1649321.9414403907</v>
      </c>
      <c r="D14" s="2">
        <v>163108.09993761947</v>
      </c>
      <c r="E14" s="2">
        <v>0</v>
      </c>
      <c r="F14" s="2"/>
      <c r="G14" s="13">
        <f t="shared" si="21"/>
        <v>2492971.0571666667</v>
      </c>
      <c r="H14" s="243">
        <v>1812430.0413780101</v>
      </c>
      <c r="I14" s="244">
        <v>0</v>
      </c>
      <c r="J14" s="245">
        <v>680541.01578865643</v>
      </c>
      <c r="K14" s="246">
        <f t="shared" si="32"/>
        <v>2492971.0571666667</v>
      </c>
      <c r="L14" s="241">
        <f t="shared" si="0"/>
        <v>2.803505208218128</v>
      </c>
      <c r="M14" s="242">
        <f t="shared" si="1"/>
        <v>0</v>
      </c>
      <c r="N14" s="240"/>
      <c r="O14" s="240"/>
      <c r="P14" s="240">
        <f t="shared" si="2"/>
        <v>2.7971621962435607</v>
      </c>
      <c r="Q14" s="242">
        <f t="shared" si="3"/>
        <v>1.9849397877937824</v>
      </c>
      <c r="R14" s="358"/>
      <c r="S14" s="1154">
        <v>15</v>
      </c>
      <c r="T14" s="1155">
        <v>1017.0553613645138</v>
      </c>
      <c r="U14" s="1155">
        <v>147.68534997748102</v>
      </c>
      <c r="V14" s="1155">
        <v>818.71808953944333</v>
      </c>
      <c r="W14" s="1155">
        <v>10261.388220915585</v>
      </c>
      <c r="X14" s="1146">
        <v>244654.47545497512</v>
      </c>
      <c r="Y14" s="1119">
        <f t="shared" si="4"/>
        <v>256899.32247677215</v>
      </c>
      <c r="Z14" s="1147"/>
      <c r="AA14" s="57">
        <v>294.91991229497916</v>
      </c>
      <c r="AB14" s="29">
        <f t="shared" si="5"/>
        <v>0.11531368173212479</v>
      </c>
      <c r="AC14" s="57">
        <f t="shared" si="6"/>
        <v>254915.86367589072</v>
      </c>
      <c r="AD14" s="1">
        <f t="shared" si="7"/>
        <v>0.11319332898067835</v>
      </c>
      <c r="AE14" s="1">
        <f t="shared" si="8"/>
        <v>0</v>
      </c>
      <c r="AU14" s="137">
        <v>19</v>
      </c>
      <c r="AV14" s="431">
        <v>0</v>
      </c>
      <c r="AW14" s="431">
        <v>12135.484235077527</v>
      </c>
      <c r="AX14" s="431">
        <v>0</v>
      </c>
      <c r="AY14" s="431">
        <v>584.18641759448383</v>
      </c>
      <c r="AZ14" s="57">
        <v>3200.4665041584067</v>
      </c>
      <c r="BA14" s="435">
        <v>12135.484235077527</v>
      </c>
      <c r="BB14" s="2">
        <v>0</v>
      </c>
      <c r="BC14" s="1">
        <v>3200.4665041584067</v>
      </c>
      <c r="BD14" s="1">
        <f t="shared" si="9"/>
        <v>1.2302874514399459E-4</v>
      </c>
      <c r="BE14" s="1">
        <f t="shared" si="10"/>
        <v>0</v>
      </c>
      <c r="BF14" s="1">
        <f t="shared" si="11"/>
        <v>1.1718705414825599E-5</v>
      </c>
      <c r="BN14" s="137">
        <v>19</v>
      </c>
      <c r="BO14" s="1154">
        <v>0</v>
      </c>
      <c r="BP14" s="1154">
        <v>654839.39823560114</v>
      </c>
      <c r="BQ14" s="1808">
        <v>2930158.8793040309</v>
      </c>
      <c r="BR14" s="1147"/>
      <c r="BS14" s="57"/>
      <c r="BT14" s="470">
        <f t="shared" si="12"/>
        <v>654839.39823560114</v>
      </c>
      <c r="BU14" s="467">
        <f t="shared" si="13"/>
        <v>2930158.8793040309</v>
      </c>
      <c r="BV14" s="470">
        <f t="shared" si="14"/>
        <v>0</v>
      </c>
      <c r="BW14" s="1">
        <f t="shared" si="15"/>
        <v>6.3534721288782698E-3</v>
      </c>
      <c r="BX14" s="1">
        <f t="shared" si="16"/>
        <v>1.7134649127374439E-2</v>
      </c>
      <c r="BY14" s="1">
        <f t="shared" si="17"/>
        <v>0</v>
      </c>
      <c r="CH14" s="1">
        <v>14</v>
      </c>
      <c r="CI14" s="1">
        <v>8756357.2352820467</v>
      </c>
      <c r="CJ14" s="1">
        <v>83049571.380792692</v>
      </c>
      <c r="CK14" s="1">
        <v>0</v>
      </c>
      <c r="CL14" s="1">
        <f t="shared" si="18"/>
        <v>3.7772775410799792E-2</v>
      </c>
      <c r="CM14" s="1">
        <f t="shared" si="19"/>
        <v>0.19867418162630904</v>
      </c>
      <c r="CN14" s="1">
        <f t="shared" si="20"/>
        <v>0</v>
      </c>
      <c r="CX14" s="1">
        <v>14</v>
      </c>
      <c r="CY14" s="2">
        <v>11143806.665091921</v>
      </c>
      <c r="CZ14" s="2">
        <f t="shared" si="23"/>
        <v>18298383.232105743</v>
      </c>
      <c r="DA14" s="2">
        <v>405900.72748311778</v>
      </c>
      <c r="DB14" s="2">
        <f t="shared" si="55"/>
        <v>927300.96593948512</v>
      </c>
      <c r="DC14" s="2"/>
      <c r="DD14" s="2"/>
      <c r="DE14" s="1">
        <f t="shared" si="22"/>
        <v>2.8987926100540757E-2</v>
      </c>
      <c r="DF14" s="1">
        <f t="shared" si="56"/>
        <v>4.3005769425410872E-3</v>
      </c>
      <c r="DQ14" s="1809">
        <v>13</v>
      </c>
      <c r="DR14" s="1810"/>
      <c r="DS14" s="947">
        <v>17473041.553650238</v>
      </c>
      <c r="DT14" s="833">
        <v>0</v>
      </c>
      <c r="DU14" s="1">
        <v>8773.2501486485908</v>
      </c>
      <c r="DV14" s="2">
        <f t="shared" ref="DV14:DV52" si="61">DT14+DU14</f>
        <v>8773.2501486485908</v>
      </c>
      <c r="DW14" s="2">
        <f t="shared" si="24"/>
        <v>18623.498445854621</v>
      </c>
      <c r="DX14" s="2">
        <f t="shared" si="25"/>
        <v>17491665.052096091</v>
      </c>
      <c r="DZ14" s="2">
        <f t="shared" si="26"/>
        <v>0</v>
      </c>
      <c r="EA14" s="1">
        <f t="shared" si="33"/>
        <v>6.3818730184275667</v>
      </c>
      <c r="EB14" s="1">
        <f t="shared" si="34"/>
        <v>2.1987797028964175E-2</v>
      </c>
      <c r="EC14" s="1">
        <f t="shared" si="35"/>
        <v>0</v>
      </c>
      <c r="ED14" s="123"/>
      <c r="EH14" s="2"/>
      <c r="EM14" s="1809">
        <v>13</v>
      </c>
      <c r="EO14" s="20">
        <v>9538117.3789007626</v>
      </c>
      <c r="EP14" s="1">
        <v>5132962.1022490896</v>
      </c>
      <c r="EQ14" s="891">
        <v>84982</v>
      </c>
      <c r="ER14" s="1">
        <f t="shared" si="27"/>
        <v>5217944.1022490896</v>
      </c>
      <c r="ES14" s="2">
        <f t="shared" si="28"/>
        <v>12461831.166560775</v>
      </c>
      <c r="ET14" s="2">
        <f t="shared" si="29"/>
        <v>21999948.545461535</v>
      </c>
      <c r="EU14" s="893">
        <v>199914.29292961184</v>
      </c>
      <c r="EV14">
        <v>7</v>
      </c>
      <c r="EW14" s="2">
        <f t="shared" si="30"/>
        <v>395726.49267749401</v>
      </c>
      <c r="EX14" s="2">
        <f t="shared" si="31"/>
        <v>595640.78560710582</v>
      </c>
      <c r="EY14" s="1">
        <f t="shared" si="36"/>
        <v>6.4064055920333205</v>
      </c>
      <c r="EZ14" s="1">
        <f t="shared" si="37"/>
        <v>2.948103054961825</v>
      </c>
      <c r="FA14" s="1">
        <f t="shared" si="38"/>
        <v>0.22453930255962604</v>
      </c>
      <c r="FL14" s="1809">
        <v>13</v>
      </c>
      <c r="FN14" s="1">
        <v>755669</v>
      </c>
      <c r="FO14" s="2">
        <v>3590414.1644806559</v>
      </c>
      <c r="FP14" s="2">
        <v>7387.5345362126682</v>
      </c>
      <c r="FQ14" s="2">
        <f t="shared" si="41"/>
        <v>3597801.6990168686</v>
      </c>
      <c r="FR14" s="2">
        <f t="shared" si="42"/>
        <v>2752437.0296658869</v>
      </c>
      <c r="FV14" s="1">
        <f t="shared" si="39"/>
        <v>3508106.0296658869</v>
      </c>
      <c r="FW14" s="1">
        <f t="shared" si="40"/>
        <v>4470203.0602291729</v>
      </c>
      <c r="FY14" s="1">
        <f t="shared" si="43"/>
        <v>1.6617433862393456E-2</v>
      </c>
      <c r="GL14" s="1809">
        <v>13</v>
      </c>
      <c r="GN14">
        <v>1016230.4319688217</v>
      </c>
      <c r="GP14" s="1135">
        <v>12526.793035347984</v>
      </c>
      <c r="GQ14" s="2">
        <f>GP14*$GP$54</f>
        <v>42448.126671570906</v>
      </c>
      <c r="GR14" s="2">
        <f t="shared" si="58"/>
        <v>1058678.5586403925</v>
      </c>
      <c r="GW14" s="1">
        <f t="shared" si="44"/>
        <v>0.66205244524910911</v>
      </c>
      <c r="GX14" s="1">
        <f t="shared" si="45"/>
        <v>1.5618889529180731E-2</v>
      </c>
      <c r="GY14" s="2">
        <f t="shared" si="59"/>
        <v>0</v>
      </c>
      <c r="HI14" s="1809">
        <v>13</v>
      </c>
      <c r="HK14" s="211">
        <v>7608192.2373799654</v>
      </c>
      <c r="HM14" s="57">
        <v>2318766.8832779527</v>
      </c>
      <c r="HN14" s="2">
        <f t="shared" si="46"/>
        <v>8875326.5396231916</v>
      </c>
      <c r="HO14" s="2">
        <f t="shared" si="60"/>
        <v>16483518.777003158</v>
      </c>
      <c r="HU14" s="1">
        <f t="shared" si="47"/>
        <v>4.2524124272393369</v>
      </c>
      <c r="HV14" s="1">
        <f t="shared" si="48"/>
        <v>2.7423377822424522</v>
      </c>
      <c r="HW14" s="1">
        <f t="shared" si="49"/>
        <v>0</v>
      </c>
      <c r="HX14" s="2">
        <f t="shared" si="50"/>
        <v>16483518.777003158</v>
      </c>
      <c r="IF14" s="1809">
        <v>13</v>
      </c>
      <c r="IH14" s="57">
        <v>1530626.6816465391</v>
      </c>
      <c r="II14" s="57" t="s">
        <v>18</v>
      </c>
      <c r="IJ14" s="57">
        <v>62862.979014743643</v>
      </c>
      <c r="IK14" s="57">
        <f>IJ14*$IJ$54</f>
        <v>542434.30237468123</v>
      </c>
      <c r="IL14" s="2">
        <f t="shared" si="52"/>
        <v>2073060.9840212204</v>
      </c>
      <c r="IN14" s="57">
        <f t="shared" si="53"/>
        <v>0</v>
      </c>
      <c r="IR14" s="1">
        <f t="shared" si="54"/>
        <v>0.80788021795071829</v>
      </c>
      <c r="IS14" s="1">
        <f>(IK14/$IK$51)*100</f>
        <v>0.53081406140839993</v>
      </c>
    </row>
    <row r="15" spans="1:255" ht="15.6" thickTop="1" thickBot="1">
      <c r="A15" s="1119">
        <v>16</v>
      </c>
      <c r="B15" s="2">
        <v>965651.58803795115</v>
      </c>
      <c r="C15" s="2">
        <v>6234773.0496606715</v>
      </c>
      <c r="D15" s="2">
        <v>191958.69936865914</v>
      </c>
      <c r="E15" s="2">
        <v>0</v>
      </c>
      <c r="F15" s="2"/>
      <c r="G15" s="13">
        <f t="shared" si="21"/>
        <v>7392383.3370672818</v>
      </c>
      <c r="H15" s="243">
        <v>6426731.7490293309</v>
      </c>
      <c r="I15" s="244">
        <v>0</v>
      </c>
      <c r="J15" s="245">
        <v>965651.58803795115</v>
      </c>
      <c r="K15" s="246">
        <f t="shared" si="32"/>
        <v>7392383.3370672818</v>
      </c>
      <c r="L15" s="241">
        <f t="shared" si="0"/>
        <v>9.9410049044021154</v>
      </c>
      <c r="M15" s="242">
        <f t="shared" si="1"/>
        <v>0</v>
      </c>
      <c r="N15" s="240"/>
      <c r="O15" s="240"/>
      <c r="P15" s="240">
        <f t="shared" si="2"/>
        <v>3.9690247231786913</v>
      </c>
      <c r="Q15" s="242">
        <f t="shared" si="3"/>
        <v>5.88592305160791</v>
      </c>
      <c r="R15" s="358"/>
      <c r="S15" s="1154">
        <v>16</v>
      </c>
      <c r="T15" s="1155">
        <v>0</v>
      </c>
      <c r="U15" s="1155">
        <v>135.37211681398026</v>
      </c>
      <c r="V15" s="1155">
        <v>1021.5420235235071</v>
      </c>
      <c r="W15" s="1155">
        <v>1774.5415778097838</v>
      </c>
      <c r="X15" s="1146">
        <v>631708.11853347649</v>
      </c>
      <c r="Y15" s="1119">
        <f t="shared" si="4"/>
        <v>634639.57425162371</v>
      </c>
      <c r="Z15" s="1147"/>
      <c r="AA15" s="57">
        <v>466.58997961123617</v>
      </c>
      <c r="AB15" s="29">
        <f t="shared" si="5"/>
        <v>0.18243667573884825</v>
      </c>
      <c r="AC15" s="57">
        <f t="shared" si="6"/>
        <v>633482.66011128633</v>
      </c>
      <c r="AD15" s="1">
        <f t="shared" si="7"/>
        <v>0.28129285527989628</v>
      </c>
      <c r="AE15" s="1">
        <f t="shared" si="8"/>
        <v>0</v>
      </c>
      <c r="AU15" s="137">
        <v>20</v>
      </c>
      <c r="AV15" s="431">
        <v>0</v>
      </c>
      <c r="AW15" s="431">
        <v>97083.873880620216</v>
      </c>
      <c r="AX15" s="431">
        <v>0</v>
      </c>
      <c r="AY15" s="431">
        <v>3845.2833878974116</v>
      </c>
      <c r="AZ15" s="57">
        <v>21066.393040492061</v>
      </c>
      <c r="BA15" s="435">
        <v>97083.873880620216</v>
      </c>
      <c r="BB15" s="2">
        <v>0</v>
      </c>
      <c r="BC15" s="1">
        <v>21066.393040492061</v>
      </c>
      <c r="BD15" s="1">
        <f t="shared" si="9"/>
        <v>9.8422996115195673E-4</v>
      </c>
      <c r="BE15" s="1">
        <f t="shared" si="10"/>
        <v>0</v>
      </c>
      <c r="BF15" s="1">
        <f t="shared" si="11"/>
        <v>7.7135896868064772E-5</v>
      </c>
      <c r="BN15" s="137">
        <v>20</v>
      </c>
      <c r="BO15" s="1154">
        <v>0</v>
      </c>
      <c r="BP15" s="1154">
        <v>573845.64625814138</v>
      </c>
      <c r="BQ15" s="1808">
        <v>5144910.4079107707</v>
      </c>
      <c r="BR15" s="1147">
        <v>501390.91430010274</v>
      </c>
      <c r="BS15" s="57"/>
      <c r="BT15" s="470">
        <f t="shared" si="12"/>
        <v>573845.64625814138</v>
      </c>
      <c r="BU15" s="467">
        <f t="shared" si="13"/>
        <v>5144910.4079107707</v>
      </c>
      <c r="BV15" s="470">
        <f t="shared" si="14"/>
        <v>501390.91430010274</v>
      </c>
      <c r="BW15" s="1">
        <f t="shared" si="15"/>
        <v>5.5676435009909056E-3</v>
      </c>
      <c r="BX15" s="1">
        <f t="shared" si="16"/>
        <v>3.0085820688421767E-2</v>
      </c>
      <c r="BY15" s="1">
        <f t="shared" si="17"/>
        <v>1.5348277309697965E-3</v>
      </c>
      <c r="CH15" s="1">
        <v>15</v>
      </c>
      <c r="CI15" s="1">
        <v>2571409.3423909359</v>
      </c>
      <c r="CJ15" s="1">
        <v>3363007.714116314</v>
      </c>
      <c r="CK15" s="1">
        <v>0</v>
      </c>
      <c r="CL15" s="1">
        <f t="shared" si="18"/>
        <v>1.1092428617233845E-2</v>
      </c>
      <c r="CM15" s="1">
        <f t="shared" si="19"/>
        <v>8.0451084129200909E-3</v>
      </c>
      <c r="CN15" s="1">
        <f t="shared" si="20"/>
        <v>0</v>
      </c>
      <c r="CX15" s="1">
        <v>15</v>
      </c>
      <c r="CY15" s="2">
        <v>22211174.974277332</v>
      </c>
      <c r="CZ15" s="2">
        <f t="shared" si="23"/>
        <v>36471252.950558126</v>
      </c>
      <c r="DA15" s="2">
        <v>912355.55544024194</v>
      </c>
      <c r="DB15" s="2">
        <f t="shared" si="55"/>
        <v>2084322.9158173406</v>
      </c>
      <c r="DC15" s="2"/>
      <c r="DD15" s="2"/>
      <c r="DE15" s="1">
        <f t="shared" si="22"/>
        <v>5.7777016248623213E-2</v>
      </c>
      <c r="DF15" s="1">
        <f t="shared" si="56"/>
        <v>9.6665391300358363E-3</v>
      </c>
      <c r="DQ15" s="1809">
        <v>14</v>
      </c>
      <c r="DR15" s="1810"/>
      <c r="DS15" s="947">
        <v>16366858.981500044</v>
      </c>
      <c r="DT15" s="1">
        <v>1655594.2235271409</v>
      </c>
      <c r="DU15" s="1">
        <v>59171.032343696876</v>
      </c>
      <c r="DV15" s="2">
        <f t="shared" si="61"/>
        <v>1714765.2558708377</v>
      </c>
      <c r="DW15" s="2">
        <f t="shared" si="24"/>
        <v>3640033.9140717676</v>
      </c>
      <c r="DX15" s="2">
        <f t="shared" si="25"/>
        <v>20006892.895571813</v>
      </c>
      <c r="DZ15" s="2">
        <f t="shared" si="26"/>
        <v>0</v>
      </c>
      <c r="EA15" s="1">
        <f t="shared" si="33"/>
        <v>5.9778496725788104</v>
      </c>
      <c r="EB15" s="1">
        <f t="shared" si="34"/>
        <v>0.14829631289698153</v>
      </c>
      <c r="EC15" s="1">
        <f t="shared" si="35"/>
        <v>0</v>
      </c>
      <c r="ED15" s="123"/>
      <c r="EH15" s="2"/>
      <c r="EM15" s="1809">
        <v>14</v>
      </c>
      <c r="EO15" s="20">
        <v>6720706.2666819459</v>
      </c>
      <c r="EP15" s="1">
        <v>25711156.242818993</v>
      </c>
      <c r="EQ15" s="891">
        <v>198562</v>
      </c>
      <c r="ER15" s="1">
        <f t="shared" si="27"/>
        <v>25909718.242818993</v>
      </c>
      <c r="ES15" s="2">
        <f t="shared" si="28"/>
        <v>61879262.787809089</v>
      </c>
      <c r="ET15" s="2">
        <f t="shared" si="29"/>
        <v>68599969.054491028</v>
      </c>
      <c r="EU15" s="893">
        <v>29882.446676543001</v>
      </c>
      <c r="EV15">
        <v>10</v>
      </c>
      <c r="EW15" s="2">
        <f t="shared" si="30"/>
        <v>565323.56096784864</v>
      </c>
      <c r="EX15" s="2">
        <f t="shared" si="31"/>
        <v>595206.00764439162</v>
      </c>
      <c r="EY15" s="1">
        <f t="shared" si="36"/>
        <v>4.5140532978266421</v>
      </c>
      <c r="EZ15" s="1">
        <f t="shared" si="37"/>
        <v>14.63881521305121</v>
      </c>
      <c r="FA15" s="1">
        <f t="shared" si="38"/>
        <v>0.22437540387626667</v>
      </c>
      <c r="FL15" s="1809">
        <v>14</v>
      </c>
      <c r="FN15" s="1">
        <v>2660101</v>
      </c>
      <c r="FO15" s="2">
        <v>8976035.411201641</v>
      </c>
      <c r="FP15" s="2">
        <v>50771.934190565822</v>
      </c>
      <c r="FQ15" s="2">
        <f t="shared" si="41"/>
        <v>9026807.3453922067</v>
      </c>
      <c r="FR15" s="2">
        <f t="shared" si="42"/>
        <v>6905805.5100443279</v>
      </c>
      <c r="FV15" s="1">
        <f t="shared" si="39"/>
        <v>9565906.5100443289</v>
      </c>
      <c r="FW15" s="1">
        <f t="shared" si="40"/>
        <v>12189353.512538772</v>
      </c>
      <c r="FY15" s="1">
        <f t="shared" si="43"/>
        <v>0.11420579549805472</v>
      </c>
      <c r="GL15" s="1809">
        <v>14</v>
      </c>
      <c r="GN15">
        <v>7125359.6307234606</v>
      </c>
      <c r="GP15" s="1135">
        <v>86092.255608673746</v>
      </c>
      <c r="GQ15" s="2">
        <f t="shared" si="57"/>
        <v>291731.08881148894</v>
      </c>
      <c r="GR15" s="2">
        <f t="shared" si="58"/>
        <v>7417090.7195349494</v>
      </c>
      <c r="GW15" s="1">
        <f t="shared" si="44"/>
        <v>4.6420197805535581</v>
      </c>
      <c r="GX15" s="1">
        <f t="shared" si="45"/>
        <v>0.10734315046760183</v>
      </c>
      <c r="GY15" s="2">
        <f t="shared" si="59"/>
        <v>0</v>
      </c>
      <c r="HI15" s="1809">
        <v>14</v>
      </c>
      <c r="HK15" s="211">
        <v>18802410.137471519</v>
      </c>
      <c r="HM15" s="57">
        <v>2582563.4005464339</v>
      </c>
      <c r="HN15" s="2">
        <f t="shared" si="46"/>
        <v>9885035.7293039318</v>
      </c>
      <c r="HO15" s="2">
        <f t="shared" si="60"/>
        <v>28687445.866775453</v>
      </c>
      <c r="HP15">
        <v>0</v>
      </c>
      <c r="HQ15" s="2">
        <f t="shared" ref="HQ15:HQ49" si="62">HP15*$HP$54</f>
        <v>0</v>
      </c>
      <c r="HR15" s="2"/>
      <c r="HT15" s="2">
        <f>HQ15+HS15</f>
        <v>0</v>
      </c>
      <c r="HU15" s="1">
        <f t="shared" si="47"/>
        <v>10.509145935850999</v>
      </c>
      <c r="HV15" s="1">
        <f t="shared" si="48"/>
        <v>4.7726864476443049</v>
      </c>
      <c r="HW15" s="1">
        <f t="shared" si="49"/>
        <v>0</v>
      </c>
      <c r="HX15" s="2">
        <f t="shared" si="50"/>
        <v>28687445.866775453</v>
      </c>
      <c r="IF15" s="1809">
        <v>14</v>
      </c>
      <c r="IH15" s="57">
        <v>4218222.8390129954</v>
      </c>
      <c r="II15" s="57" t="s">
        <v>18</v>
      </c>
      <c r="IJ15" s="57">
        <v>609886.85962703032</v>
      </c>
      <c r="IK15" s="57">
        <f t="shared" si="51"/>
        <v>5262613.3602685807</v>
      </c>
      <c r="IL15" s="2">
        <f t="shared" si="52"/>
        <v>9480836.199281577</v>
      </c>
      <c r="IN15" s="57">
        <f t="shared" si="53"/>
        <v>0</v>
      </c>
      <c r="IR15" s="1">
        <f t="shared" si="54"/>
        <v>2.2264206075910211</v>
      </c>
      <c r="IS15" s="1">
        <f t="shared" ref="IS15:IS44" si="63">(IK15/$IK$51)*100</f>
        <v>5.149875587065492</v>
      </c>
    </row>
    <row r="16" spans="1:255" ht="15.6" thickTop="1" thickBot="1">
      <c r="A16" s="1119">
        <v>17</v>
      </c>
      <c r="B16" s="2">
        <v>497456.87868621724</v>
      </c>
      <c r="C16" s="2">
        <v>5584467.2713476997</v>
      </c>
      <c r="D16" s="2">
        <v>124886.24075141811</v>
      </c>
      <c r="E16" s="2">
        <v>2767.9961766814413</v>
      </c>
      <c r="F16" s="2"/>
      <c r="G16" s="13">
        <f t="shared" si="21"/>
        <v>6209578.386962017</v>
      </c>
      <c r="H16" s="243">
        <v>5709353.512099118</v>
      </c>
      <c r="I16" s="244">
        <v>2767.9961766814413</v>
      </c>
      <c r="J16" s="245">
        <v>497456.87868621724</v>
      </c>
      <c r="K16" s="246">
        <f t="shared" si="32"/>
        <v>6209578.386962017</v>
      </c>
      <c r="L16" s="241">
        <f t="shared" si="0"/>
        <v>8.8313490404069057</v>
      </c>
      <c r="M16" s="242">
        <f t="shared" si="1"/>
        <v>7.5595504147071679E-3</v>
      </c>
      <c r="N16" s="240"/>
      <c r="O16" s="240"/>
      <c r="P16" s="240">
        <f t="shared" si="2"/>
        <v>2.0446490998193259</v>
      </c>
      <c r="Q16" s="242">
        <f t="shared" si="3"/>
        <v>4.9441565598092776</v>
      </c>
      <c r="R16" s="358"/>
      <c r="S16" s="1154">
        <v>17</v>
      </c>
      <c r="T16" s="1155">
        <v>0</v>
      </c>
      <c r="U16" s="1155">
        <v>67.686058406990128</v>
      </c>
      <c r="V16" s="1155">
        <v>2876.8928271077025</v>
      </c>
      <c r="W16" s="1155">
        <v>0</v>
      </c>
      <c r="X16" s="1146">
        <v>1148045.137262929</v>
      </c>
      <c r="Y16" s="1119">
        <f t="shared" si="4"/>
        <v>1150989.7161484438</v>
      </c>
      <c r="Z16" s="1147"/>
      <c r="AA16" s="57">
        <v>201.67421887558385</v>
      </c>
      <c r="AB16" s="29">
        <f t="shared" si="5"/>
        <v>7.8854616861995672E-2</v>
      </c>
      <c r="AC16" s="57">
        <f t="shared" si="6"/>
        <v>1148045.137262929</v>
      </c>
      <c r="AD16" s="1">
        <f t="shared" si="7"/>
        <v>0.50978016445494834</v>
      </c>
      <c r="AE16" s="1">
        <f t="shared" si="8"/>
        <v>0</v>
      </c>
      <c r="AU16" s="137">
        <v>21</v>
      </c>
      <c r="AV16" s="431">
        <v>0</v>
      </c>
      <c r="AW16" s="2">
        <v>485419.3694031011</v>
      </c>
      <c r="AX16" s="431">
        <v>0</v>
      </c>
      <c r="AY16" s="431">
        <v>31513.192027651636</v>
      </c>
      <c r="AZ16" s="57">
        <v>172645.08808491536</v>
      </c>
      <c r="BA16" s="435">
        <v>485419.3694031011</v>
      </c>
      <c r="BB16" s="2">
        <v>0</v>
      </c>
      <c r="BC16" s="1">
        <v>172645.08808491536</v>
      </c>
      <c r="BD16" s="1">
        <f t="shared" si="9"/>
        <v>4.9211498057597841E-3</v>
      </c>
      <c r="BE16" s="1">
        <f t="shared" si="10"/>
        <v>0</v>
      </c>
      <c r="BF16" s="1">
        <f t="shared" si="11"/>
        <v>6.3215063365137578E-4</v>
      </c>
      <c r="BN16" s="137">
        <v>21</v>
      </c>
      <c r="BO16" s="1154">
        <v>0</v>
      </c>
      <c r="BP16" s="1154">
        <v>1305737.9219952861</v>
      </c>
      <c r="BQ16" s="1808">
        <v>8186030.9935890092</v>
      </c>
      <c r="BR16" s="1147">
        <v>5207137.7225679448</v>
      </c>
      <c r="BS16" s="57"/>
      <c r="BT16" s="470">
        <f t="shared" si="12"/>
        <v>1305737.9219952861</v>
      </c>
      <c r="BU16" s="467">
        <f t="shared" si="13"/>
        <v>8186030.9935890092</v>
      </c>
      <c r="BV16" s="470">
        <f t="shared" si="14"/>
        <v>5207137.7225679448</v>
      </c>
      <c r="BW16" s="1">
        <f t="shared" si="15"/>
        <v>1.2668708567885704E-2</v>
      </c>
      <c r="BX16" s="1">
        <f t="shared" si="16"/>
        <v>4.7869339035388959E-2</v>
      </c>
      <c r="BY16" s="1">
        <f t="shared" si="17"/>
        <v>1.5939777023547382E-2</v>
      </c>
      <c r="CH16" s="1">
        <v>16</v>
      </c>
      <c r="CI16" s="1">
        <v>1104406.4721340791</v>
      </c>
      <c r="CJ16" s="1">
        <v>4518791.1232722495</v>
      </c>
      <c r="CK16" s="1">
        <v>0</v>
      </c>
      <c r="CL16" s="1">
        <f t="shared" si="18"/>
        <v>4.7641383869157072E-3</v>
      </c>
      <c r="CM16" s="1">
        <f t="shared" si="19"/>
        <v>1.0810015192492315E-2</v>
      </c>
      <c r="CN16" s="1">
        <f t="shared" si="20"/>
        <v>0</v>
      </c>
      <c r="CX16" s="1">
        <v>16</v>
      </c>
      <c r="CY16" s="2">
        <v>28009232.534183994</v>
      </c>
      <c r="CZ16" s="2">
        <f t="shared" si="23"/>
        <v>45991794.936029203</v>
      </c>
      <c r="DA16" s="2">
        <v>1059307.737396284</v>
      </c>
      <c r="DB16" s="2">
        <f t="shared" si="55"/>
        <v>2420042.6892696326</v>
      </c>
      <c r="DC16" s="2"/>
      <c r="DD16" s="2"/>
      <c r="DE16" s="1">
        <f t="shared" si="22"/>
        <v>7.2859264992200967E-2</v>
      </c>
      <c r="DF16" s="1">
        <f t="shared" si="56"/>
        <v>1.1223518762210904E-2</v>
      </c>
      <c r="DQ16" s="1809">
        <v>15</v>
      </c>
      <c r="DR16" s="1810"/>
      <c r="DS16" s="947">
        <v>14946332.602224726</v>
      </c>
      <c r="DT16" s="1">
        <v>4320503.4100597659</v>
      </c>
      <c r="DU16" s="1">
        <v>356181.85435544513</v>
      </c>
      <c r="DV16" s="2">
        <f t="shared" si="61"/>
        <v>4676685.264415211</v>
      </c>
      <c r="DW16" s="2">
        <f t="shared" si="24"/>
        <v>9927477.1923611425</v>
      </c>
      <c r="DX16" s="2">
        <f t="shared" si="25"/>
        <v>24873809.794585869</v>
      </c>
      <c r="DZ16" s="2">
        <f t="shared" si="26"/>
        <v>0</v>
      </c>
      <c r="EA16" s="1">
        <f t="shared" si="33"/>
        <v>5.4590150470199941</v>
      </c>
      <c r="EB16" s="1">
        <f t="shared" si="34"/>
        <v>0.8926742297635244</v>
      </c>
      <c r="EC16" s="1">
        <f t="shared" si="35"/>
        <v>0</v>
      </c>
      <c r="ED16" s="123"/>
      <c r="EH16" s="2"/>
      <c r="EM16" s="1809">
        <v>15</v>
      </c>
      <c r="EO16" s="20">
        <v>8586827.7885946259</v>
      </c>
      <c r="EP16" s="1">
        <v>29003771.77435727</v>
      </c>
      <c r="EQ16" s="891">
        <v>201878</v>
      </c>
      <c r="ER16" s="1">
        <f t="shared" si="27"/>
        <v>29205649.77435727</v>
      </c>
      <c r="ES16" s="2">
        <f t="shared" si="28"/>
        <v>69750819.37747632</v>
      </c>
      <c r="ET16" s="2">
        <f t="shared" si="29"/>
        <v>78337647.166070938</v>
      </c>
      <c r="EU16" s="893">
        <v>0</v>
      </c>
      <c r="EV16">
        <v>9</v>
      </c>
      <c r="EW16" s="2">
        <f t="shared" si="30"/>
        <v>508791.20487106376</v>
      </c>
      <c r="EX16" s="2">
        <f t="shared" si="31"/>
        <v>508791.20487106376</v>
      </c>
      <c r="EY16" s="1">
        <f t="shared" si="36"/>
        <v>5.7674590673803943</v>
      </c>
      <c r="EZ16" s="1">
        <f t="shared" si="37"/>
        <v>16.500994191335931</v>
      </c>
      <c r="FA16" s="1">
        <f t="shared" si="38"/>
        <v>0.19179952926456817</v>
      </c>
      <c r="FL16" s="1809">
        <v>15</v>
      </c>
      <c r="FN16" s="1">
        <v>5674731</v>
      </c>
      <c r="FO16" s="2">
        <v>1795207.082240328</v>
      </c>
      <c r="FP16" s="2">
        <v>390193.64749459591</v>
      </c>
      <c r="FQ16" s="2">
        <f t="shared" si="41"/>
        <v>2185400.7297349237</v>
      </c>
      <c r="FR16" s="2">
        <f t="shared" si="42"/>
        <v>1671903.6779667307</v>
      </c>
      <c r="FV16" s="1">
        <f t="shared" si="39"/>
        <v>7346634.6779667307</v>
      </c>
      <c r="FW16" s="1">
        <f t="shared" si="40"/>
        <v>9361447.0435377415</v>
      </c>
      <c r="FY16" s="1">
        <f t="shared" si="43"/>
        <v>0.87769703126039711</v>
      </c>
      <c r="GL16" s="1809">
        <v>15</v>
      </c>
      <c r="GN16">
        <v>16491573.171189204</v>
      </c>
      <c r="GP16" s="1135">
        <v>792377.52812203008</v>
      </c>
      <c r="GQ16" s="2">
        <f t="shared" si="57"/>
        <v>2685040.1048791511</v>
      </c>
      <c r="GR16" s="2">
        <f t="shared" si="58"/>
        <v>19176613.276068356</v>
      </c>
      <c r="GW16" s="1">
        <f t="shared" si="44"/>
        <v>10.743908074901457</v>
      </c>
      <c r="GX16" s="1">
        <f t="shared" si="45"/>
        <v>0.98796691557213778</v>
      </c>
      <c r="GY16" s="2">
        <f t="shared" si="59"/>
        <v>0</v>
      </c>
      <c r="HI16" s="1809">
        <v>15</v>
      </c>
      <c r="HK16" s="211">
        <v>15046485.452661708</v>
      </c>
      <c r="HM16" s="57">
        <v>5420955.6693428475</v>
      </c>
      <c r="HN16" s="2">
        <f t="shared" si="46"/>
        <v>20749283.625365652</v>
      </c>
      <c r="HO16" s="2">
        <f t="shared" si="60"/>
        <v>35795769.07802736</v>
      </c>
      <c r="HP16">
        <v>1</v>
      </c>
      <c r="HQ16" s="2">
        <f t="shared" si="62"/>
        <v>5801.8625065688584</v>
      </c>
      <c r="HR16" s="2"/>
      <c r="HT16" s="2">
        <f t="shared" ref="HT16:HT48" si="64">HQ16+HS16</f>
        <v>5801.8625065688584</v>
      </c>
      <c r="HU16" s="1">
        <f t="shared" si="47"/>
        <v>8.4098639635857406</v>
      </c>
      <c r="HV16" s="1">
        <f t="shared" si="48"/>
        <v>5.9552872972761914</v>
      </c>
      <c r="HW16" s="1">
        <f t="shared" si="49"/>
        <v>5.1254536597396885E-3</v>
      </c>
      <c r="HX16" s="2">
        <f t="shared" si="50"/>
        <v>35801570.940533929</v>
      </c>
      <c r="IF16" s="1809">
        <v>15</v>
      </c>
      <c r="IG16" s="211">
        <v>413358.85289422784</v>
      </c>
      <c r="IH16" s="57">
        <v>14907334.690433243</v>
      </c>
      <c r="II16" s="211">
        <v>187886.79575852645</v>
      </c>
      <c r="IJ16" s="57">
        <v>1738960.197138052</v>
      </c>
      <c r="IK16" s="57">
        <f t="shared" si="51"/>
        <v>15005201.41068539</v>
      </c>
      <c r="IL16" s="2">
        <f t="shared" si="52"/>
        <v>30325894.954012863</v>
      </c>
      <c r="IN16" s="57">
        <f t="shared" si="53"/>
        <v>0</v>
      </c>
      <c r="IR16" s="1">
        <f t="shared" si="54"/>
        <v>7.8682417752029155</v>
      </c>
      <c r="IS16" s="1">
        <f t="shared" si="63"/>
        <v>14.683754084481251</v>
      </c>
    </row>
    <row r="17" spans="1:253" ht="15.6" thickTop="1" thickBot="1">
      <c r="A17" s="1119">
        <v>18</v>
      </c>
      <c r="B17" s="2">
        <v>327358.38493047061</v>
      </c>
      <c r="C17" s="2">
        <v>2346456.6190604032</v>
      </c>
      <c r="D17" s="2">
        <v>43352.101669486015</v>
      </c>
      <c r="E17" s="2">
        <v>13461.603852469661</v>
      </c>
      <c r="F17" s="2"/>
      <c r="G17" s="13">
        <f t="shared" si="21"/>
        <v>2730628.7095128293</v>
      </c>
      <c r="H17" s="243">
        <v>2389808.7207298893</v>
      </c>
      <c r="I17" s="244">
        <v>13461.603852469661</v>
      </c>
      <c r="J17" s="245">
        <v>327358.38493047061</v>
      </c>
      <c r="K17" s="246">
        <f t="shared" si="32"/>
        <v>2730628.7095128293</v>
      </c>
      <c r="L17" s="241">
        <f t="shared" si="0"/>
        <v>3.6966067888156311</v>
      </c>
      <c r="M17" s="242">
        <f t="shared" si="1"/>
        <v>3.6764383507048547E-2</v>
      </c>
      <c r="N17" s="240"/>
      <c r="O17" s="240"/>
      <c r="P17" s="240">
        <f t="shared" si="2"/>
        <v>1.3455096426329503</v>
      </c>
      <c r="Q17" s="242">
        <f t="shared" si="3"/>
        <v>2.1741662646353155</v>
      </c>
      <c r="R17" s="358"/>
      <c r="S17" s="1154">
        <v>18</v>
      </c>
      <c r="T17" s="1155">
        <v>0</v>
      </c>
      <c r="U17" s="1155">
        <v>4.9404858371480556</v>
      </c>
      <c r="V17" s="1155">
        <v>2103.6628248745901</v>
      </c>
      <c r="W17" s="1155">
        <v>210.13827800811254</v>
      </c>
      <c r="X17" s="1146">
        <v>3333868.4445784562</v>
      </c>
      <c r="Y17" s="1119">
        <f t="shared" si="4"/>
        <v>3336187.1861671759</v>
      </c>
      <c r="Z17" s="1147"/>
      <c r="AA17" s="57">
        <v>22.937590366923882</v>
      </c>
      <c r="AB17" s="29">
        <f t="shared" si="5"/>
        <v>8.9685975242925018E-3</v>
      </c>
      <c r="AC17" s="57">
        <f t="shared" si="6"/>
        <v>3334078.5828564642</v>
      </c>
      <c r="AD17" s="1">
        <f t="shared" si="7"/>
        <v>1.4804706479803076</v>
      </c>
      <c r="AE17" s="1">
        <f t="shared" si="8"/>
        <v>0</v>
      </c>
      <c r="AU17" s="137">
        <v>22</v>
      </c>
      <c r="AV17" s="431">
        <v>0</v>
      </c>
      <c r="AW17" s="2">
        <v>145625.81082093032</v>
      </c>
      <c r="AX17" s="431">
        <v>0</v>
      </c>
      <c r="AY17" s="431">
        <v>264371.7370986992</v>
      </c>
      <c r="AZ17" s="57">
        <v>1448361.1117057723</v>
      </c>
      <c r="BA17" s="435">
        <v>145625.81082093032</v>
      </c>
      <c r="BB17" s="2">
        <v>0</v>
      </c>
      <c r="BC17" s="1">
        <v>1448361.1117057723</v>
      </c>
      <c r="BD17" s="1">
        <f t="shared" si="9"/>
        <v>1.4763449417279351E-3</v>
      </c>
      <c r="BE17" s="1">
        <f t="shared" si="10"/>
        <v>0</v>
      </c>
      <c r="BF17" s="1">
        <f t="shared" si="11"/>
        <v>5.3032635024663228E-3</v>
      </c>
      <c r="BN17" s="137">
        <v>22</v>
      </c>
      <c r="BO17" s="1154">
        <v>0</v>
      </c>
      <c r="BP17" s="1154">
        <v>1918202.258729015</v>
      </c>
      <c r="BQ17" s="1808">
        <v>15436159.12566592</v>
      </c>
      <c r="BR17" s="1147">
        <v>30471148.40420831</v>
      </c>
      <c r="BS17" s="57"/>
      <c r="BT17" s="470">
        <f t="shared" si="12"/>
        <v>1918202.258729015</v>
      </c>
      <c r="BU17" s="467">
        <f t="shared" si="13"/>
        <v>15436159.12566592</v>
      </c>
      <c r="BV17" s="470">
        <f t="shared" si="14"/>
        <v>30471148.40420831</v>
      </c>
      <c r="BW17" s="1">
        <f t="shared" si="15"/>
        <v>1.8611043595152407E-2</v>
      </c>
      <c r="BX17" s="1">
        <f t="shared" si="16"/>
        <v>9.0265811987446473E-2</v>
      </c>
      <c r="BY17" s="1">
        <f t="shared" si="17"/>
        <v>9.3276448039667628E-2</v>
      </c>
      <c r="CH17" s="1">
        <v>17</v>
      </c>
      <c r="CI17" s="1">
        <v>66437.288348234651</v>
      </c>
      <c r="CJ17" s="1">
        <v>3399287.3205650081</v>
      </c>
      <c r="CK17" s="1">
        <v>0</v>
      </c>
      <c r="CL17" s="1">
        <f t="shared" si="18"/>
        <v>2.8659415145476083E-4</v>
      </c>
      <c r="CM17" s="1">
        <f t="shared" si="19"/>
        <v>8.1318977966710337E-3</v>
      </c>
      <c r="CN17" s="1">
        <f t="shared" si="20"/>
        <v>0</v>
      </c>
      <c r="CX17" s="1">
        <v>17</v>
      </c>
      <c r="CY17" s="2">
        <v>32363277.521494754</v>
      </c>
      <c r="CZ17" s="2">
        <f t="shared" si="23"/>
        <v>53141235.534026518</v>
      </c>
      <c r="DA17" s="2">
        <v>887684.25897321757</v>
      </c>
      <c r="DB17" s="2">
        <f t="shared" si="55"/>
        <v>2027960.0775767942</v>
      </c>
      <c r="DC17" s="2"/>
      <c r="DD17" s="2"/>
      <c r="DE17" s="1">
        <f t="shared" si="22"/>
        <v>8.4185263201229765E-2</v>
      </c>
      <c r="DF17" s="1">
        <f t="shared" si="56"/>
        <v>9.4051431739689845E-3</v>
      </c>
      <c r="DQ17" s="1809">
        <v>16</v>
      </c>
      <c r="DR17" s="1810"/>
      <c r="DS17" s="947">
        <v>8572186.6418088749</v>
      </c>
      <c r="DT17" s="1">
        <v>7589257.7743280521</v>
      </c>
      <c r="DU17" s="1">
        <v>1165303.3418669922</v>
      </c>
      <c r="DV17" s="2">
        <f t="shared" si="61"/>
        <v>8754561.1161950435</v>
      </c>
      <c r="DW17" s="2">
        <f t="shared" si="24"/>
        <v>18583826.128189452</v>
      </c>
      <c r="DX17" s="2">
        <f t="shared" si="25"/>
        <v>27156012.769998327</v>
      </c>
      <c r="DZ17" s="2">
        <f t="shared" si="26"/>
        <v>0</v>
      </c>
      <c r="EA17" s="1">
        <f t="shared" si="33"/>
        <v>3.1309149280227455</v>
      </c>
      <c r="EB17" s="1">
        <f t="shared" si="34"/>
        <v>2.9205200950632753</v>
      </c>
      <c r="EC17" s="1">
        <f t="shared" si="35"/>
        <v>0</v>
      </c>
      <c r="ED17" s="123"/>
      <c r="EH17" s="2"/>
      <c r="EM17" s="1809">
        <v>16</v>
      </c>
      <c r="EO17" s="20">
        <v>8632590.3828213178</v>
      </c>
      <c r="EP17" s="1">
        <v>24389401.357320979</v>
      </c>
      <c r="EQ17" s="891">
        <v>301899</v>
      </c>
      <c r="ER17" s="1">
        <f t="shared" si="27"/>
        <v>24691300.357320979</v>
      </c>
      <c r="ES17" s="2">
        <f t="shared" si="28"/>
        <v>58969358.48798158</v>
      </c>
      <c r="ET17" s="2">
        <f t="shared" si="29"/>
        <v>67601948.870802894</v>
      </c>
      <c r="EU17" s="893">
        <v>0</v>
      </c>
      <c r="EV17">
        <v>11</v>
      </c>
      <c r="EW17" s="2">
        <f t="shared" si="30"/>
        <v>621855.91706463345</v>
      </c>
      <c r="EX17" s="2">
        <f t="shared" si="31"/>
        <v>621855.91706463345</v>
      </c>
      <c r="EY17" s="1">
        <f t="shared" si="36"/>
        <v>5.7981961329787222</v>
      </c>
      <c r="EZ17" s="1">
        <f t="shared" si="37"/>
        <v>13.95041736515005</v>
      </c>
      <c r="FA17" s="1">
        <f t="shared" si="38"/>
        <v>0.23442164687891665</v>
      </c>
      <c r="FL17" s="1809">
        <v>16</v>
      </c>
      <c r="FN17" s="1">
        <v>6296286</v>
      </c>
      <c r="FO17" s="2">
        <v>0</v>
      </c>
      <c r="FP17" s="2">
        <v>1473990.1191197562</v>
      </c>
      <c r="FQ17" s="2">
        <f t="shared" si="41"/>
        <v>1473990.1191197562</v>
      </c>
      <c r="FR17" s="2">
        <f t="shared" si="42"/>
        <v>1127651.0838091711</v>
      </c>
      <c r="FV17" s="1">
        <f t="shared" si="39"/>
        <v>7423937.0838091709</v>
      </c>
      <c r="FW17" s="1">
        <f t="shared" si="40"/>
        <v>9459949.6110878065</v>
      </c>
      <c r="FY17" s="1">
        <f t="shared" si="43"/>
        <v>3.3155761503689956</v>
      </c>
      <c r="GL17" s="1809">
        <v>16</v>
      </c>
      <c r="GN17">
        <v>8051916.3704510732</v>
      </c>
      <c r="GP17" s="1135">
        <v>2754724.2144522704</v>
      </c>
      <c r="GQ17" s="2">
        <f t="shared" si="57"/>
        <v>9334622.3626712393</v>
      </c>
      <c r="GR17" s="2">
        <f t="shared" si="58"/>
        <v>17386538.733122312</v>
      </c>
      <c r="GW17" s="1">
        <f t="shared" si="44"/>
        <v>5.2456517284871236</v>
      </c>
      <c r="GX17" s="1">
        <f t="shared" si="45"/>
        <v>3.4346965793622979</v>
      </c>
      <c r="GY17" s="2">
        <f t="shared" si="59"/>
        <v>0</v>
      </c>
      <c r="HI17" s="1809">
        <v>16</v>
      </c>
      <c r="HK17" s="211">
        <v>4173988.2855508709</v>
      </c>
      <c r="HM17" s="57">
        <v>6769239.5432528406</v>
      </c>
      <c r="HN17" s="2">
        <f t="shared" si="46"/>
        <v>25909983.364247035</v>
      </c>
      <c r="HO17" s="2">
        <f t="shared" si="60"/>
        <v>30083971.649797905</v>
      </c>
      <c r="HP17">
        <v>9</v>
      </c>
      <c r="HQ17" s="2">
        <f t="shared" si="62"/>
        <v>52216.762559119728</v>
      </c>
      <c r="HR17" s="2"/>
      <c r="HT17" s="2">
        <f t="shared" si="64"/>
        <v>52216.762559119728</v>
      </c>
      <c r="HU17" s="1">
        <f t="shared" si="47"/>
        <v>2.3329483670802125</v>
      </c>
      <c r="HV17" s="1">
        <f t="shared" si="48"/>
        <v>5.005024304049166</v>
      </c>
      <c r="HW17" s="1">
        <f t="shared" si="49"/>
        <v>4.6129082937657197E-2</v>
      </c>
      <c r="HX17" s="2">
        <f t="shared" si="50"/>
        <v>30136188.412357025</v>
      </c>
      <c r="IF17" s="1809">
        <v>16</v>
      </c>
      <c r="IG17" s="211">
        <v>9920612.469461469</v>
      </c>
      <c r="IH17" s="57">
        <v>37039739.763201758</v>
      </c>
      <c r="II17" s="211">
        <v>4509283.098204636</v>
      </c>
      <c r="IJ17" s="57">
        <v>688667.54170915158</v>
      </c>
      <c r="IK17" s="57">
        <f t="shared" si="51"/>
        <v>5942398.9032953363</v>
      </c>
      <c r="IL17" s="2">
        <f t="shared" si="52"/>
        <v>52902751.135958567</v>
      </c>
      <c r="IN17" s="57">
        <f t="shared" si="53"/>
        <v>0</v>
      </c>
      <c r="IR17" s="1">
        <f t="shared" si="54"/>
        <v>19.549948652759383</v>
      </c>
      <c r="IS17" s="1">
        <f t="shared" si="63"/>
        <v>5.8150984968281199</v>
      </c>
    </row>
    <row r="18" spans="1:253" ht="15.6" thickTop="1" thickBot="1">
      <c r="A18" s="1119">
        <v>19</v>
      </c>
      <c r="B18" s="2">
        <v>1702609.8833149001</v>
      </c>
      <c r="C18" s="2">
        <v>1909218.2490707024</v>
      </c>
      <c r="D18" s="2">
        <v>29432.762657286752</v>
      </c>
      <c r="E18" s="2">
        <v>18931.447161960965</v>
      </c>
      <c r="F18" s="2"/>
      <c r="G18" s="13">
        <f t="shared" si="21"/>
        <v>3660192.3422048497</v>
      </c>
      <c r="H18" s="243">
        <v>1938651.0117279892</v>
      </c>
      <c r="I18" s="244">
        <v>18931.447161960965</v>
      </c>
      <c r="J18" s="245">
        <v>1702609.8833149001</v>
      </c>
      <c r="K18" s="246">
        <f t="shared" si="32"/>
        <v>3660192.3422048502</v>
      </c>
      <c r="L18" s="241">
        <f t="shared" si="0"/>
        <v>2.9987464808100719</v>
      </c>
      <c r="M18" s="242">
        <f t="shared" si="1"/>
        <v>5.1702827644721568E-2</v>
      </c>
      <c r="N18" s="240"/>
      <c r="O18" s="240"/>
      <c r="P18" s="240">
        <f t="shared" si="2"/>
        <v>6.9980734299166709</v>
      </c>
      <c r="Q18" s="242">
        <f t="shared" si="3"/>
        <v>2.9142983389777903</v>
      </c>
      <c r="R18" s="358"/>
      <c r="S18" s="1154">
        <v>19</v>
      </c>
      <c r="T18" s="1155">
        <v>0</v>
      </c>
      <c r="U18" s="1155">
        <v>4.9404858371480556</v>
      </c>
      <c r="V18" s="1155">
        <v>1675.1302273824767</v>
      </c>
      <c r="W18" s="1155">
        <v>0</v>
      </c>
      <c r="X18" s="1146">
        <v>11587432.458425745</v>
      </c>
      <c r="Y18" s="1119">
        <f t="shared" si="4"/>
        <v>11589112.529138966</v>
      </c>
      <c r="Z18" s="1146">
        <v>6763070.786867084</v>
      </c>
      <c r="AA18" s="57">
        <v>94.771561934859719</v>
      </c>
      <c r="AB18" s="29">
        <f t="shared" si="5"/>
        <v>3.7055679439108584E-2</v>
      </c>
      <c r="AC18" s="57">
        <f t="shared" si="6"/>
        <v>11587432.458425745</v>
      </c>
      <c r="AD18" s="1">
        <f t="shared" si="7"/>
        <v>5.1453057310533543</v>
      </c>
      <c r="AE18" s="1">
        <f t="shared" si="8"/>
        <v>1.8339299502802362</v>
      </c>
      <c r="AU18" s="137">
        <v>23</v>
      </c>
      <c r="AV18" s="431">
        <v>0</v>
      </c>
      <c r="AW18" s="2">
        <v>314273.51133483264</v>
      </c>
      <c r="AX18" s="431">
        <v>0</v>
      </c>
      <c r="AY18" s="431">
        <v>1574017.3895195937</v>
      </c>
      <c r="AZ18" s="57">
        <v>8623257.5431378577</v>
      </c>
      <c r="BA18" s="435">
        <v>314273.51133483264</v>
      </c>
      <c r="BB18" s="2">
        <v>0</v>
      </c>
      <c r="BC18" s="1">
        <v>8623257.5431378577</v>
      </c>
      <c r="BD18" s="1">
        <f t="shared" si="9"/>
        <v>3.1860842948286698E-3</v>
      </c>
      <c r="BE18" s="1">
        <f t="shared" si="10"/>
        <v>0</v>
      </c>
      <c r="BF18" s="1">
        <f t="shared" si="11"/>
        <v>3.1574589120962622E-2</v>
      </c>
      <c r="BN18" s="137">
        <v>23</v>
      </c>
      <c r="BO18" s="1154">
        <v>0</v>
      </c>
      <c r="BP18" s="1154">
        <v>4728092.8589389399</v>
      </c>
      <c r="BQ18" s="1808">
        <v>21517208.79283167</v>
      </c>
      <c r="BR18" s="1147">
        <v>48444957.669361874</v>
      </c>
      <c r="BS18" s="57"/>
      <c r="BT18" s="470">
        <f t="shared" si="12"/>
        <v>4728092.8589389399</v>
      </c>
      <c r="BU18" s="467">
        <f t="shared" si="13"/>
        <v>21517208.79283167</v>
      </c>
      <c r="BV18" s="470">
        <f t="shared" si="14"/>
        <v>48444957.669361874</v>
      </c>
      <c r="BW18" s="1">
        <f t="shared" si="15"/>
        <v>4.5873547442252506E-2</v>
      </c>
      <c r="BX18" s="1">
        <f t="shared" si="16"/>
        <v>0.12582588113897691</v>
      </c>
      <c r="BY18" s="1">
        <f t="shared" si="17"/>
        <v>0.14829679265406523</v>
      </c>
      <c r="CH18" s="1">
        <v>18</v>
      </c>
      <c r="CI18" s="1">
        <v>0</v>
      </c>
      <c r="CJ18" s="1">
        <v>4926687.6501452662</v>
      </c>
      <c r="CK18" s="1">
        <v>0</v>
      </c>
      <c r="CL18" s="1">
        <f t="shared" si="18"/>
        <v>0</v>
      </c>
      <c r="CM18" s="1">
        <f t="shared" si="19"/>
        <v>1.1785799983639985E-2</v>
      </c>
      <c r="CN18" s="1">
        <f t="shared" si="20"/>
        <v>0</v>
      </c>
      <c r="CX18" s="1">
        <v>18</v>
      </c>
      <c r="CY18" s="2">
        <v>23586403.946655378</v>
      </c>
      <c r="CZ18" s="2">
        <f t="shared" si="23"/>
        <v>38729410.106792398</v>
      </c>
      <c r="DA18" s="2">
        <v>904242.21563191491</v>
      </c>
      <c r="DB18" s="2">
        <f t="shared" si="55"/>
        <v>2065787.5761841545</v>
      </c>
      <c r="DC18" s="2"/>
      <c r="DD18" s="2"/>
      <c r="DE18" s="1">
        <f t="shared" si="22"/>
        <v>6.1354342831961652E-2</v>
      </c>
      <c r="DF18" s="1">
        <f t="shared" si="56"/>
        <v>9.5805771207459096E-3</v>
      </c>
      <c r="DQ18" s="1809">
        <v>17</v>
      </c>
      <c r="DR18" s="1810"/>
      <c r="DS18" s="947">
        <v>7981525.3693574574</v>
      </c>
      <c r="DT18" s="1">
        <v>4895589.4594390076</v>
      </c>
      <c r="DU18" s="1">
        <v>1575731.8831322528</v>
      </c>
      <c r="DV18" s="2">
        <f t="shared" si="61"/>
        <v>6471321.3425712604</v>
      </c>
      <c r="DW18" s="2">
        <f t="shared" si="24"/>
        <v>13737057.638162304</v>
      </c>
      <c r="DX18" s="2">
        <f t="shared" si="25"/>
        <v>21718583.007519759</v>
      </c>
      <c r="DZ18" s="2">
        <f t="shared" si="26"/>
        <v>0</v>
      </c>
      <c r="EA18" s="1">
        <f t="shared" si="33"/>
        <v>2.9151811517300703</v>
      </c>
      <c r="EB18" s="1">
        <f t="shared" si="34"/>
        <v>3.9491490874355599</v>
      </c>
      <c r="EC18" s="1">
        <f t="shared" si="35"/>
        <v>0</v>
      </c>
      <c r="ED18" s="123"/>
      <c r="EE18" s="878"/>
      <c r="EH18" s="2"/>
      <c r="EM18" s="1809">
        <v>17</v>
      </c>
      <c r="EO18" s="20">
        <v>12834238.011081744</v>
      </c>
      <c r="EP18" s="1">
        <v>4167341.7849060912</v>
      </c>
      <c r="EQ18" s="891">
        <v>445663</v>
      </c>
      <c r="ER18" s="1">
        <f t="shared" si="27"/>
        <v>4613004.7849060912</v>
      </c>
      <c r="ES18" s="2">
        <f t="shared" si="28"/>
        <v>11017076.011845034</v>
      </c>
      <c r="ET18" s="2">
        <f t="shared" si="29"/>
        <v>23851314.022926778</v>
      </c>
      <c r="EU18" s="893">
        <v>0</v>
      </c>
      <c r="EV18">
        <v>19</v>
      </c>
      <c r="EW18" s="2">
        <f t="shared" si="30"/>
        <v>1074114.7658389125</v>
      </c>
      <c r="EX18" s="2">
        <f t="shared" si="31"/>
        <v>1074114.7658389125</v>
      </c>
      <c r="EY18" s="1">
        <f t="shared" si="36"/>
        <v>8.6202896124514279</v>
      </c>
      <c r="EZ18" s="1">
        <f t="shared" si="37"/>
        <v>2.6063164404297328</v>
      </c>
      <c r="FA18" s="1">
        <f t="shared" si="38"/>
        <v>0.4049101173363106</v>
      </c>
      <c r="FL18" s="1809">
        <v>17</v>
      </c>
      <c r="FN18" s="1">
        <v>4300865</v>
      </c>
      <c r="FO18" s="2">
        <v>0</v>
      </c>
      <c r="FP18" s="2">
        <v>3707884.3733920576</v>
      </c>
      <c r="FQ18" s="2">
        <f t="shared" si="41"/>
        <v>3707884.3733920576</v>
      </c>
      <c r="FR18" s="2">
        <f t="shared" si="42"/>
        <v>2836653.9083664888</v>
      </c>
      <c r="FT18" s="2">
        <v>1966.5391850450335</v>
      </c>
      <c r="FU18" s="2">
        <f>$FT$54*FT18</f>
        <v>6624.4561323896014</v>
      </c>
      <c r="FV18" s="1">
        <f t="shared" si="39"/>
        <v>7144143.3644988779</v>
      </c>
      <c r="FW18" s="1">
        <f t="shared" si="40"/>
        <v>9103422.5478471052</v>
      </c>
      <c r="FY18" s="1">
        <f t="shared" si="43"/>
        <v>8.3404717828680166</v>
      </c>
      <c r="FZ18" s="1">
        <f>(FU18/$FU$51)*100</f>
        <v>7.158951362212309E-3</v>
      </c>
      <c r="GL18" s="1809">
        <v>17</v>
      </c>
      <c r="GN18">
        <v>2662562.4976474261</v>
      </c>
      <c r="GP18" s="1135">
        <v>6951492.348850972</v>
      </c>
      <c r="GQ18" s="2">
        <f t="shared" si="57"/>
        <v>23555735.849377748</v>
      </c>
      <c r="GR18" s="2">
        <f t="shared" si="58"/>
        <v>26218298.347025175</v>
      </c>
      <c r="GW18" s="1">
        <f t="shared" si="44"/>
        <v>1.7346026617023569</v>
      </c>
      <c r="GX18" s="1">
        <f t="shared" si="45"/>
        <v>8.6673892314875527</v>
      </c>
      <c r="GY18" s="2">
        <f t="shared" si="59"/>
        <v>0</v>
      </c>
      <c r="HI18" s="1809">
        <v>17</v>
      </c>
      <c r="HK18" s="211">
        <v>714661.96894299064</v>
      </c>
      <c r="HM18" s="57">
        <v>6846302.7751867045</v>
      </c>
      <c r="HN18" s="2">
        <f t="shared" si="46"/>
        <v>26204951.069946226</v>
      </c>
      <c r="HO18" s="2">
        <f t="shared" si="60"/>
        <v>26919613.038889218</v>
      </c>
      <c r="HP18">
        <v>15</v>
      </c>
      <c r="HQ18" s="2">
        <f t="shared" si="62"/>
        <v>87027.937598532881</v>
      </c>
      <c r="HR18" s="2"/>
      <c r="HT18" s="2">
        <f t="shared" si="64"/>
        <v>87027.937598532881</v>
      </c>
      <c r="HU18" s="1">
        <f t="shared" si="47"/>
        <v>0.39944277736271555</v>
      </c>
      <c r="HV18" s="1">
        <f t="shared" si="48"/>
        <v>4.4785748066660096</v>
      </c>
      <c r="HW18" s="1">
        <f t="shared" si="49"/>
        <v>7.6881804896095335E-2</v>
      </c>
      <c r="HX18" s="2">
        <f t="shared" si="50"/>
        <v>27006640.976487752</v>
      </c>
      <c r="IF18" s="1809">
        <v>17</v>
      </c>
      <c r="IG18" s="211">
        <v>7853818.2049903292</v>
      </c>
      <c r="IH18" s="57">
        <v>29678931.478135958</v>
      </c>
      <c r="II18" s="211">
        <v>3569849.1194120031</v>
      </c>
      <c r="IJ18" s="57">
        <v>126144.33885863355</v>
      </c>
      <c r="IK18" s="57">
        <f t="shared" si="51"/>
        <v>1088478.744083225</v>
      </c>
      <c r="IL18" s="2">
        <f t="shared" si="52"/>
        <v>38621228.427209511</v>
      </c>
      <c r="IN18" s="57">
        <f t="shared" si="53"/>
        <v>0</v>
      </c>
      <c r="IR18" s="1">
        <f t="shared" si="54"/>
        <v>15.664839714742291</v>
      </c>
      <c r="IS18" s="1">
        <f t="shared" si="63"/>
        <v>1.0651609243259752</v>
      </c>
    </row>
    <row r="19" spans="1:253" ht="15.6" thickTop="1" thickBot="1">
      <c r="A19" s="1119">
        <v>20</v>
      </c>
      <c r="B19" s="2">
        <v>4319465.562601191</v>
      </c>
      <c r="C19" s="2">
        <v>412330.48536009761</v>
      </c>
      <c r="D19" s="2">
        <v>54272.066973031433</v>
      </c>
      <c r="E19" s="2">
        <v>9600.8069077219352</v>
      </c>
      <c r="F19" s="2"/>
      <c r="G19" s="13">
        <f t="shared" si="21"/>
        <v>4795668.9218420424</v>
      </c>
      <c r="H19" s="243">
        <v>466602.55233312905</v>
      </c>
      <c r="I19" s="244">
        <v>9600.8069077219352</v>
      </c>
      <c r="J19" s="245">
        <v>4319465.562601191</v>
      </c>
      <c r="K19" s="246">
        <f t="shared" si="32"/>
        <v>4795668.9218420424</v>
      </c>
      <c r="L19" s="241">
        <f t="shared" si="0"/>
        <v>0.72175071907284172</v>
      </c>
      <c r="M19" s="242">
        <f t="shared" si="1"/>
        <v>2.6220333847356142E-2</v>
      </c>
      <c r="N19" s="240"/>
      <c r="O19" s="240"/>
      <c r="P19" s="240">
        <f t="shared" si="2"/>
        <v>17.753883306625184</v>
      </c>
      <c r="Q19" s="242">
        <f t="shared" si="3"/>
        <v>3.818381294353705</v>
      </c>
      <c r="R19" s="358"/>
      <c r="S19" s="1154">
        <v>20</v>
      </c>
      <c r="T19" s="1155">
        <v>0</v>
      </c>
      <c r="U19" s="1155">
        <v>0</v>
      </c>
      <c r="V19" s="1155">
        <v>2493.4918569612432</v>
      </c>
      <c r="W19" s="1155">
        <v>0</v>
      </c>
      <c r="X19" s="1146">
        <v>30347160.177633721</v>
      </c>
      <c r="Y19" s="1119">
        <f t="shared" si="4"/>
        <v>30349653.669490684</v>
      </c>
      <c r="Z19" s="1146">
        <v>50285941.992789485</v>
      </c>
      <c r="AA19" s="57">
        <v>417.71151725909249</v>
      </c>
      <c r="AB19" s="29">
        <f t="shared" si="5"/>
        <v>0.16332519761799064</v>
      </c>
      <c r="AC19" s="57">
        <f t="shared" si="6"/>
        <v>30347160.177633721</v>
      </c>
      <c r="AD19" s="1">
        <f t="shared" si="7"/>
        <v>13.475411204630799</v>
      </c>
      <c r="AE19" s="1">
        <f t="shared" si="8"/>
        <v>13.635950000362415</v>
      </c>
      <c r="AU19" s="137">
        <v>24</v>
      </c>
      <c r="AV19" s="431">
        <v>0</v>
      </c>
      <c r="AW19" s="2">
        <v>529844.12285067094</v>
      </c>
      <c r="AX19" s="2">
        <v>4187451.923076923</v>
      </c>
      <c r="AY19" s="431">
        <v>4474316.0161548276</v>
      </c>
      <c r="AZ19" s="57">
        <v>24512549.603067365</v>
      </c>
      <c r="BA19" s="435">
        <v>529844.12285067094</v>
      </c>
      <c r="BB19" s="2">
        <v>4187451.923076923</v>
      </c>
      <c r="BC19" s="1">
        <v>24512549.603067365</v>
      </c>
      <c r="BD19" s="1">
        <f t="shared" si="9"/>
        <v>5.3715250494758785E-3</v>
      </c>
      <c r="BE19" s="1">
        <f t="shared" si="10"/>
        <v>8.3333333333333343E-2</v>
      </c>
      <c r="BF19" s="1">
        <f t="shared" si="11"/>
        <v>8.9754211578659579E-2</v>
      </c>
      <c r="BN19" s="137">
        <v>24</v>
      </c>
      <c r="BO19" s="1154">
        <v>0</v>
      </c>
      <c r="BP19" s="1154">
        <v>4511008.3675423916</v>
      </c>
      <c r="BQ19" s="1808">
        <v>22152215.060673378</v>
      </c>
      <c r="BR19" s="1147">
        <v>35264270.355415374</v>
      </c>
      <c r="BS19" s="57"/>
      <c r="BT19" s="470">
        <f t="shared" si="12"/>
        <v>4511008.3675423916</v>
      </c>
      <c r="BU19" s="467">
        <f t="shared" si="13"/>
        <v>22152215.060673378</v>
      </c>
      <c r="BV19" s="470">
        <f t="shared" si="14"/>
        <v>35264270.355415374</v>
      </c>
      <c r="BW19" s="1">
        <f t="shared" si="15"/>
        <v>4.3767320679757901E-2</v>
      </c>
      <c r="BX19" s="1">
        <f t="shared" si="16"/>
        <v>0.12953919841675385</v>
      </c>
      <c r="BY19" s="1">
        <f t="shared" si="17"/>
        <v>0.1079488648681653</v>
      </c>
      <c r="CH19" s="1">
        <v>19</v>
      </c>
      <c r="CI19" s="1">
        <v>90529.791515305027</v>
      </c>
      <c r="CJ19" s="1">
        <v>13938271.200905178</v>
      </c>
      <c r="CK19" s="1">
        <v>439096.82013264054</v>
      </c>
      <c r="CL19" s="1">
        <f t="shared" si="18"/>
        <v>3.9052329536256062E-4</v>
      </c>
      <c r="CM19" s="1">
        <f t="shared" si="19"/>
        <v>3.3343635350366531E-2</v>
      </c>
      <c r="CN19" s="1">
        <f t="shared" si="20"/>
        <v>1.3459710683184174E-3</v>
      </c>
      <c r="CX19" s="1">
        <v>19</v>
      </c>
      <c r="CY19" s="2">
        <v>21046448.716526851</v>
      </c>
      <c r="CZ19" s="2">
        <f t="shared" si="23"/>
        <v>34558746.0249331</v>
      </c>
      <c r="DA19" s="2">
        <v>937846.37630380387</v>
      </c>
      <c r="DB19" s="2">
        <f t="shared" si="55"/>
        <v>2142557.9994446654</v>
      </c>
      <c r="DC19" s="2"/>
      <c r="DD19" s="2"/>
      <c r="DE19" s="1">
        <f t="shared" si="22"/>
        <v>5.4747261722031038E-2</v>
      </c>
      <c r="DF19" s="1">
        <f t="shared" si="56"/>
        <v>9.9366180656712492E-3</v>
      </c>
      <c r="DQ19" s="1809">
        <v>18</v>
      </c>
      <c r="DR19" s="1810"/>
      <c r="DS19" s="947">
        <v>11183619.248129889</v>
      </c>
      <c r="DT19" s="1">
        <v>10920399.813229</v>
      </c>
      <c r="DU19" s="1">
        <v>1310148.6250813974</v>
      </c>
      <c r="DV19" s="2">
        <f t="shared" si="61"/>
        <v>12230548.438310398</v>
      </c>
      <c r="DW19" s="2">
        <f t="shared" si="24"/>
        <v>25962510.583139967</v>
      </c>
      <c r="DX19" s="2">
        <f t="shared" si="25"/>
        <v>37146129.83126986</v>
      </c>
      <c r="DY19" s="1">
        <v>66569.835224598704</v>
      </c>
      <c r="DZ19" s="2">
        <f t="shared" si="26"/>
        <v>756463.85964463372</v>
      </c>
      <c r="EA19" s="1">
        <f t="shared" si="33"/>
        <v>4.0847174608302321</v>
      </c>
      <c r="EB19" s="1">
        <f t="shared" si="34"/>
        <v>3.283535925452171</v>
      </c>
      <c r="EC19" s="1">
        <f t="shared" si="35"/>
        <v>0.47552251710668003</v>
      </c>
      <c r="ED19" s="123"/>
      <c r="EE19" s="878"/>
      <c r="EF19" s="879"/>
      <c r="EG19" s="879"/>
      <c r="EH19" s="2"/>
      <c r="EM19" s="1809">
        <v>18</v>
      </c>
      <c r="EO19" s="20">
        <v>14088072.882879687</v>
      </c>
      <c r="EP19" s="1">
        <v>714631.11631995311</v>
      </c>
      <c r="EQ19" s="891">
        <v>690657</v>
      </c>
      <c r="ER19" s="1">
        <f t="shared" si="27"/>
        <v>1405288.116319953</v>
      </c>
      <c r="ES19" s="2">
        <f t="shared" si="28"/>
        <v>3356199.8562623695</v>
      </c>
      <c r="ET19" s="2">
        <f t="shared" si="29"/>
        <v>17444272.739142057</v>
      </c>
      <c r="EU19" s="893">
        <v>0</v>
      </c>
      <c r="EV19">
        <v>31</v>
      </c>
      <c r="EW19" s="2">
        <f t="shared" si="30"/>
        <v>1752503.0390003307</v>
      </c>
      <c r="EX19" s="2">
        <f t="shared" si="31"/>
        <v>1752503.0390003307</v>
      </c>
      <c r="EY19" s="1">
        <f t="shared" si="36"/>
        <v>9.4624447689754554</v>
      </c>
      <c r="EZ19" s="1">
        <f t="shared" si="37"/>
        <v>0.7939782618672887</v>
      </c>
      <c r="FA19" s="1">
        <f t="shared" si="38"/>
        <v>0.6606428230224014</v>
      </c>
      <c r="FL19" s="1809">
        <v>18</v>
      </c>
      <c r="FN19" s="1">
        <v>3348474</v>
      </c>
      <c r="FO19" s="2">
        <v>1795207.082240328</v>
      </c>
      <c r="FP19" s="2">
        <v>6017307.7811631607</v>
      </c>
      <c r="FQ19" s="2">
        <f t="shared" si="41"/>
        <v>7812514.8634034889</v>
      </c>
      <c r="FR19" s="2">
        <f t="shared" si="42"/>
        <v>5976831.6888401331</v>
      </c>
      <c r="FT19" s="2">
        <v>10026.474449476571</v>
      </c>
      <c r="FU19" s="2">
        <f t="shared" ref="FU19:FU45" si="65">$FT$54*FT19</f>
        <v>33775.040262704817</v>
      </c>
      <c r="FV19" s="1">
        <f t="shared" si="39"/>
        <v>9359080.7291028369</v>
      </c>
      <c r="FW19" s="1">
        <f t="shared" si="40"/>
        <v>11925805.822964806</v>
      </c>
      <c r="FY19" s="1">
        <f t="shared" si="43"/>
        <v>13.535261810688857</v>
      </c>
      <c r="FZ19" s="1">
        <f t="shared" ref="FZ19:FZ46" si="66">(FU19/$FU$51)*100</f>
        <v>3.6500184417440663E-2</v>
      </c>
      <c r="GL19" s="1809">
        <v>18</v>
      </c>
      <c r="GN19">
        <v>1329338.4128113699</v>
      </c>
      <c r="GP19" s="1135">
        <v>11902946.615421897</v>
      </c>
      <c r="GQ19" s="2">
        <f t="shared" si="57"/>
        <v>40334168.870727189</v>
      </c>
      <c r="GR19" s="2">
        <f t="shared" si="58"/>
        <v>41663507.283538558</v>
      </c>
      <c r="GW19" s="1">
        <f t="shared" si="44"/>
        <v>0.8660356146393563</v>
      </c>
      <c r="GX19" s="1">
        <f t="shared" si="45"/>
        <v>14.841053710507465</v>
      </c>
      <c r="GY19" s="2">
        <f t="shared" si="59"/>
        <v>0</v>
      </c>
      <c r="HI19" s="1809">
        <v>18</v>
      </c>
      <c r="HK19" s="211">
        <v>2702317.1607829821</v>
      </c>
      <c r="HM19" s="57">
        <v>4976908.3647913933</v>
      </c>
      <c r="HN19" s="2">
        <f t="shared" si="46"/>
        <v>19049645.401551481</v>
      </c>
      <c r="HO19" s="2">
        <f t="shared" si="60"/>
        <v>21751962.562334463</v>
      </c>
      <c r="HP19">
        <v>19</v>
      </c>
      <c r="HQ19" s="2">
        <f t="shared" si="62"/>
        <v>110235.38762480831</v>
      </c>
      <c r="HR19" s="2">
        <v>7018.8497188438687</v>
      </c>
      <c r="HS19" s="2">
        <f>HR19*$HR$54</f>
        <v>69340.980198901423</v>
      </c>
      <c r="HT19" s="2">
        <f t="shared" si="64"/>
        <v>179576.36782370973</v>
      </c>
      <c r="HU19" s="1">
        <f t="shared" si="47"/>
        <v>1.5103938909951831</v>
      </c>
      <c r="HV19" s="1">
        <f t="shared" si="48"/>
        <v>3.6188407086862449</v>
      </c>
      <c r="HW19" s="1">
        <f t="shared" si="49"/>
        <v>0.15864049701672636</v>
      </c>
      <c r="HX19" s="2">
        <f t="shared" si="50"/>
        <v>21931538.930158172</v>
      </c>
      <c r="IF19" s="1809">
        <v>18</v>
      </c>
      <c r="IG19" s="211">
        <v>826717.70578845567</v>
      </c>
      <c r="IH19" s="57">
        <v>14139533.442888284</v>
      </c>
      <c r="II19" s="211">
        <v>375773.5915170529</v>
      </c>
      <c r="IJ19" s="57">
        <v>73385.338236321186</v>
      </c>
      <c r="IK19" s="57">
        <f t="shared" si="51"/>
        <v>633230.0087371422</v>
      </c>
      <c r="IL19" s="2">
        <f t="shared" si="52"/>
        <v>15599481.157413881</v>
      </c>
      <c r="IN19" s="57">
        <f t="shared" si="53"/>
        <v>0</v>
      </c>
      <c r="IR19" s="1">
        <f t="shared" si="54"/>
        <v>7.4629885239384128</v>
      </c>
      <c r="IS19" s="1">
        <f t="shared" si="63"/>
        <v>0.61966470643897853</v>
      </c>
    </row>
    <row r="20" spans="1:253" ht="15.6" thickTop="1" thickBot="1">
      <c r="A20" s="1119">
        <v>21</v>
      </c>
      <c r="B20" s="2">
        <v>4450456.0902147833</v>
      </c>
      <c r="C20" s="2">
        <v>4409679.8053297894</v>
      </c>
      <c r="D20" s="2">
        <v>122534.64537530681</v>
      </c>
      <c r="E20" s="2">
        <v>12266.545335679355</v>
      </c>
      <c r="F20" s="2"/>
      <c r="G20" s="13">
        <f t="shared" si="21"/>
        <v>8994937.0862555616</v>
      </c>
      <c r="H20" s="243">
        <v>4532214.4507050961</v>
      </c>
      <c r="I20" s="244">
        <v>12266.545335679355</v>
      </c>
      <c r="J20" s="245">
        <v>4450456.0902147833</v>
      </c>
      <c r="K20" s="246">
        <f t="shared" si="32"/>
        <v>8994937.0862555578</v>
      </c>
      <c r="L20" s="241">
        <f t="shared" si="0"/>
        <v>7.0105253870392845</v>
      </c>
      <c r="M20" s="242">
        <f t="shared" si="1"/>
        <v>3.3500612703350217E-2</v>
      </c>
      <c r="N20" s="240"/>
      <c r="O20" s="240"/>
      <c r="P20" s="240">
        <f t="shared" si="2"/>
        <v>18.29228105695347</v>
      </c>
      <c r="Q20" s="242">
        <f t="shared" si="3"/>
        <v>7.1618996377369015</v>
      </c>
      <c r="R20" s="358"/>
      <c r="S20" s="1154">
        <v>21</v>
      </c>
      <c r="T20" s="1155">
        <v>0</v>
      </c>
      <c r="U20" s="1155">
        <v>0</v>
      </c>
      <c r="V20" s="1155">
        <v>1876.8168294540615</v>
      </c>
      <c r="W20" s="1155">
        <v>0</v>
      </c>
      <c r="X20" s="1146">
        <v>45023346.556468397</v>
      </c>
      <c r="Y20" s="1119">
        <f t="shared" si="4"/>
        <v>45025223.373297848</v>
      </c>
      <c r="Z20" s="1146">
        <v>110666361.52479635</v>
      </c>
      <c r="AA20" s="57">
        <v>393.58575627054074</v>
      </c>
      <c r="AB20" s="29">
        <f t="shared" si="5"/>
        <v>0.15389202539665697</v>
      </c>
      <c r="AC20" s="57">
        <f t="shared" si="6"/>
        <v>45023346.556468397</v>
      </c>
      <c r="AD20" s="1">
        <f t="shared" si="7"/>
        <v>19.992253150071093</v>
      </c>
      <c r="AE20" s="1">
        <f t="shared" si="8"/>
        <v>30.009201631154408</v>
      </c>
      <c r="AU20" s="137">
        <v>25</v>
      </c>
      <c r="AV20" s="431">
        <v>0</v>
      </c>
      <c r="AW20" s="431">
        <v>1127487.6840615554</v>
      </c>
      <c r="AX20" s="2">
        <v>6979086.538461538</v>
      </c>
      <c r="AY20" s="431">
        <v>7672582.8649606192</v>
      </c>
      <c r="AZ20" s="57">
        <v>42034261.188064419</v>
      </c>
      <c r="BA20" s="435">
        <v>1127487.6840615554</v>
      </c>
      <c r="BB20" s="2">
        <v>6979086.538461538</v>
      </c>
      <c r="BC20" s="1">
        <v>42034261.188064419</v>
      </c>
      <c r="BD20" s="1">
        <f t="shared" si="9"/>
        <v>1.1430396368894103E-2</v>
      </c>
      <c r="BE20" s="1">
        <f t="shared" si="10"/>
        <v>0.1388888888888889</v>
      </c>
      <c r="BF20" s="1">
        <f t="shared" si="11"/>
        <v>0.15391103876661086</v>
      </c>
      <c r="BN20" s="137">
        <v>25</v>
      </c>
      <c r="BO20" s="1154">
        <v>0</v>
      </c>
      <c r="BP20" s="1154">
        <v>5782985.2861020444</v>
      </c>
      <c r="BQ20" s="1808">
        <v>23062714.212103777</v>
      </c>
      <c r="BR20" s="1147">
        <v>30754432.615471974</v>
      </c>
      <c r="BS20" s="57"/>
      <c r="BT20" s="470">
        <f t="shared" si="12"/>
        <v>5782985.2861020444</v>
      </c>
      <c r="BU20" s="467">
        <f t="shared" si="13"/>
        <v>23062714.212103777</v>
      </c>
      <c r="BV20" s="470">
        <f t="shared" si="14"/>
        <v>30754432.615471974</v>
      </c>
      <c r="BW20" s="1">
        <f t="shared" si="15"/>
        <v>5.6108468635149601E-2</v>
      </c>
      <c r="BX20" s="1">
        <f t="shared" si="16"/>
        <v>0.13486351157967613</v>
      </c>
      <c r="BY20" s="1">
        <f t="shared" si="17"/>
        <v>9.4143620640512043E-2</v>
      </c>
      <c r="CH20" s="1">
        <v>20</v>
      </c>
      <c r="CI20" s="1">
        <v>205698.39180139627</v>
      </c>
      <c r="CJ20" s="1">
        <v>27777952.036617082</v>
      </c>
      <c r="CK20" s="1">
        <v>3976331.7671152973</v>
      </c>
      <c r="CL20" s="1">
        <f t="shared" si="18"/>
        <v>8.873323628882957E-4</v>
      </c>
      <c r="CM20" s="1">
        <f t="shared" si="19"/>
        <v>6.6451419271335535E-2</v>
      </c>
      <c r="CN20" s="1">
        <f t="shared" si="20"/>
        <v>1.2188718458393571E-2</v>
      </c>
      <c r="CX20" s="1">
        <v>20</v>
      </c>
      <c r="CY20" s="2">
        <v>7381103.2977859741</v>
      </c>
      <c r="CZ20" s="2">
        <f t="shared" si="23"/>
        <v>12119938.982944766</v>
      </c>
      <c r="DA20" s="2">
        <v>1159942.6338013138</v>
      </c>
      <c r="DB20" s="2">
        <f t="shared" si="55"/>
        <v>2649948.2556435815</v>
      </c>
      <c r="DC20" s="2">
        <v>18807.542190229331</v>
      </c>
      <c r="DD20" s="2">
        <f t="shared" ref="DD20:DD41" si="67">DC20*$DC$55</f>
        <v>57394.390457300411</v>
      </c>
      <c r="DE20" s="1">
        <f t="shared" si="22"/>
        <v>1.920016053463295E-2</v>
      </c>
      <c r="DF20" s="1">
        <f t="shared" si="56"/>
        <v>1.2289760051745136E-2</v>
      </c>
      <c r="DG20" s="1">
        <f t="shared" ref="DG20:DG46" si="68">DD20/DD$51</f>
        <v>2.4581910676336823E-3</v>
      </c>
      <c r="DQ20" s="1809">
        <v>19</v>
      </c>
      <c r="DR20" s="1810"/>
      <c r="DS20" s="947">
        <v>17839573.26129663</v>
      </c>
      <c r="DT20" s="1">
        <v>10043775.246835563</v>
      </c>
      <c r="DU20" s="1">
        <v>884630.58164127555</v>
      </c>
      <c r="DV20" s="2">
        <f t="shared" si="61"/>
        <v>10928405.828476839</v>
      </c>
      <c r="DW20" s="2">
        <f t="shared" si="24"/>
        <v>23198375.233112153</v>
      </c>
      <c r="DX20" s="2">
        <f t="shared" si="25"/>
        <v>41037948.494408786</v>
      </c>
      <c r="DY20" s="1">
        <v>115543.43172144923</v>
      </c>
      <c r="DZ20" s="2">
        <f t="shared" si="26"/>
        <v>1312973.511526678</v>
      </c>
      <c r="EA20" s="1">
        <f t="shared" si="33"/>
        <v>6.5157454646324471</v>
      </c>
      <c r="EB20" s="1">
        <f t="shared" si="34"/>
        <v>2.2170891454336434</v>
      </c>
      <c r="EC20" s="1">
        <f t="shared" si="35"/>
        <v>0.82535135173392749</v>
      </c>
      <c r="ED20" s="123"/>
      <c r="EE20" s="878"/>
      <c r="EF20" s="879"/>
      <c r="EG20" s="879"/>
      <c r="EH20" s="2"/>
      <c r="EM20" s="1809">
        <v>19</v>
      </c>
      <c r="EO20" s="20">
        <v>17255317.359495625</v>
      </c>
      <c r="EP20" s="1">
        <v>1679368.4217852312</v>
      </c>
      <c r="EQ20" s="891">
        <v>789794</v>
      </c>
      <c r="ER20" s="1">
        <f t="shared" si="27"/>
        <v>2469162.4217852312</v>
      </c>
      <c r="ES20" s="2">
        <f t="shared" si="28"/>
        <v>5897013.1952622812</v>
      </c>
      <c r="ET20" s="2">
        <f t="shared" si="29"/>
        <v>23152330.554757908</v>
      </c>
      <c r="EU20" s="893">
        <v>0</v>
      </c>
      <c r="EV20">
        <v>51</v>
      </c>
      <c r="EW20" s="2">
        <f t="shared" si="30"/>
        <v>2883150.1609360278</v>
      </c>
      <c r="EX20" s="2">
        <f t="shared" si="31"/>
        <v>2883150.1609360278</v>
      </c>
      <c r="EY20" s="1">
        <f t="shared" si="36"/>
        <v>11.589767375763024</v>
      </c>
      <c r="EZ20" s="1">
        <f t="shared" si="37"/>
        <v>1.3950600344155399</v>
      </c>
      <c r="FA20" s="1">
        <f t="shared" si="38"/>
        <v>1.0868639991658862</v>
      </c>
      <c r="FL20" s="1809">
        <v>19</v>
      </c>
      <c r="FN20" s="1">
        <v>2228529</v>
      </c>
      <c r="FO20" s="2">
        <v>18471425.248197552</v>
      </c>
      <c r="FP20" s="2">
        <v>7314033.0694330344</v>
      </c>
      <c r="FQ20" s="2">
        <f t="shared" si="41"/>
        <v>25785458.317630585</v>
      </c>
      <c r="FR20" s="2">
        <f t="shared" si="42"/>
        <v>19726726.550756436</v>
      </c>
      <c r="FT20" s="2">
        <v>21628.404170514339</v>
      </c>
      <c r="FU20" s="2">
        <f t="shared" si="65"/>
        <v>72857.136908707733</v>
      </c>
      <c r="FV20" s="1">
        <f t="shared" si="39"/>
        <v>22028112.687665142</v>
      </c>
      <c r="FW20" s="1">
        <f t="shared" si="40"/>
        <v>28069316.011195965</v>
      </c>
      <c r="FY20" s="1">
        <f t="shared" si="43"/>
        <v>16.452100521884208</v>
      </c>
      <c r="FZ20" s="1">
        <f t="shared" si="66"/>
        <v>7.8735625853006461E-2</v>
      </c>
      <c r="GL20" s="1809">
        <v>19</v>
      </c>
      <c r="GN20">
        <v>2064024.2554024789</v>
      </c>
      <c r="GP20" s="1135">
        <v>15314400.797986491</v>
      </c>
      <c r="GQ20" s="2">
        <f t="shared" si="57"/>
        <v>51894177.79457061</v>
      </c>
      <c r="GR20" s="2">
        <f t="shared" si="58"/>
        <v>53958202.049973086</v>
      </c>
      <c r="GW20" s="1">
        <f t="shared" si="44"/>
        <v>1.3446677666356359</v>
      </c>
      <c r="GX20" s="1">
        <f t="shared" si="45"/>
        <v>19.094586586877668</v>
      </c>
      <c r="GY20" s="2">
        <f t="shared" si="59"/>
        <v>0</v>
      </c>
      <c r="HI20" s="1809">
        <v>19</v>
      </c>
      <c r="HJ20" s="57">
        <v>236948.0395757971</v>
      </c>
      <c r="HK20" s="211">
        <v>6749603.3273133561</v>
      </c>
      <c r="HM20" s="57">
        <v>4651319.1152113825</v>
      </c>
      <c r="HN20" s="2">
        <f t="shared" si="46"/>
        <v>17803417.965472009</v>
      </c>
      <c r="HO20" s="2">
        <f t="shared" si="60"/>
        <v>24789969.332361162</v>
      </c>
      <c r="HP20">
        <v>30</v>
      </c>
      <c r="HQ20" s="2">
        <f t="shared" si="62"/>
        <v>174055.87519706576</v>
      </c>
      <c r="HR20" s="2">
        <v>9331.3352660334131</v>
      </c>
      <c r="HS20" s="2">
        <f t="shared" ref="HS20:HS48" si="69">HR20*$HR$54</f>
        <v>92186.606043748339</v>
      </c>
      <c r="HT20" s="2">
        <f t="shared" si="64"/>
        <v>266242.48124081409</v>
      </c>
      <c r="HU20" s="1">
        <f t="shared" si="47"/>
        <v>3.7725252165667458</v>
      </c>
      <c r="HV20" s="1">
        <f t="shared" si="48"/>
        <v>4.1242692437497546</v>
      </c>
      <c r="HW20" s="1">
        <f>(HT20/$HT$51)*100</f>
        <v>0.23520266092291794</v>
      </c>
      <c r="HX20" s="2">
        <f t="shared" si="50"/>
        <v>25056211.813601974</v>
      </c>
      <c r="IF20" s="1809">
        <v>19</v>
      </c>
      <c r="IG20" s="211">
        <v>413358.85289422784</v>
      </c>
      <c r="IH20" s="57">
        <v>10417871.368140709</v>
      </c>
      <c r="II20" s="211">
        <v>187886.79575852645</v>
      </c>
      <c r="IJ20" s="57">
        <v>155814.61587084294</v>
      </c>
      <c r="IK20" s="57">
        <f t="shared" si="51"/>
        <v>1344498.6824416453</v>
      </c>
      <c r="IL20" s="2">
        <f t="shared" si="52"/>
        <v>12175728.903476581</v>
      </c>
      <c r="IN20" s="57">
        <f t="shared" si="53"/>
        <v>0</v>
      </c>
      <c r="IR20" s="1">
        <f t="shared" si="54"/>
        <v>5.4986577017083667</v>
      </c>
      <c r="IS20" s="1">
        <f t="shared" si="63"/>
        <v>1.3156963028715789</v>
      </c>
    </row>
    <row r="21" spans="1:253" ht="15.6" thickTop="1" thickBot="1">
      <c r="A21" s="1119">
        <v>22</v>
      </c>
      <c r="B21" s="2">
        <v>1270242.7232045471</v>
      </c>
      <c r="C21" s="2">
        <v>11116000.460460775</v>
      </c>
      <c r="D21" s="2">
        <v>311895.98164804874</v>
      </c>
      <c r="E21" s="2">
        <v>251572.88550125522</v>
      </c>
      <c r="F21" s="2"/>
      <c r="G21" s="13">
        <f t="shared" si="21"/>
        <v>12949712.050814625</v>
      </c>
      <c r="H21" s="243">
        <v>11427896.442108823</v>
      </c>
      <c r="I21" s="244">
        <v>251572.88550125522</v>
      </c>
      <c r="J21" s="245">
        <v>1270242.7232045471</v>
      </c>
      <c r="K21" s="246">
        <f t="shared" si="32"/>
        <v>12949712.050814625</v>
      </c>
      <c r="L21" s="241">
        <f t="shared" si="0"/>
        <v>17.676912467236825</v>
      </c>
      <c r="M21" s="242">
        <f t="shared" si="1"/>
        <v>0.68705944283497511</v>
      </c>
      <c r="N21" s="240"/>
      <c r="O21" s="240"/>
      <c r="P21" s="240">
        <f t="shared" si="2"/>
        <v>5.2209563317556862</v>
      </c>
      <c r="Q21" s="242">
        <f t="shared" si="3"/>
        <v>10.310748942006715</v>
      </c>
      <c r="R21" s="358"/>
      <c r="S21" s="1154">
        <v>22</v>
      </c>
      <c r="T21" s="1155">
        <v>0</v>
      </c>
      <c r="U21" s="1155">
        <v>0</v>
      </c>
      <c r="V21" s="1155">
        <v>940.63864758226453</v>
      </c>
      <c r="W21" s="1155">
        <v>0</v>
      </c>
      <c r="X21" s="1146">
        <v>49226760.869119674</v>
      </c>
      <c r="Y21" s="1119">
        <f t="shared" si="4"/>
        <v>49227701.507767253</v>
      </c>
      <c r="Z21" s="1146">
        <v>64794392.383836716</v>
      </c>
      <c r="AA21" s="57">
        <v>2145.6398029740685</v>
      </c>
      <c r="AB21" s="29">
        <f t="shared" si="5"/>
        <v>0.83894513404187965</v>
      </c>
      <c r="AC21" s="57">
        <f t="shared" si="6"/>
        <v>49226760.869119674</v>
      </c>
      <c r="AD21" s="1">
        <f t="shared" si="7"/>
        <v>21.858745302709249</v>
      </c>
      <c r="AE21" s="1">
        <f t="shared" si="8"/>
        <v>17.570180846498825</v>
      </c>
      <c r="AU21" s="137">
        <v>26</v>
      </c>
      <c r="AV21" s="431">
        <v>0</v>
      </c>
      <c r="AW21" s="2">
        <v>708350.19335031556</v>
      </c>
      <c r="AX21" s="2">
        <v>12562355.769230768</v>
      </c>
      <c r="AY21" s="431">
        <v>7188587.9770008326</v>
      </c>
      <c r="AZ21" s="57">
        <v>39382694.187452555</v>
      </c>
      <c r="BA21" s="435">
        <v>708350.19335031556</v>
      </c>
      <c r="BB21" s="2">
        <v>12562355.769230768</v>
      </c>
      <c r="BC21" s="1">
        <v>39382694.187452555</v>
      </c>
      <c r="BD21" s="1">
        <f t="shared" si="9"/>
        <v>7.1812079124536502E-3</v>
      </c>
      <c r="BE21" s="1">
        <f t="shared" si="10"/>
        <v>0.25</v>
      </c>
      <c r="BF21" s="1">
        <f t="shared" si="11"/>
        <v>0.14420216272386219</v>
      </c>
      <c r="BN21" s="137">
        <v>26</v>
      </c>
      <c r="BO21" s="1154">
        <v>0</v>
      </c>
      <c r="BP21" s="1154">
        <v>7013344.0839382093</v>
      </c>
      <c r="BQ21" s="1808">
        <v>21188019.074676447</v>
      </c>
      <c r="BR21" s="1147">
        <v>29570261.071666982</v>
      </c>
      <c r="BS21" s="57"/>
      <c r="BT21" s="470">
        <f t="shared" si="12"/>
        <v>7013344.0839382093</v>
      </c>
      <c r="BU21" s="467">
        <f t="shared" si="13"/>
        <v>21188019.074676447</v>
      </c>
      <c r="BV21" s="470">
        <f t="shared" si="14"/>
        <v>29570261.071666982</v>
      </c>
      <c r="BW21" s="1">
        <f t="shared" si="15"/>
        <v>6.8045823582995602E-2</v>
      </c>
      <c r="BX21" s="1">
        <f t="shared" si="16"/>
        <v>0.12390088302478974</v>
      </c>
      <c r="BY21" s="1">
        <f t="shared" si="17"/>
        <v>9.0518705884738523E-2</v>
      </c>
      <c r="CH21" s="1">
        <v>21</v>
      </c>
      <c r="CI21" s="1">
        <v>374850.34716845059</v>
      </c>
      <c r="CJ21" s="1">
        <v>17219716.042821482</v>
      </c>
      <c r="CK21" s="1">
        <v>7310270.6613497995</v>
      </c>
      <c r="CL21" s="1">
        <f t="shared" si="18"/>
        <v>1.6170123712178747E-3</v>
      </c>
      <c r="CM21" s="1">
        <f t="shared" si="19"/>
        <v>4.1193626117090369E-2</v>
      </c>
      <c r="CN21" s="1">
        <f t="shared" si="20"/>
        <v>2.240829894596259E-2</v>
      </c>
      <c r="CX21" s="1">
        <v>21</v>
      </c>
      <c r="CY21" s="2">
        <v>2583611.3922735769</v>
      </c>
      <c r="CZ21" s="2">
        <f t="shared" si="23"/>
        <v>4242348.4900135994</v>
      </c>
      <c r="DA21" s="2">
        <v>4548645.1722619319</v>
      </c>
      <c r="DB21" s="2">
        <f t="shared" si="55"/>
        <v>10391612.471623123</v>
      </c>
      <c r="DC21" s="2">
        <v>443616.1338975454</v>
      </c>
      <c r="DD21" s="2">
        <f t="shared" si="67"/>
        <v>1353769.5326984837</v>
      </c>
      <c r="DE21" s="1">
        <f t="shared" si="22"/>
        <v>6.7206420895964012E-3</v>
      </c>
      <c r="DF21" s="1">
        <f t="shared" si="56"/>
        <v>4.8193553800526534E-2</v>
      </c>
      <c r="DG21" s="1">
        <f t="shared" si="68"/>
        <v>5.7981697277364262E-2</v>
      </c>
      <c r="DQ21" s="1809">
        <v>20</v>
      </c>
      <c r="DR21" s="1810">
        <v>1865102.9581963585</v>
      </c>
      <c r="DS21" s="947">
        <v>16971824.222109973</v>
      </c>
      <c r="DT21" s="1">
        <v>15134717.110650787</v>
      </c>
      <c r="DU21" s="1">
        <v>588788.36007201031</v>
      </c>
      <c r="DV21" s="2">
        <f t="shared" si="61"/>
        <v>15723505.470722798</v>
      </c>
      <c r="DW21" s="2">
        <f t="shared" si="24"/>
        <v>33377217.648638334</v>
      </c>
      <c r="DX21" s="2">
        <f t="shared" si="25"/>
        <v>52214144.828944668</v>
      </c>
      <c r="DY21" s="1">
        <v>150795.49780765708</v>
      </c>
      <c r="DZ21" s="2">
        <f t="shared" si="26"/>
        <v>1713559.0602523056</v>
      </c>
      <c r="EA21" s="1">
        <f t="shared" si="33"/>
        <v>6.1988078460187683</v>
      </c>
      <c r="EB21" s="1">
        <f t="shared" si="34"/>
        <v>1.4756400119600181</v>
      </c>
      <c r="EC21" s="1">
        <f t="shared" si="35"/>
        <v>1.0771643709785705</v>
      </c>
      <c r="ED21" s="123"/>
      <c r="EE21" s="878"/>
      <c r="EF21" s="879"/>
      <c r="EG21" s="879"/>
      <c r="EH21" s="2"/>
      <c r="EM21" s="1809">
        <v>20</v>
      </c>
      <c r="EO21" s="20">
        <v>11659286.886909079</v>
      </c>
      <c r="EP21" s="1">
        <v>3905097.6092182482</v>
      </c>
      <c r="EQ21" s="891">
        <v>1062517</v>
      </c>
      <c r="ER21" s="1">
        <f t="shared" si="27"/>
        <v>4967614.6092182482</v>
      </c>
      <c r="ES21" s="2">
        <f t="shared" si="28"/>
        <v>11863978.100864561</v>
      </c>
      <c r="ET21" s="2">
        <f t="shared" si="29"/>
        <v>23523264.987773642</v>
      </c>
      <c r="EU21" s="893">
        <v>2579.86901827157</v>
      </c>
      <c r="EV21">
        <v>58</v>
      </c>
      <c r="EW21" s="2">
        <f t="shared" si="30"/>
        <v>3278876.6536135217</v>
      </c>
      <c r="EX21" s="2">
        <f t="shared" si="31"/>
        <v>3281456.5226317933</v>
      </c>
      <c r="EY21" s="1">
        <f t="shared" si="36"/>
        <v>7.8311177923481727</v>
      </c>
      <c r="EZ21" s="1">
        <f t="shared" si="37"/>
        <v>2.8066685879208366</v>
      </c>
      <c r="FA21" s="1">
        <f t="shared" si="38"/>
        <v>1.2370139466196564</v>
      </c>
      <c r="FL21" s="1809">
        <v>20</v>
      </c>
      <c r="FM21" s="2">
        <v>34937.477533956873</v>
      </c>
      <c r="FN21" s="1">
        <v>1663329</v>
      </c>
      <c r="FO21" s="2">
        <v>27966815.085193455</v>
      </c>
      <c r="FP21" s="2">
        <v>6627236.8946463568</v>
      </c>
      <c r="FQ21" s="2">
        <f t="shared" si="41"/>
        <v>34594051.979839809</v>
      </c>
      <c r="FR21" s="2">
        <f t="shared" si="42"/>
        <v>26465591.391964916</v>
      </c>
      <c r="FT21" s="2">
        <v>30791.383546567526</v>
      </c>
      <c r="FU21" s="2">
        <f t="shared" si="65"/>
        <v>103723.41985911076</v>
      </c>
      <c r="FV21" s="1">
        <f t="shared" si="39"/>
        <v>28267581.289357983</v>
      </c>
      <c r="FW21" s="1">
        <f t="shared" si="40"/>
        <v>36019957.012815744</v>
      </c>
      <c r="FY21" s="1">
        <f t="shared" si="43"/>
        <v>14.90722923153443</v>
      </c>
      <c r="FZ21" s="1">
        <f t="shared" si="66"/>
        <v>0.11209235944111295</v>
      </c>
      <c r="GL21" s="1809">
        <v>20</v>
      </c>
      <c r="GN21">
        <v>4245044.3739249511</v>
      </c>
      <c r="GP21" s="1135">
        <v>17408714.831076816</v>
      </c>
      <c r="GQ21" s="2">
        <f t="shared" si="57"/>
        <v>58990942.873694234</v>
      </c>
      <c r="GR21" s="2">
        <f t="shared" si="58"/>
        <v>63235987.247619182</v>
      </c>
      <c r="GS21" s="1135">
        <v>31625.662543824757</v>
      </c>
      <c r="GW21" s="1">
        <f t="shared" si="44"/>
        <v>2.7655558419984545</v>
      </c>
      <c r="GX21" s="1">
        <f t="shared" si="45"/>
        <v>21.705858237167377</v>
      </c>
      <c r="GY21" s="2">
        <f t="shared" ref="GY21:GY44" si="70">(GS21/$GS$51)*100</f>
        <v>0.2636489598399025</v>
      </c>
      <c r="HI21" s="1809">
        <v>20</v>
      </c>
      <c r="HJ21" s="57">
        <v>472635.54613312305</v>
      </c>
      <c r="HK21" s="211">
        <v>16747322.864146492</v>
      </c>
      <c r="HL21" s="211">
        <v>117598.42913316969</v>
      </c>
      <c r="HM21" s="57">
        <v>5390933.8847227143</v>
      </c>
      <c r="HN21" s="2">
        <f t="shared" si="46"/>
        <v>20634372.055889878</v>
      </c>
      <c r="HO21" s="2">
        <f t="shared" si="60"/>
        <v>37854330.466169491</v>
      </c>
      <c r="HP21">
        <v>35</v>
      </c>
      <c r="HQ21" s="2">
        <f t="shared" si="62"/>
        <v>203065.18772991005</v>
      </c>
      <c r="HR21" s="2">
        <v>34102.862921207983</v>
      </c>
      <c r="HS21" s="2">
        <f t="shared" si="69"/>
        <v>336910.75279709016</v>
      </c>
      <c r="HT21" s="2">
        <f t="shared" si="64"/>
        <v>539975.94052700023</v>
      </c>
      <c r="HU21" s="1">
        <f t="shared" si="47"/>
        <v>9.3605053143361268</v>
      </c>
      <c r="HV21" s="1">
        <f t="shared" si="48"/>
        <v>6.2977670037114217</v>
      </c>
      <c r="HW21" s="1">
        <f t="shared" si="49"/>
        <v>0.47702296588586812</v>
      </c>
      <c r="HX21" s="2">
        <f t="shared" si="50"/>
        <v>38394306.406696491</v>
      </c>
      <c r="IF21" s="1809">
        <v>20</v>
      </c>
      <c r="IG21" s="211">
        <v>1389645.164089445</v>
      </c>
      <c r="IH21" s="57">
        <v>22751138.204061832</v>
      </c>
      <c r="II21" s="211">
        <v>631644.81731544773</v>
      </c>
      <c r="IJ21" s="57">
        <v>524122.88254641194</v>
      </c>
      <c r="IK21" s="57">
        <f t="shared" si="51"/>
        <v>4522570.1137388162</v>
      </c>
      <c r="IL21" s="2">
        <f t="shared" si="52"/>
        <v>28663353.481890094</v>
      </c>
      <c r="IN21" s="57">
        <f t="shared" si="53"/>
        <v>0</v>
      </c>
      <c r="IR21" s="1">
        <f t="shared" si="54"/>
        <v>12.008280471860246</v>
      </c>
      <c r="IS21" s="1">
        <f t="shared" si="63"/>
        <v>4.4256858380238064</v>
      </c>
    </row>
    <row r="22" spans="1:253" ht="15.6" thickTop="1" thickBot="1">
      <c r="A22" s="1119">
        <v>23</v>
      </c>
      <c r="B22" s="2">
        <v>785141.39122847607</v>
      </c>
      <c r="C22" s="2">
        <v>11813135.138080791</v>
      </c>
      <c r="D22" s="2">
        <v>613429.18011552235</v>
      </c>
      <c r="E22" s="2">
        <v>1562211.6392940746</v>
      </c>
      <c r="F22" s="2"/>
      <c r="G22" s="13">
        <f t="shared" si="21"/>
        <v>14773917.348718865</v>
      </c>
      <c r="H22" s="243">
        <v>12426564.318196313</v>
      </c>
      <c r="I22" s="244">
        <v>1562211.6392940746</v>
      </c>
      <c r="J22" s="245">
        <v>785141.39122847607</v>
      </c>
      <c r="K22" s="246">
        <f t="shared" si="32"/>
        <v>14773917.348718865</v>
      </c>
      <c r="L22" s="241">
        <f t="shared" si="0"/>
        <v>19.221673107908352</v>
      </c>
      <c r="M22" s="242">
        <f t="shared" si="1"/>
        <v>4.266486256438573</v>
      </c>
      <c r="N22" s="240"/>
      <c r="O22" s="240"/>
      <c r="P22" s="240">
        <f t="shared" si="2"/>
        <v>3.2270910456518225</v>
      </c>
      <c r="Q22" s="242">
        <f t="shared" si="3"/>
        <v>11.763207712639069</v>
      </c>
      <c r="R22" s="358"/>
      <c r="S22" s="1154">
        <v>23</v>
      </c>
      <c r="T22" s="1155">
        <v>0</v>
      </c>
      <c r="U22" s="1155">
        <v>0</v>
      </c>
      <c r="V22" s="1155">
        <v>105.87490615743586</v>
      </c>
      <c r="W22" s="1155">
        <v>0</v>
      </c>
      <c r="X22" s="1146">
        <v>33205334.256774008</v>
      </c>
      <c r="Y22" s="1119">
        <f t="shared" si="4"/>
        <v>33205440.131680164</v>
      </c>
      <c r="Z22" s="1146">
        <v>15904067.977024656</v>
      </c>
      <c r="AA22" s="57">
        <v>1646.3064767826791</v>
      </c>
      <c r="AB22" s="29">
        <f t="shared" si="5"/>
        <v>0.64370581023153761</v>
      </c>
      <c r="AC22" s="57">
        <f t="shared" si="6"/>
        <v>33205334.256774008</v>
      </c>
      <c r="AD22" s="1">
        <f t="shared" si="7"/>
        <v>14.744560304098053</v>
      </c>
      <c r="AE22" s="1">
        <f t="shared" si="8"/>
        <v>4.3126779999103899</v>
      </c>
      <c r="AU22" s="137">
        <v>27</v>
      </c>
      <c r="AV22" s="431">
        <v>0</v>
      </c>
      <c r="AW22" s="2">
        <v>500420.35858766921</v>
      </c>
      <c r="AX22" s="2">
        <v>15353990.384615384</v>
      </c>
      <c r="AY22" s="431">
        <v>4976884.5839757575</v>
      </c>
      <c r="AZ22" s="57">
        <v>27265872.547440004</v>
      </c>
      <c r="BA22" s="435">
        <v>500420.35858766921</v>
      </c>
      <c r="BB22" s="2">
        <v>15353990.384615384</v>
      </c>
      <c r="BC22" s="1">
        <v>27265872.547440004</v>
      </c>
      <c r="BD22" s="1">
        <f t="shared" si="9"/>
        <v>5.0732288525901928E-3</v>
      </c>
      <c r="BE22" s="1">
        <f t="shared" si="10"/>
        <v>0.30555555555555558</v>
      </c>
      <c r="BF22" s="1">
        <f t="shared" si="11"/>
        <v>9.9835673282776899E-2</v>
      </c>
      <c r="BN22" s="137">
        <v>27</v>
      </c>
      <c r="BO22" s="1154">
        <v>0</v>
      </c>
      <c r="BP22" s="1154">
        <v>7374659.0072738407</v>
      </c>
      <c r="BQ22" s="1808">
        <v>16846319.466686353</v>
      </c>
      <c r="BR22" s="1147">
        <v>40561375.895711496</v>
      </c>
      <c r="BS22" s="57"/>
      <c r="BT22" s="470">
        <f t="shared" si="12"/>
        <v>7374659.0072738407</v>
      </c>
      <c r="BU22" s="467">
        <f t="shared" si="13"/>
        <v>16846319.466686353</v>
      </c>
      <c r="BV22" s="470">
        <f t="shared" si="14"/>
        <v>40561375.895711496</v>
      </c>
      <c r="BW22" s="1">
        <f t="shared" si="15"/>
        <v>7.1551422515109334E-2</v>
      </c>
      <c r="BX22" s="1">
        <f t="shared" si="16"/>
        <v>9.8511986905600701E-2</v>
      </c>
      <c r="BY22" s="1">
        <f t="shared" si="17"/>
        <v>0.12416404596786511</v>
      </c>
      <c r="CH22" s="1">
        <v>22</v>
      </c>
      <c r="CI22" s="1">
        <v>1576274.6741245536</v>
      </c>
      <c r="CJ22" s="1">
        <v>22765389.947389688</v>
      </c>
      <c r="CK22" s="1">
        <v>21395173.986446019</v>
      </c>
      <c r="CL22" s="1">
        <f t="shared" si="18"/>
        <v>6.7996619657695557E-3</v>
      </c>
      <c r="CM22" s="1">
        <f t="shared" si="19"/>
        <v>5.4460187355614489E-2</v>
      </c>
      <c r="CN22" s="1">
        <f t="shared" si="20"/>
        <v>6.558299643048246E-2</v>
      </c>
      <c r="CX22" s="1">
        <v>22</v>
      </c>
      <c r="CY22" s="2">
        <v>530615.81293626945</v>
      </c>
      <c r="CZ22" s="2">
        <f t="shared" si="23"/>
        <v>871283.19666007964</v>
      </c>
      <c r="DA22" s="2">
        <v>12230104.651787462</v>
      </c>
      <c r="DB22" s="2">
        <f t="shared" si="55"/>
        <v>27940299.41130174</v>
      </c>
      <c r="DC22" s="2">
        <v>1397592.9469559174</v>
      </c>
      <c r="DD22" s="2">
        <f t="shared" si="67"/>
        <v>4264990.8471096708</v>
      </c>
      <c r="DE22" s="1">
        <f t="shared" si="22"/>
        <v>1.380269097933786E-3</v>
      </c>
      <c r="DF22" s="1">
        <f t="shared" si="56"/>
        <v>0.12957972851263055</v>
      </c>
      <c r="DG22" s="1">
        <f t="shared" si="68"/>
        <v>0.18266876467142351</v>
      </c>
      <c r="DQ22" s="1809">
        <v>21</v>
      </c>
      <c r="DR22" s="1810">
        <v>4563311.4613556862</v>
      </c>
      <c r="DS22" s="947">
        <v>8503267.7554751839</v>
      </c>
      <c r="DT22" s="1">
        <v>10273470.655367956</v>
      </c>
      <c r="DU22" s="1">
        <v>1187676.1238234511</v>
      </c>
      <c r="DV22" s="2">
        <f t="shared" si="61"/>
        <v>11461146.779191406</v>
      </c>
      <c r="DW22" s="2">
        <f t="shared" si="24"/>
        <v>24329256.046900887</v>
      </c>
      <c r="DX22" s="2">
        <f t="shared" si="25"/>
        <v>37395835.263731755</v>
      </c>
      <c r="DY22" s="1">
        <v>151212.84820491757</v>
      </c>
      <c r="DZ22" s="2">
        <f t="shared" si="26"/>
        <v>1718301.6060505747</v>
      </c>
      <c r="EA22" s="1">
        <f t="shared" si="33"/>
        <v>3.1057429177689739</v>
      </c>
      <c r="EB22" s="1">
        <f t="shared" si="34"/>
        <v>2.9765914688753701</v>
      </c>
      <c r="EC22" s="1">
        <f t="shared" si="35"/>
        <v>1.0801455937914435</v>
      </c>
      <c r="ED22" s="123"/>
      <c r="EE22" s="878"/>
      <c r="EF22" s="879"/>
      <c r="EG22" s="879"/>
      <c r="EH22" s="2"/>
      <c r="EM22" s="1809">
        <v>21</v>
      </c>
      <c r="EN22" s="833"/>
      <c r="EO22" s="20">
        <v>5422083.2038886063</v>
      </c>
      <c r="EP22" s="2">
        <v>2358233.1506383177</v>
      </c>
      <c r="EQ22" s="891">
        <v>1365439</v>
      </c>
      <c r="ER22" s="1">
        <f t="shared" si="27"/>
        <v>3723672.1506383177</v>
      </c>
      <c r="ES22" s="2">
        <f t="shared" si="28"/>
        <v>8893114.3668015841</v>
      </c>
      <c r="ET22" s="2">
        <f t="shared" si="29"/>
        <v>14315197.57069019</v>
      </c>
      <c r="EU22" s="114">
        <v>15875.870659957149</v>
      </c>
      <c r="EV22">
        <v>147</v>
      </c>
      <c r="EW22" s="2">
        <f t="shared" si="30"/>
        <v>8310256.3462273749</v>
      </c>
      <c r="EX22" s="2">
        <f t="shared" si="31"/>
        <v>8326132.2168873316</v>
      </c>
      <c r="EY22" s="1">
        <f t="shared" si="36"/>
        <v>3.6418155468186457</v>
      </c>
      <c r="EZ22" s="1">
        <f t="shared" si="37"/>
        <v>2.103849529212348</v>
      </c>
      <c r="FA22" s="1">
        <f t="shared" si="38"/>
        <v>3.1387103874923294</v>
      </c>
      <c r="FL22" s="1809">
        <v>21</v>
      </c>
      <c r="FM22" s="2">
        <v>2166319.364811114</v>
      </c>
      <c r="FN22" s="1">
        <v>835200</v>
      </c>
      <c r="FO22" s="2">
        <v>18234281.443340026</v>
      </c>
      <c r="FP22" s="2">
        <v>4719927.3779716427</v>
      </c>
      <c r="FQ22" s="2">
        <f t="shared" si="41"/>
        <v>22954208.821311668</v>
      </c>
      <c r="FR22" s="2">
        <f t="shared" si="42"/>
        <v>17560727.252901707</v>
      </c>
      <c r="FT22" s="2">
        <v>15664.625491052309</v>
      </c>
      <c r="FU22" s="2">
        <f t="shared" si="65"/>
        <v>52767.636254047808</v>
      </c>
      <c r="FV22" s="1">
        <f t="shared" si="39"/>
        <v>20615014.253966868</v>
      </c>
      <c r="FW22" s="1">
        <f t="shared" si="40"/>
        <v>26268675.754229531</v>
      </c>
      <c r="FY22" s="1">
        <f t="shared" si="43"/>
        <v>10.616949491643778</v>
      </c>
      <c r="FZ22" s="1">
        <f t="shared" si="66"/>
        <v>5.7025200845487616E-2</v>
      </c>
      <c r="GL22" s="1809">
        <v>21</v>
      </c>
      <c r="GM22">
        <v>109322.14057233135</v>
      </c>
      <c r="GN22">
        <v>10344077.1395371</v>
      </c>
      <c r="GP22" s="1135">
        <v>19829830.935177423</v>
      </c>
      <c r="GQ22" s="2">
        <f t="shared" si="57"/>
        <v>67195105.166744202</v>
      </c>
      <c r="GR22" s="2">
        <f t="shared" si="58"/>
        <v>77648504.446853638</v>
      </c>
      <c r="GS22" s="1135">
        <v>192191.61970013057</v>
      </c>
      <c r="GW22" s="1">
        <f t="shared" si="44"/>
        <v>6.7389455665170006</v>
      </c>
      <c r="GX22" s="1">
        <f t="shared" si="45"/>
        <v>24.724599335592281</v>
      </c>
      <c r="GY22" s="2">
        <f t="shared" si="70"/>
        <v>1.602215307068076</v>
      </c>
      <c r="HI22" s="1809">
        <v>21</v>
      </c>
      <c r="HJ22" s="57">
        <v>2431665.5761099663</v>
      </c>
      <c r="HK22" s="211">
        <v>14319391.68288793</v>
      </c>
      <c r="HL22" s="211">
        <v>156797.90551089292</v>
      </c>
      <c r="HM22" s="57">
        <v>5994625.7969137616</v>
      </c>
      <c r="HN22" s="2">
        <f>HM22*$HM$54</f>
        <v>22945066.972513288</v>
      </c>
      <c r="HO22" s="2">
        <f t="shared" si="60"/>
        <v>39696124.231511183</v>
      </c>
      <c r="HP22">
        <v>53</v>
      </c>
      <c r="HQ22" s="2">
        <f t="shared" si="62"/>
        <v>307498.71284814947</v>
      </c>
      <c r="HR22" s="2">
        <v>97455.142535118066</v>
      </c>
      <c r="HS22" s="2">
        <f t="shared" si="69"/>
        <v>962783.8434360784</v>
      </c>
      <c r="HT22" s="2">
        <f t="shared" si="64"/>
        <v>1270282.5562842279</v>
      </c>
      <c r="HU22" s="1">
        <f t="shared" si="47"/>
        <v>8.0034727360923785</v>
      </c>
      <c r="HV22" s="1">
        <f t="shared" si="48"/>
        <v>6.6041834126180987</v>
      </c>
      <c r="HW22" s="1">
        <f t="shared" si="49"/>
        <v>1.1221869476636159</v>
      </c>
      <c r="HX22" s="2">
        <f t="shared" si="50"/>
        <v>40966406.78779541</v>
      </c>
      <c r="IF22" s="1809">
        <v>21</v>
      </c>
      <c r="IG22" s="211">
        <v>448705.81622028479</v>
      </c>
      <c r="IH22" s="57">
        <v>9901418.6407197155</v>
      </c>
      <c r="II22" s="211">
        <v>203953.29011960494</v>
      </c>
      <c r="IJ22" s="57">
        <v>234143.86906888371</v>
      </c>
      <c r="IK22" s="57">
        <f t="shared" si="51"/>
        <v>2020388.9199062735</v>
      </c>
      <c r="IL22" s="2">
        <f t="shared" si="52"/>
        <v>12370513.376846274</v>
      </c>
      <c r="IM22" s="1">
        <v>4</v>
      </c>
      <c r="IN22" s="57">
        <f t="shared" si="53"/>
        <v>386.61589411278862</v>
      </c>
      <c r="IR22" s="1">
        <f t="shared" si="54"/>
        <v>5.2260687373364103</v>
      </c>
      <c r="IS22" s="1">
        <f t="shared" si="63"/>
        <v>1.9771073538398651</v>
      </c>
    </row>
    <row r="23" spans="1:253" ht="15.6" thickTop="1" thickBot="1">
      <c r="A23" s="1119">
        <v>24</v>
      </c>
      <c r="B23" s="2">
        <v>280161.58280759037</v>
      </c>
      <c r="C23" s="2">
        <v>5444421.3144210903</v>
      </c>
      <c r="D23" s="2">
        <v>912895.29903338803</v>
      </c>
      <c r="E23" s="2">
        <v>3601229.9876355464</v>
      </c>
      <c r="F23" s="2"/>
      <c r="G23" s="13">
        <f t="shared" si="21"/>
        <v>10238708.183897614</v>
      </c>
      <c r="H23" s="243">
        <v>6357316.6134544779</v>
      </c>
      <c r="I23" s="244">
        <v>3601229.9876355464</v>
      </c>
      <c r="J23" s="245">
        <v>280161.58280759037</v>
      </c>
      <c r="K23" s="246">
        <f t="shared" si="32"/>
        <v>10238708.183897616</v>
      </c>
      <c r="L23" s="241">
        <f t="shared" si="0"/>
        <v>9.8336321012205357</v>
      </c>
      <c r="M23" s="242">
        <f t="shared" si="1"/>
        <v>9.8351579658338721</v>
      </c>
      <c r="N23" s="240"/>
      <c r="O23" s="240"/>
      <c r="P23" s="240">
        <f t="shared" si="2"/>
        <v>1.1515211722558663</v>
      </c>
      <c r="Q23" s="242">
        <f t="shared" si="3"/>
        <v>8.1522082622676422</v>
      </c>
      <c r="R23" s="358"/>
      <c r="S23" s="1154">
        <v>24</v>
      </c>
      <c r="T23" s="1155"/>
      <c r="U23" s="1155"/>
      <c r="V23" s="1155"/>
      <c r="W23" s="1155"/>
      <c r="X23" s="1146">
        <v>18350201.871338218</v>
      </c>
      <c r="Y23" s="1119">
        <f t="shared" si="4"/>
        <v>18350201.871338218</v>
      </c>
      <c r="Z23" s="1146">
        <v>6813522.0319504114</v>
      </c>
      <c r="AA23" s="57">
        <v>961.49915161137767</v>
      </c>
      <c r="AB23" s="29">
        <f t="shared" si="5"/>
        <v>0.37594615532004544</v>
      </c>
      <c r="AC23" s="57">
        <f t="shared" si="6"/>
        <v>18350201.871338218</v>
      </c>
      <c r="AD23" s="1">
        <f t="shared" si="7"/>
        <v>8.1482588307064834</v>
      </c>
      <c r="AE23" s="1">
        <f t="shared" si="8"/>
        <v>1.8476107252274554</v>
      </c>
      <c r="AU23" s="137">
        <v>28</v>
      </c>
      <c r="AV23" s="431">
        <v>0</v>
      </c>
      <c r="AW23" s="2">
        <v>468664.65727198217</v>
      </c>
      <c r="AX23" s="2">
        <v>5583269.230769231</v>
      </c>
      <c r="AY23" s="431">
        <v>2947354.4669292271</v>
      </c>
      <c r="AZ23" s="57">
        <v>16147087.578877181</v>
      </c>
      <c r="BA23" s="435">
        <v>468664.65727198217</v>
      </c>
      <c r="BB23" s="2">
        <v>5583269.230769231</v>
      </c>
      <c r="BC23" s="1">
        <v>16147087.578877181</v>
      </c>
      <c r="BD23" s="1">
        <f t="shared" si="9"/>
        <v>4.7512916304442727E-3</v>
      </c>
      <c r="BE23" s="1">
        <f t="shared" si="10"/>
        <v>0.11111111111111112</v>
      </c>
      <c r="BF23" s="1">
        <f t="shared" si="11"/>
        <v>5.9123556643505375E-2</v>
      </c>
      <c r="BN23" s="137">
        <v>28</v>
      </c>
      <c r="BO23" s="1154">
        <v>0</v>
      </c>
      <c r="BP23" s="1154">
        <v>5804876.7833023733</v>
      </c>
      <c r="BQ23" s="1808">
        <v>10959973.081504975</v>
      </c>
      <c r="BR23" s="1147">
        <v>34751176.179162934</v>
      </c>
      <c r="BS23" s="57"/>
      <c r="BT23" s="470">
        <f t="shared" si="12"/>
        <v>5804876.7833023733</v>
      </c>
      <c r="BU23" s="467">
        <f t="shared" si="13"/>
        <v>10959973.081504975</v>
      </c>
      <c r="BV23" s="470">
        <f t="shared" si="14"/>
        <v>34751176.179162934</v>
      </c>
      <c r="BW23" s="1">
        <f t="shared" si="15"/>
        <v>5.6320867305260869E-2</v>
      </c>
      <c r="BX23" s="1">
        <f t="shared" si="16"/>
        <v>6.4090481415008296E-2</v>
      </c>
      <c r="BY23" s="1">
        <f t="shared" si="17"/>
        <v>0.10637821181512655</v>
      </c>
      <c r="CH23" s="1">
        <v>23</v>
      </c>
      <c r="CI23" s="1">
        <v>1761319.1101441039</v>
      </c>
      <c r="CJ23" s="1">
        <v>12081467.615253882</v>
      </c>
      <c r="CK23" s="1">
        <v>38549089.238390319</v>
      </c>
      <c r="CL23" s="1">
        <f t="shared" si="18"/>
        <v>7.5978982340000455E-3</v>
      </c>
      <c r="CM23" s="1">
        <f t="shared" si="19"/>
        <v>2.8901722807210598E-2</v>
      </c>
      <c r="CN23" s="1">
        <f t="shared" si="20"/>
        <v>0.11816518919272687</v>
      </c>
      <c r="CX23" s="1">
        <v>23</v>
      </c>
      <c r="CY23" s="2">
        <v>2148188.3661348787</v>
      </c>
      <c r="CZ23" s="2">
        <f t="shared" si="23"/>
        <v>3527374.0077904393</v>
      </c>
      <c r="DA23" s="2">
        <v>16288683.077229934</v>
      </c>
      <c r="DB23" s="2">
        <f t="shared" si="55"/>
        <v>37212329.342340708</v>
      </c>
      <c r="DC23" s="2">
        <v>1403836.8456669822</v>
      </c>
      <c r="DD23" s="2">
        <f t="shared" si="67"/>
        <v>4284045.1582458094</v>
      </c>
      <c r="DE23" s="1">
        <f t="shared" si="22"/>
        <v>5.5879940741098283E-3</v>
      </c>
      <c r="DF23" s="1">
        <f t="shared" si="56"/>
        <v>0.17258095421671252</v>
      </c>
      <c r="DG23" s="1">
        <f t="shared" si="68"/>
        <v>0.18348485727318425</v>
      </c>
      <c r="DQ23" s="1809">
        <v>22</v>
      </c>
      <c r="DR23" s="1810">
        <v>3591937.0200880487</v>
      </c>
      <c r="DS23" s="947">
        <v>4395228.8200777201</v>
      </c>
      <c r="DT23" s="1">
        <v>10688925.275834959</v>
      </c>
      <c r="DU23" s="1">
        <v>4858479.4971116623</v>
      </c>
      <c r="DV23" s="2">
        <f t="shared" si="61"/>
        <v>15547404.772946622</v>
      </c>
      <c r="DW23" s="2">
        <f t="shared" si="24"/>
        <v>33003398.252658419</v>
      </c>
      <c r="DX23" s="2">
        <f t="shared" si="25"/>
        <v>40990564.092824191</v>
      </c>
      <c r="DY23" s="1">
        <v>191326.97294337032</v>
      </c>
      <c r="DZ23" s="2">
        <f t="shared" si="26"/>
        <v>2174136.978386051</v>
      </c>
      <c r="EA23" s="1">
        <f t="shared" si="33"/>
        <v>1.6053182344094772</v>
      </c>
      <c r="EB23" s="1">
        <f t="shared" si="34"/>
        <v>12.176474994085353</v>
      </c>
      <c r="EC23" s="1">
        <f t="shared" si="35"/>
        <v>1.3666893339524797</v>
      </c>
      <c r="ED23" s="123"/>
      <c r="EE23" s="878"/>
      <c r="EF23" s="879"/>
      <c r="EG23" s="879"/>
      <c r="EH23" s="2"/>
      <c r="EM23" s="1809">
        <v>22</v>
      </c>
      <c r="EN23" s="833"/>
      <c r="EO23" s="20">
        <v>3550216.9637465794</v>
      </c>
      <c r="EP23" s="2">
        <v>4250232.7226525415</v>
      </c>
      <c r="EQ23" s="891">
        <v>1908537</v>
      </c>
      <c r="ER23" s="1">
        <f t="shared" si="27"/>
        <v>6158769.7226525415</v>
      </c>
      <c r="ES23" s="2">
        <f t="shared" si="28"/>
        <v>14708771.687366478</v>
      </c>
      <c r="ET23" s="2">
        <f t="shared" si="29"/>
        <v>18258988.651113056</v>
      </c>
      <c r="EU23" s="114">
        <v>145807.90767988632</v>
      </c>
      <c r="EV23">
        <v>324</v>
      </c>
      <c r="EW23" s="2">
        <f t="shared" si="30"/>
        <v>18316483.375358295</v>
      </c>
      <c r="EX23" s="2">
        <f t="shared" si="31"/>
        <v>18462291.28303818</v>
      </c>
      <c r="EY23" s="1">
        <f t="shared" si="36"/>
        <v>2.3845512595378469</v>
      </c>
      <c r="EZ23" s="1">
        <f t="shared" si="37"/>
        <v>3.4796631543699892</v>
      </c>
      <c r="FA23" s="1">
        <f t="shared" si="38"/>
        <v>6.9597484062827437</v>
      </c>
      <c r="FL23" s="1809">
        <v>22</v>
      </c>
      <c r="FM23" s="2">
        <v>5087632.5123904832</v>
      </c>
      <c r="FN23" s="1">
        <v>454114</v>
      </c>
      <c r="FO23" s="2">
        <v>44524461.348721914</v>
      </c>
      <c r="FP23" s="2">
        <v>3626217.9042562381</v>
      </c>
      <c r="FQ23" s="2">
        <f t="shared" si="41"/>
        <v>48150679.252978154</v>
      </c>
      <c r="FR23" s="2">
        <f t="shared" si="42"/>
        <v>36836858.633892335</v>
      </c>
      <c r="FT23" s="2">
        <v>51421.517635287157</v>
      </c>
      <c r="FU23" s="2">
        <f t="shared" si="65"/>
        <v>173217.79826525931</v>
      </c>
      <c r="FV23" s="1">
        <f t="shared" si="39"/>
        <v>42551822.944548078</v>
      </c>
      <c r="FW23" s="1">
        <f t="shared" si="40"/>
        <v>54221647.674419038</v>
      </c>
      <c r="FY23" s="1">
        <f t="shared" si="43"/>
        <v>8.1567721814668417</v>
      </c>
      <c r="FZ23" s="1">
        <f t="shared" si="66"/>
        <v>0.18719390212086376</v>
      </c>
      <c r="GL23" s="1809">
        <v>22</v>
      </c>
      <c r="GM23">
        <v>840648.03553572786</v>
      </c>
      <c r="GN23">
        <v>8501957.5617866293</v>
      </c>
      <c r="GP23" s="1135">
        <v>17200918.967326082</v>
      </c>
      <c r="GQ23" s="2">
        <f t="shared" si="57"/>
        <v>58286808.533689588</v>
      </c>
      <c r="GR23" s="2">
        <f t="shared" si="58"/>
        <v>67629414.131011948</v>
      </c>
      <c r="GS23" s="1135">
        <v>581774.04452354368</v>
      </c>
      <c r="GW23" s="1">
        <f t="shared" si="44"/>
        <v>5.5388439630566815</v>
      </c>
      <c r="GX23" s="1">
        <f t="shared" si="45"/>
        <v>21.446770326048771</v>
      </c>
      <c r="GY23" s="2">
        <f t="shared" si="70"/>
        <v>4.8499891974732794</v>
      </c>
      <c r="HI23" s="1809">
        <v>22</v>
      </c>
      <c r="HJ23" s="57">
        <v>4574821.2233906128</v>
      </c>
      <c r="HK23" s="211">
        <v>20333562.32633958</v>
      </c>
      <c r="HL23" s="211">
        <v>195997.38188861613</v>
      </c>
      <c r="HM23" s="57">
        <v>7297989.2519852007</v>
      </c>
      <c r="HN23" s="2">
        <f t="shared" si="46"/>
        <v>27933829.03695057</v>
      </c>
      <c r="HO23" s="2">
        <f t="shared" si="60"/>
        <v>52842212.586680762</v>
      </c>
      <c r="HP23">
        <v>49</v>
      </c>
      <c r="HQ23" s="2">
        <f t="shared" si="62"/>
        <v>284291.26282187406</v>
      </c>
      <c r="HR23" s="2">
        <v>503823.06263140176</v>
      </c>
      <c r="HS23" s="2">
        <f t="shared" si="69"/>
        <v>4977394.6457181629</v>
      </c>
      <c r="HT23" s="2">
        <f t="shared" si="64"/>
        <v>5261685.9085400365</v>
      </c>
      <c r="HU23" s="1">
        <f t="shared" si="47"/>
        <v>11.364945893684277</v>
      </c>
      <c r="HV23" s="1">
        <f t="shared" si="48"/>
        <v>8.7912780052711756</v>
      </c>
      <c r="HW23" s="1">
        <f t="shared" si="49"/>
        <v>4.6482534299621125</v>
      </c>
      <c r="HX23" s="2">
        <f t="shared" si="50"/>
        <v>58103898.495220795</v>
      </c>
      <c r="IF23" s="1809">
        <v>22</v>
      </c>
      <c r="IG23" s="211">
        <v>3318249.0534035554</v>
      </c>
      <c r="IH23" s="57">
        <v>5976597.7463980308</v>
      </c>
      <c r="II23" s="211">
        <v>67984.430039868312</v>
      </c>
      <c r="IJ23" s="57">
        <v>263339.77219363925</v>
      </c>
      <c r="IK23" s="57">
        <f t="shared" si="51"/>
        <v>2272315.5640438544</v>
      </c>
      <c r="IL23" s="2">
        <f t="shared" si="52"/>
        <v>11567162.363845441</v>
      </c>
      <c r="IM23" s="1">
        <v>18</v>
      </c>
      <c r="IN23" s="57">
        <f t="shared" si="53"/>
        <v>1739.7715235075489</v>
      </c>
      <c r="IR23" s="1">
        <f t="shared" si="54"/>
        <v>3.1545086387555918</v>
      </c>
      <c r="IS23" s="1">
        <f t="shared" si="63"/>
        <v>2.2236371263233314</v>
      </c>
    </row>
    <row r="24" spans="1:253" ht="15.6" thickTop="1" thickBot="1">
      <c r="A24" s="1119">
        <v>25</v>
      </c>
      <c r="B24" s="2">
        <v>176392.32697270965</v>
      </c>
      <c r="C24" s="2">
        <v>3399846.1808680929</v>
      </c>
      <c r="D24" s="2">
        <v>978951.25966933277</v>
      </c>
      <c r="E24" s="2">
        <v>5269536.3881857386</v>
      </c>
      <c r="F24" s="2"/>
      <c r="G24" s="13">
        <f t="shared" si="21"/>
        <v>9824726.1556958742</v>
      </c>
      <c r="H24" s="243">
        <v>4378797.4405374257</v>
      </c>
      <c r="I24" s="244">
        <v>5269536.3881857386</v>
      </c>
      <c r="J24" s="245">
        <v>176392.32697270965</v>
      </c>
      <c r="K24" s="246">
        <f t="shared" si="32"/>
        <v>9824726.1556958742</v>
      </c>
      <c r="L24" s="241">
        <f t="shared" si="0"/>
        <v>6.7732167035508422</v>
      </c>
      <c r="M24" s="242">
        <f t="shared" si="1"/>
        <v>14.391394874100834</v>
      </c>
      <c r="N24" s="240"/>
      <c r="O24" s="240"/>
      <c r="P24" s="240">
        <f t="shared" si="2"/>
        <v>0.72500839371704029</v>
      </c>
      <c r="Q24" s="242">
        <f t="shared" si="3"/>
        <v>7.8225897547254313</v>
      </c>
      <c r="R24" s="358"/>
      <c r="S24" s="1154">
        <v>25</v>
      </c>
      <c r="T24" s="1155"/>
      <c r="U24" s="1155"/>
      <c r="V24" s="1155"/>
      <c r="W24" s="1155"/>
      <c r="X24" s="1146">
        <v>8498112.1945478395</v>
      </c>
      <c r="Y24" s="1119">
        <f t="shared" si="4"/>
        <v>8498112.1945478395</v>
      </c>
      <c r="Z24" s="1146">
        <v>10363750.666241717</v>
      </c>
      <c r="AA24" s="57">
        <v>1166.3294433421081</v>
      </c>
      <c r="AB24" s="29">
        <f t="shared" si="5"/>
        <v>0.45603479662586288</v>
      </c>
      <c r="AC24" s="57">
        <f t="shared" si="6"/>
        <v>8498112.1945478395</v>
      </c>
      <c r="AD24" s="1">
        <f t="shared" si="7"/>
        <v>3.7735180364263257</v>
      </c>
      <c r="AE24" s="1">
        <f t="shared" si="8"/>
        <v>2.8103199482940697</v>
      </c>
      <c r="AU24" s="137">
        <v>29</v>
      </c>
      <c r="AV24" s="431">
        <v>3560624.4799999995</v>
      </c>
      <c r="AW24" s="2">
        <v>595398.69077366788</v>
      </c>
      <c r="AX24" s="2">
        <v>4187451.923076923</v>
      </c>
      <c r="AY24" s="431">
        <v>2012015.7322352892</v>
      </c>
      <c r="AZ24" s="57">
        <v>11022832.374936745</v>
      </c>
      <c r="BA24" s="435">
        <v>4156023.1707736673</v>
      </c>
      <c r="BB24" s="2">
        <v>4187451.923076923</v>
      </c>
      <c r="BC24" s="1">
        <v>11022832.374936745</v>
      </c>
      <c r="BD24" s="1">
        <f t="shared" si="9"/>
        <v>4.2133490974485481E-2</v>
      </c>
      <c r="BE24" s="1">
        <f t="shared" si="10"/>
        <v>8.3333333333333343E-2</v>
      </c>
      <c r="BF24" s="1">
        <f t="shared" si="11"/>
        <v>4.036078030219957E-2</v>
      </c>
      <c r="BN24" s="137">
        <v>29</v>
      </c>
      <c r="BO24" s="1154">
        <v>0</v>
      </c>
      <c r="BP24" s="1154">
        <v>4507172.9451511558</v>
      </c>
      <c r="BQ24" s="1808">
        <v>6667293.5907063726</v>
      </c>
      <c r="BR24" s="1147">
        <v>25249609.263808437</v>
      </c>
      <c r="BS24" s="57"/>
      <c r="BT24" s="470">
        <f t="shared" si="12"/>
        <v>4507172.9451511558</v>
      </c>
      <c r="BU24" s="467">
        <f t="shared" si="13"/>
        <v>6667293.5907063726</v>
      </c>
      <c r="BV24" s="470">
        <f t="shared" si="14"/>
        <v>25249609.263808437</v>
      </c>
      <c r="BW24" s="1">
        <f t="shared" si="15"/>
        <v>4.3730108121486595E-2</v>
      </c>
      <c r="BX24" s="1">
        <f t="shared" si="16"/>
        <v>3.8988239550027656E-2</v>
      </c>
      <c r="BY24" s="1">
        <f t="shared" si="17"/>
        <v>7.7292586261444182E-2</v>
      </c>
      <c r="CH24" s="1">
        <v>24</v>
      </c>
      <c r="CI24" s="1">
        <v>999845.91737223603</v>
      </c>
      <c r="CJ24" s="1">
        <v>15923453.191568859</v>
      </c>
      <c r="CK24" s="1">
        <v>33715608.410701014</v>
      </c>
      <c r="CL24" s="1">
        <f t="shared" si="18"/>
        <v>4.3130898234864067E-3</v>
      </c>
      <c r="CM24" s="1">
        <f t="shared" si="19"/>
        <v>3.809265934672168E-2</v>
      </c>
      <c r="CN24" s="1">
        <f t="shared" si="20"/>
        <v>0.1033490369113773</v>
      </c>
      <c r="CX24" s="1">
        <v>24</v>
      </c>
      <c r="CY24" s="2">
        <v>2556157.2853662977</v>
      </c>
      <c r="CZ24" s="2">
        <f t="shared" si="23"/>
        <v>4197268.2239445318</v>
      </c>
      <c r="DA24" s="2">
        <v>14664423.911250431</v>
      </c>
      <c r="DB24" s="2">
        <f t="shared" si="55"/>
        <v>33501626.228088465</v>
      </c>
      <c r="DC24" s="2">
        <v>1108481.3320827209</v>
      </c>
      <c r="DD24" s="2">
        <f t="shared" si="67"/>
        <v>3382717.9407437714</v>
      </c>
      <c r="DE24" s="1">
        <f t="shared" si="22"/>
        <v>6.6492268500734902E-3</v>
      </c>
      <c r="DF24" s="1">
        <f t="shared" si="56"/>
        <v>0.15537169331876796</v>
      </c>
      <c r="DG24" s="1">
        <f t="shared" si="68"/>
        <v>0.14488118019908078</v>
      </c>
      <c r="DQ24" s="1809">
        <v>23</v>
      </c>
      <c r="DR24" s="1810">
        <v>2185948.0169385117</v>
      </c>
      <c r="DS24" s="947">
        <v>2714853.5828177519</v>
      </c>
      <c r="DT24" s="1">
        <v>11466072.134608785</v>
      </c>
      <c r="DU24" s="1">
        <v>7361484.4208595632</v>
      </c>
      <c r="DV24" s="2">
        <f t="shared" si="61"/>
        <v>18827556.555468347</v>
      </c>
      <c r="DW24" s="2">
        <f t="shared" si="24"/>
        <v>39966370.992398478</v>
      </c>
      <c r="DX24" s="2">
        <f t="shared" si="25"/>
        <v>44867172.592154741</v>
      </c>
      <c r="DY24" s="1">
        <v>1425815.6779278147</v>
      </c>
      <c r="DZ24" s="2">
        <f t="shared" si="26"/>
        <v>16202203.704246989</v>
      </c>
      <c r="EA24" s="1">
        <f t="shared" si="33"/>
        <v>0.99157612462419475</v>
      </c>
      <c r="EB24" s="1">
        <f t="shared" si="34"/>
        <v>18.449585106458514</v>
      </c>
      <c r="EC24" s="1">
        <f t="shared" si="35"/>
        <v>10.18490518732524</v>
      </c>
      <c r="ED24" s="123"/>
      <c r="EE24" s="878"/>
      <c r="EF24" s="879"/>
      <c r="EG24" s="879"/>
      <c r="EH24" s="2"/>
      <c r="EM24" s="1809">
        <v>23</v>
      </c>
      <c r="EN24" s="833">
        <v>5569369.7845484521</v>
      </c>
      <c r="EO24" s="20">
        <v>2853424.4230332673</v>
      </c>
      <c r="EP24" s="2">
        <v>12297908.181147408</v>
      </c>
      <c r="EQ24" s="891">
        <v>2968606</v>
      </c>
      <c r="ER24" s="1">
        <f t="shared" si="27"/>
        <v>15266514.181147408</v>
      </c>
      <c r="ES24" s="2">
        <f t="shared" si="28"/>
        <v>36460475.332681686</v>
      </c>
      <c r="ET24" s="2">
        <f t="shared" si="29"/>
        <v>44883269.540263407</v>
      </c>
      <c r="EU24" s="114">
        <v>678471.00129768264</v>
      </c>
      <c r="EV24">
        <v>445</v>
      </c>
      <c r="EW24" s="2">
        <f t="shared" si="30"/>
        <v>25156898.463069264</v>
      </c>
      <c r="EX24" s="2">
        <f t="shared" si="31"/>
        <v>25835369.464366946</v>
      </c>
      <c r="EY24" s="1">
        <f>(EO24/EO$51)*100</f>
        <v>1.9165411216895201</v>
      </c>
      <c r="EZ24" s="1">
        <f t="shared" si="37"/>
        <v>8.625477048836002</v>
      </c>
      <c r="FA24" s="1">
        <f t="shared" si="38"/>
        <v>9.7391850609868804</v>
      </c>
      <c r="FL24" s="1809">
        <v>23</v>
      </c>
      <c r="FM24" s="2">
        <v>5596373.4453514656</v>
      </c>
      <c r="FN24" s="1">
        <v>266717</v>
      </c>
      <c r="FO24" s="2">
        <v>29005523.936781995</v>
      </c>
      <c r="FP24" s="2">
        <v>2313814.979987931</v>
      </c>
      <c r="FQ24" s="2">
        <f t="shared" si="41"/>
        <v>31319338.916769926</v>
      </c>
      <c r="FR24" s="2">
        <f t="shared" si="42"/>
        <v>23960327.830944542</v>
      </c>
      <c r="FT24" s="2">
        <v>292280.51481297123</v>
      </c>
      <c r="FU24" s="2">
        <f t="shared" si="65"/>
        <v>984572.01537351427</v>
      </c>
      <c r="FV24" s="1">
        <f t="shared" si="39"/>
        <v>30807990.291669521</v>
      </c>
      <c r="FW24" s="1">
        <f t="shared" si="40"/>
        <v>39257072.425045274</v>
      </c>
      <c r="FY24" s="1">
        <f t="shared" si="43"/>
        <v>5.2046683790498376</v>
      </c>
      <c r="FZ24" s="1">
        <f t="shared" si="66"/>
        <v>1.064012355096051</v>
      </c>
      <c r="GL24" s="1809">
        <v>23</v>
      </c>
      <c r="GM24">
        <v>4227984.4892405253</v>
      </c>
      <c r="GN24">
        <v>10394365.052085456</v>
      </c>
      <c r="GP24" s="1135">
        <v>14010264.892856907</v>
      </c>
      <c r="GQ24" s="2">
        <f t="shared" si="57"/>
        <v>47474999.96177052</v>
      </c>
      <c r="GR24" s="2">
        <f t="shared" si="58"/>
        <v>62097349.503096499</v>
      </c>
      <c r="GS24" s="1135">
        <v>1381675.0079517504</v>
      </c>
      <c r="GW24" s="1">
        <f t="shared" si="44"/>
        <v>6.7717070686544742</v>
      </c>
      <c r="GX24" s="1">
        <f t="shared" si="45"/>
        <v>17.468539555065167</v>
      </c>
      <c r="GY24" s="2">
        <f t="shared" si="70"/>
        <v>11.518404655664579</v>
      </c>
      <c r="HI24" s="1809">
        <v>23</v>
      </c>
      <c r="HJ24" s="57">
        <v>11329892.876152735</v>
      </c>
      <c r="HK24" s="211">
        <v>22324356.17810785</v>
      </c>
      <c r="HL24" s="211">
        <v>862388.48030991107</v>
      </c>
      <c r="HM24" s="57">
        <v>8310566.5103078112</v>
      </c>
      <c r="HN24" s="2">
        <f t="shared" si="46"/>
        <v>31809576.046716828</v>
      </c>
      <c r="HO24" s="2">
        <f t="shared" si="60"/>
        <v>65463825.100977406</v>
      </c>
      <c r="HP24">
        <v>41</v>
      </c>
      <c r="HQ24" s="2">
        <f t="shared" si="62"/>
        <v>237876.3627693232</v>
      </c>
      <c r="HR24" s="2">
        <v>756337.48377394024</v>
      </c>
      <c r="HS24" s="2">
        <f t="shared" si="69"/>
        <v>7472048.0686818855</v>
      </c>
      <c r="HT24" s="2">
        <f t="shared" si="64"/>
        <v>7709924.4314512089</v>
      </c>
      <c r="HU24" s="1">
        <f t="shared" si="47"/>
        <v>12.477651284294437</v>
      </c>
      <c r="HV24" s="1">
        <f t="shared" si="48"/>
        <v>10.89111635526411</v>
      </c>
      <c r="HW24" s="1">
        <f t="shared" si="49"/>
        <v>6.8110646105034576</v>
      </c>
      <c r="HX24" s="2">
        <f t="shared" si="50"/>
        <v>73173749.532428622</v>
      </c>
      <c r="IF24" s="1809">
        <v>23</v>
      </c>
      <c r="IG24" s="211">
        <v>5717131.4041049657</v>
      </c>
      <c r="IH24" s="57">
        <v>3303887.6395318555</v>
      </c>
      <c r="II24" s="211">
        <v>203953.29011960494</v>
      </c>
      <c r="IJ24" s="57">
        <v>492126.36414219451</v>
      </c>
      <c r="IK24" s="57">
        <f t="shared" si="51"/>
        <v>4246477.4211710691</v>
      </c>
      <c r="IL24" s="2">
        <f t="shared" si="52"/>
        <v>13267496.46480789</v>
      </c>
      <c r="IM24" s="1">
        <v>18</v>
      </c>
      <c r="IN24" s="57">
        <f t="shared" si="53"/>
        <v>1739.7715235075489</v>
      </c>
      <c r="IR24" s="1">
        <f t="shared" si="54"/>
        <v>1.7438252568800141</v>
      </c>
      <c r="IS24" s="1">
        <f t="shared" si="63"/>
        <v>4.1555077117042138</v>
      </c>
    </row>
    <row r="25" spans="1:253" ht="15.6" thickTop="1" thickBot="1">
      <c r="A25" s="1119">
        <v>26</v>
      </c>
      <c r="B25" s="2">
        <v>132294.24522953224</v>
      </c>
      <c r="C25" s="2">
        <v>1034741.5090913003</v>
      </c>
      <c r="D25" s="2">
        <v>888322.91284671624</v>
      </c>
      <c r="E25" s="2">
        <v>4758747.3954237392</v>
      </c>
      <c r="F25" s="2"/>
      <c r="G25" s="13">
        <f t="shared" si="21"/>
        <v>6814106.0625912882</v>
      </c>
      <c r="H25" s="243">
        <v>1923064.4219380165</v>
      </c>
      <c r="I25" s="244">
        <v>4758747.3954237392</v>
      </c>
      <c r="J25" s="245">
        <v>132294.24522953224</v>
      </c>
      <c r="K25" s="246">
        <f t="shared" si="32"/>
        <v>6814106.0625912873</v>
      </c>
      <c r="L25" s="241">
        <f t="shared" si="0"/>
        <v>2.9746368133156378</v>
      </c>
      <c r="M25" s="242">
        <f t="shared" si="1"/>
        <v>12.99640192772647</v>
      </c>
      <c r="N25" s="240"/>
      <c r="O25" s="240"/>
      <c r="P25" s="240">
        <f t="shared" si="2"/>
        <v>0.54375629528778024</v>
      </c>
      <c r="Q25" s="242">
        <f t="shared" si="3"/>
        <v>5.4254902811653576</v>
      </c>
      <c r="R25" s="358"/>
      <c r="S25" s="1154">
        <v>26</v>
      </c>
      <c r="T25" s="1155"/>
      <c r="U25" s="1155"/>
      <c r="V25" s="1155"/>
      <c r="W25" s="1155"/>
      <c r="X25" s="1146">
        <v>4949829.3520131037</v>
      </c>
      <c r="Y25" s="1119">
        <f t="shared" si="4"/>
        <v>4949829.3520131037</v>
      </c>
      <c r="Z25" s="1146">
        <v>10182296.058604261</v>
      </c>
      <c r="AA25" s="57">
        <v>1189.5474782037172</v>
      </c>
      <c r="AB25" s="29">
        <f t="shared" si="5"/>
        <v>0.46511304794379715</v>
      </c>
      <c r="AC25" s="57">
        <f t="shared" si="6"/>
        <v>4949829.3520131037</v>
      </c>
      <c r="AD25" s="1">
        <f t="shared" si="7"/>
        <v>2.1979317181805809</v>
      </c>
      <c r="AE25" s="1">
        <f t="shared" si="8"/>
        <v>2.7611152230960307</v>
      </c>
      <c r="AU25" s="137">
        <v>30</v>
      </c>
      <c r="AV25" s="431">
        <v>3560624.4799999995</v>
      </c>
      <c r="AW25" s="2">
        <v>1310338.5697579633</v>
      </c>
      <c r="AX25" s="2">
        <v>1395817.3076923077</v>
      </c>
      <c r="AY25" s="431">
        <v>2195206.2733917707</v>
      </c>
      <c r="AZ25" s="57">
        <v>12026442.135780159</v>
      </c>
      <c r="BA25" s="435">
        <v>4870963.049757963</v>
      </c>
      <c r="BB25" s="2">
        <v>1395817.3076923077</v>
      </c>
      <c r="BC25" s="1">
        <v>12026442.135780159</v>
      </c>
      <c r="BD25" s="1">
        <f t="shared" si="9"/>
        <v>4.9381504688729767E-2</v>
      </c>
      <c r="BE25" s="1">
        <f t="shared" si="10"/>
        <v>2.777777777777778E-2</v>
      </c>
      <c r="BF25" s="1">
        <f t="shared" si="11"/>
        <v>4.4035559314411173E-2</v>
      </c>
      <c r="BN25" s="137">
        <v>30</v>
      </c>
      <c r="BO25" s="1154">
        <v>0</v>
      </c>
      <c r="BP25" s="1154">
        <v>2635397.83804035</v>
      </c>
      <c r="BQ25" s="1808">
        <v>3033459.1012176713</v>
      </c>
      <c r="BR25" s="1147">
        <v>19025501.353174206</v>
      </c>
      <c r="BS25" s="57"/>
      <c r="BT25" s="470">
        <f t="shared" si="12"/>
        <v>2635397.83804035</v>
      </c>
      <c r="BU25" s="467">
        <f t="shared" si="13"/>
        <v>3033459.1012176713</v>
      </c>
      <c r="BV25" s="470">
        <f t="shared" si="14"/>
        <v>19025501.353174206</v>
      </c>
      <c r="BW25" s="1">
        <f t="shared" si="15"/>
        <v>2.5569516369372762E-2</v>
      </c>
      <c r="BX25" s="1">
        <f t="shared" si="16"/>
        <v>1.7738716391362035E-2</v>
      </c>
      <c r="BY25" s="1">
        <f t="shared" si="17"/>
        <v>5.8239721222744893E-2</v>
      </c>
      <c r="CH25" s="1">
        <v>25</v>
      </c>
      <c r="CI25" s="1">
        <v>2947024.5890069511</v>
      </c>
      <c r="CJ25" s="1">
        <v>9104945.9563973304</v>
      </c>
      <c r="CK25" s="1">
        <v>26595199.085405573</v>
      </c>
      <c r="CL25" s="1">
        <f t="shared" si="18"/>
        <v>1.2712740576884258E-2</v>
      </c>
      <c r="CM25" s="1">
        <f t="shared" si="19"/>
        <v>2.1781180282615751E-2</v>
      </c>
      <c r="CN25" s="1">
        <f t="shared" si="20"/>
        <v>8.1522723198749467E-2</v>
      </c>
      <c r="CX25" s="1">
        <v>25</v>
      </c>
      <c r="CY25" s="2">
        <v>857673.00374586403</v>
      </c>
      <c r="CZ25" s="2">
        <f t="shared" si="23"/>
        <v>1408318.5200560577</v>
      </c>
      <c r="DA25" s="2">
        <v>11278511.262158718</v>
      </c>
      <c r="DB25" s="2">
        <f t="shared" si="55"/>
        <v>25766335.657021292</v>
      </c>
      <c r="DC25" s="2">
        <v>1043951.7477126668</v>
      </c>
      <c r="DD25" s="2">
        <f t="shared" si="67"/>
        <v>3185795.0188690424</v>
      </c>
      <c r="DE25" s="1">
        <f t="shared" si="22"/>
        <v>2.231029521437668E-3</v>
      </c>
      <c r="DF25" s="1">
        <f t="shared" si="56"/>
        <v>0.11949745885155413</v>
      </c>
      <c r="DG25" s="1">
        <f t="shared" si="68"/>
        <v>0.13644700808386473</v>
      </c>
      <c r="DQ25" s="1809">
        <v>24</v>
      </c>
      <c r="DR25" s="1810">
        <v>3713495.8097266918</v>
      </c>
      <c r="DS25" s="947">
        <v>3274320.544240946</v>
      </c>
      <c r="DT25" s="1">
        <v>6792042.1458413452</v>
      </c>
      <c r="DU25" s="1">
        <v>6918948.0192387458</v>
      </c>
      <c r="DV25" s="2">
        <f t="shared" si="61"/>
        <v>13710990.165080091</v>
      </c>
      <c r="DW25" s="2">
        <f t="shared" si="24"/>
        <v>29105132.043890256</v>
      </c>
      <c r="DX25" s="2">
        <f t="shared" si="25"/>
        <v>36092948.397857897</v>
      </c>
      <c r="DY25" s="1">
        <v>2427577.3163601514</v>
      </c>
      <c r="DZ25" s="2">
        <f t="shared" si="26"/>
        <v>27585685.019706797</v>
      </c>
      <c r="EA25" s="1">
        <f t="shared" si="33"/>
        <v>1.1959164562628182</v>
      </c>
      <c r="EB25" s="1">
        <f t="shared" si="34"/>
        <v>17.34048637886033</v>
      </c>
      <c r="EC25" s="1">
        <f t="shared" si="35"/>
        <v>17.340702016941449</v>
      </c>
      <c r="ED25" s="123"/>
      <c r="EE25" s="878"/>
      <c r="EF25" s="879"/>
      <c r="EG25" s="879"/>
      <c r="EH25" s="2"/>
      <c r="EM25" s="1809">
        <v>24</v>
      </c>
      <c r="EN25" s="833">
        <v>18294892.639485579</v>
      </c>
      <c r="EO25" s="20">
        <v>3535413.6119927326</v>
      </c>
      <c r="EP25" s="2">
        <v>13240833.061891302</v>
      </c>
      <c r="EQ25" s="891">
        <v>3205314</v>
      </c>
      <c r="ER25" s="1">
        <f t="shared" si="27"/>
        <v>16446147.061891302</v>
      </c>
      <c r="ES25" s="2">
        <f t="shared" si="28"/>
        <v>39277750.778775066</v>
      </c>
      <c r="ET25" s="2">
        <f t="shared" si="29"/>
        <v>61108057.030253381</v>
      </c>
      <c r="EU25" s="114">
        <v>2841090.6882229829</v>
      </c>
      <c r="EV25">
        <v>406</v>
      </c>
      <c r="EW25" s="2">
        <f t="shared" si="30"/>
        <v>22952136.575294655</v>
      </c>
      <c r="EX25" s="2">
        <f t="shared" si="31"/>
        <v>25793227.263517637</v>
      </c>
      <c r="EY25" s="1">
        <f t="shared" si="36"/>
        <v>2.3746083880371809</v>
      </c>
      <c r="EZ25" s="1">
        <f t="shared" si="37"/>
        <v>9.2919616319030194</v>
      </c>
      <c r="FA25" s="1">
        <f t="shared" si="38"/>
        <v>9.7232986733927405</v>
      </c>
      <c r="FL25" s="1809">
        <v>24</v>
      </c>
      <c r="FM25" s="2">
        <v>3462642.2358022248</v>
      </c>
      <c r="FN25" s="1">
        <v>195720</v>
      </c>
      <c r="FO25" s="2">
        <v>24139257.11585528</v>
      </c>
      <c r="FP25" s="2">
        <v>2028049.905774273</v>
      </c>
      <c r="FQ25" s="2">
        <f t="shared" si="41"/>
        <v>26167307.021629553</v>
      </c>
      <c r="FR25" s="2">
        <f>$FQ$54*FQ25</f>
        <v>20018853.41058417</v>
      </c>
      <c r="FT25" s="2">
        <v>1207344.4914784867</v>
      </c>
      <c r="FU25" s="2">
        <f t="shared" si="65"/>
        <v>4067043.6070147837</v>
      </c>
      <c r="FV25" s="1">
        <f t="shared" si="39"/>
        <v>27744259.253401179</v>
      </c>
      <c r="FW25" s="1">
        <f t="shared" si="40"/>
        <v>35353114.064844109</v>
      </c>
      <c r="FY25" s="1">
        <f t="shared" si="43"/>
        <v>4.5618717602793888</v>
      </c>
      <c r="FZ25" s="1">
        <f t="shared" si="66"/>
        <v>4.3951936262747324</v>
      </c>
      <c r="GL25" s="1809">
        <v>24</v>
      </c>
      <c r="GM25">
        <v>6882256.8347299062</v>
      </c>
      <c r="GN25">
        <v>7534857.9414636213</v>
      </c>
      <c r="GP25" s="1135">
        <v>12238323.387918591</v>
      </c>
      <c r="GQ25" s="2">
        <f t="shared" si="57"/>
        <v>41470622.205708541</v>
      </c>
      <c r="GR25" s="2">
        <f t="shared" si="58"/>
        <v>55887736.98190207</v>
      </c>
      <c r="GS25" s="1135">
        <v>2160239.2541594575</v>
      </c>
      <c r="GW25" s="1">
        <f t="shared" si="44"/>
        <v>4.9087991933936763</v>
      </c>
      <c r="GX25" s="1">
        <f t="shared" si="45"/>
        <v>15.259214427739556</v>
      </c>
      <c r="GY25" s="2">
        <f t="shared" si="70"/>
        <v>18.008945475062539</v>
      </c>
      <c r="HI25" s="1809">
        <v>24</v>
      </c>
      <c r="HJ25" s="57">
        <v>6621485.3472464196</v>
      </c>
      <c r="HK25" s="211">
        <v>14129087.012945184</v>
      </c>
      <c r="HL25" s="211">
        <v>783989.52755446453</v>
      </c>
      <c r="HM25" s="57">
        <v>6489187.1510356767</v>
      </c>
      <c r="HN25" s="2">
        <f t="shared" si="46"/>
        <v>24838053.086540025</v>
      </c>
      <c r="HO25" s="2">
        <f t="shared" si="60"/>
        <v>45588625.446731627</v>
      </c>
      <c r="HP25">
        <v>35</v>
      </c>
      <c r="HQ25" s="2">
        <f t="shared" si="62"/>
        <v>203065.18772991005</v>
      </c>
      <c r="HR25" s="2">
        <v>1164162.9865610781</v>
      </c>
      <c r="HS25" s="2">
        <f t="shared" si="69"/>
        <v>11501058.69665527</v>
      </c>
      <c r="HT25" s="2">
        <f t="shared" si="64"/>
        <v>11704123.88438518</v>
      </c>
      <c r="HU25" s="1">
        <f t="shared" si="47"/>
        <v>7.8971066088735835</v>
      </c>
      <c r="HV25" s="1">
        <f t="shared" si="48"/>
        <v>7.5845098182247108</v>
      </c>
      <c r="HW25" s="1">
        <f t="shared" si="49"/>
        <v>10.339601210705931</v>
      </c>
      <c r="HX25" s="2">
        <f t="shared" si="50"/>
        <v>57292749.33111681</v>
      </c>
      <c r="IF25" s="1809">
        <v>24</v>
      </c>
      <c r="IG25" s="211">
        <v>4596468.0340585075</v>
      </c>
      <c r="IH25" s="57">
        <v>3302108.2993016453</v>
      </c>
      <c r="II25" s="211">
        <v>339922.15019934159</v>
      </c>
      <c r="IJ25" s="57">
        <v>355619.0765249391</v>
      </c>
      <c r="IK25" s="57">
        <f t="shared" si="51"/>
        <v>3068578.4973806553</v>
      </c>
      <c r="IL25" s="2">
        <f t="shared" si="52"/>
        <v>10967154.830740808</v>
      </c>
      <c r="IM25" s="1">
        <v>82</v>
      </c>
      <c r="IN25" s="57">
        <f t="shared" si="53"/>
        <v>7925.6258293121664</v>
      </c>
      <c r="IR25" s="1">
        <f t="shared" si="54"/>
        <v>1.7428861031397667</v>
      </c>
      <c r="IS25" s="1">
        <f t="shared" si="63"/>
        <v>3.002842201929925</v>
      </c>
    </row>
    <row r="26" spans="1:253" ht="15.6" thickTop="1" thickBot="1">
      <c r="A26" s="1119">
        <v>27</v>
      </c>
      <c r="B26" s="2">
        <v>88196.163486354824</v>
      </c>
      <c r="C26" s="2">
        <v>1195006.2782031982</v>
      </c>
      <c r="D26" s="2">
        <v>859418.18099354033</v>
      </c>
      <c r="E26" s="2">
        <v>4063264.9364285036</v>
      </c>
      <c r="F26" s="2"/>
      <c r="G26" s="13">
        <f t="shared" si="21"/>
        <v>6205885.559111597</v>
      </c>
      <c r="H26" s="243">
        <v>2054424.4591967384</v>
      </c>
      <c r="I26" s="244">
        <v>4063264.9364285036</v>
      </c>
      <c r="J26" s="245">
        <v>88196.163486354824</v>
      </c>
      <c r="K26" s="246">
        <f t="shared" si="32"/>
        <v>6205885.559111597</v>
      </c>
      <c r="L26" s="241">
        <f t="shared" si="0"/>
        <v>3.1778273035408802</v>
      </c>
      <c r="M26" s="242">
        <f t="shared" si="1"/>
        <v>11.09700092579941</v>
      </c>
      <c r="N26" s="240"/>
      <c r="O26" s="240"/>
      <c r="P26" s="240">
        <f t="shared" si="2"/>
        <v>0.36250419685852014</v>
      </c>
      <c r="Q26" s="242">
        <f t="shared" si="3"/>
        <v>4.9412162766043446</v>
      </c>
      <c r="R26" s="358"/>
      <c r="S26" s="1154">
        <v>27</v>
      </c>
      <c r="T26" s="1155"/>
      <c r="U26" s="1155"/>
      <c r="V26" s="1155"/>
      <c r="W26" s="1155"/>
      <c r="X26" s="1146">
        <v>4842283.1335660564</v>
      </c>
      <c r="Y26" s="1119">
        <f t="shared" si="4"/>
        <v>4842283.1335660564</v>
      </c>
      <c r="Z26" s="1146">
        <v>12358593.028873267</v>
      </c>
      <c r="AA26" s="57">
        <v>1455.6716477673142</v>
      </c>
      <c r="AB26" s="29">
        <f t="shared" si="5"/>
        <v>0.56916759465608802</v>
      </c>
      <c r="AC26" s="57">
        <f t="shared" si="6"/>
        <v>4842283.1335660564</v>
      </c>
      <c r="AD26" s="1">
        <f t="shared" si="7"/>
        <v>2.1501766890907383</v>
      </c>
      <c r="AE26" s="1">
        <f t="shared" si="8"/>
        <v>3.3512578255113064</v>
      </c>
      <c r="AU26" s="137">
        <v>31</v>
      </c>
      <c r="AV26" s="431">
        <v>3560624.4799999995</v>
      </c>
      <c r="AW26" s="2">
        <v>1632205.5460573898</v>
      </c>
      <c r="AX26" s="431">
        <v>0</v>
      </c>
      <c r="AY26" s="431">
        <v>2144264.4609501115</v>
      </c>
      <c r="AZ26" s="57">
        <v>11747357.310336949</v>
      </c>
      <c r="BA26" s="435">
        <v>5192830.0260573896</v>
      </c>
      <c r="BB26" s="2">
        <v>0</v>
      </c>
      <c r="BC26" s="1">
        <v>11747357.310336949</v>
      </c>
      <c r="BD26" s="1">
        <f t="shared" si="9"/>
        <v>5.2644571034525016E-2</v>
      </c>
      <c r="BE26" s="1">
        <f t="shared" si="10"/>
        <v>0</v>
      </c>
      <c r="BF26" s="1">
        <f t="shared" si="11"/>
        <v>4.3013673020376356E-2</v>
      </c>
      <c r="BN26" s="137">
        <v>31</v>
      </c>
      <c r="BO26" s="1154">
        <v>0</v>
      </c>
      <c r="BP26" s="1154">
        <v>2902173.0130470372</v>
      </c>
      <c r="BQ26" s="1808">
        <v>2377051.7991681416</v>
      </c>
      <c r="BR26" s="1147">
        <v>15311409.862436814</v>
      </c>
      <c r="BS26" s="57"/>
      <c r="BT26" s="470">
        <f t="shared" si="12"/>
        <v>2902173.0130470372</v>
      </c>
      <c r="BU26" s="467">
        <f t="shared" si="13"/>
        <v>2377051.7991681416</v>
      </c>
      <c r="BV26" s="470">
        <f t="shared" si="14"/>
        <v>15311409.862436814</v>
      </c>
      <c r="BW26" s="1">
        <f t="shared" si="15"/>
        <v>2.8157858860139929E-2</v>
      </c>
      <c r="BX26" s="1">
        <f t="shared" si="16"/>
        <v>1.3900252584943236E-2</v>
      </c>
      <c r="BY26" s="1">
        <f t="shared" si="17"/>
        <v>4.6870367585174336E-2</v>
      </c>
      <c r="CH26" s="1">
        <v>26</v>
      </c>
      <c r="CI26" s="1">
        <v>906474.84748309152</v>
      </c>
      <c r="CJ26" s="1">
        <v>6322077.3290701723</v>
      </c>
      <c r="CK26" s="1">
        <v>30104894.672992155</v>
      </c>
      <c r="CL26" s="1">
        <f t="shared" si="18"/>
        <v>3.9103099507582992E-3</v>
      </c>
      <c r="CM26" s="1">
        <f t="shared" si="19"/>
        <v>1.5123901528307558E-2</v>
      </c>
      <c r="CN26" s="1">
        <f t="shared" si="20"/>
        <v>9.2281053714714845E-2</v>
      </c>
      <c r="CX26" s="1">
        <v>26</v>
      </c>
      <c r="CY26" s="2">
        <v>485899.28985482268</v>
      </c>
      <c r="CZ26" s="2">
        <f t="shared" si="23"/>
        <v>797857.65180432051</v>
      </c>
      <c r="DA26" s="2">
        <v>9482082.6679525003</v>
      </c>
      <c r="DB26" s="2">
        <f t="shared" si="55"/>
        <v>21662302.68083496</v>
      </c>
      <c r="DC26" s="2">
        <v>951251.6674850689</v>
      </c>
      <c r="DD26" s="2">
        <f t="shared" si="67"/>
        <v>2902905.0725809066</v>
      </c>
      <c r="DE26" s="1">
        <f t="shared" si="22"/>
        <v>1.2639498449608692E-3</v>
      </c>
      <c r="DF26" s="1">
        <f t="shared" si="56"/>
        <v>0.10046403794819769</v>
      </c>
      <c r="DG26" s="1">
        <f t="shared" si="68"/>
        <v>0.1243308843033322</v>
      </c>
      <c r="DQ26" s="1809">
        <v>25</v>
      </c>
      <c r="DR26" s="1810">
        <v>3713495.8097266918</v>
      </c>
      <c r="DS26" s="947">
        <v>4552684.1663121805</v>
      </c>
      <c r="DT26" s="1">
        <v>3742065.2534152083</v>
      </c>
      <c r="DU26" s="1">
        <v>5315289.4516911916</v>
      </c>
      <c r="DV26" s="2">
        <f t="shared" si="61"/>
        <v>9057354.7051064</v>
      </c>
      <c r="DW26" s="2">
        <f t="shared" si="24"/>
        <v>19226584.038537424</v>
      </c>
      <c r="DX26" s="2">
        <f t="shared" si="25"/>
        <v>27492764.014576297</v>
      </c>
      <c r="DY26" s="1">
        <v>3096916.8627534118</v>
      </c>
      <c r="DZ26" s="2">
        <f t="shared" si="26"/>
        <v>35191700.191129901</v>
      </c>
      <c r="EA26" s="1">
        <f t="shared" si="33"/>
        <v>1.6628273991794169</v>
      </c>
      <c r="EB26" s="1">
        <f t="shared" si="34"/>
        <v>13.321346551594997</v>
      </c>
      <c r="EC26" s="1">
        <f t="shared" si="35"/>
        <v>22.121937013634881</v>
      </c>
      <c r="ED26" s="123"/>
      <c r="EE26" s="878"/>
      <c r="EF26" s="879"/>
      <c r="EG26" s="879"/>
      <c r="EH26" s="2"/>
      <c r="EM26" s="1809">
        <v>25</v>
      </c>
      <c r="EN26" s="833">
        <v>35627462.734438688</v>
      </c>
      <c r="EO26" s="20">
        <v>1796624.453800156</v>
      </c>
      <c r="EP26" s="2">
        <v>6362203.7042873856</v>
      </c>
      <c r="EQ26" s="891">
        <v>4078895</v>
      </c>
      <c r="ER26" s="1">
        <f t="shared" si="27"/>
        <v>10441098.704287386</v>
      </c>
      <c r="ES26" s="2">
        <f t="shared" si="28"/>
        <v>24936106.385298826</v>
      </c>
      <c r="ET26" s="2">
        <f t="shared" si="29"/>
        <v>62360193.57353767</v>
      </c>
      <c r="EU26" s="114">
        <v>5269675.2846749192</v>
      </c>
      <c r="EV26">
        <v>421</v>
      </c>
      <c r="EW26" s="2">
        <f t="shared" si="30"/>
        <v>23800121.916746426</v>
      </c>
      <c r="EX26" s="2">
        <f t="shared" si="31"/>
        <v>29069797.201421347</v>
      </c>
      <c r="EY26" s="1">
        <f t="shared" si="36"/>
        <v>1.2067271234331998</v>
      </c>
      <c r="EZ26" s="1">
        <f t="shared" si="37"/>
        <v>5.8991500069921941</v>
      </c>
      <c r="FA26" s="1">
        <f t="shared" si="38"/>
        <v>10.958470519281125</v>
      </c>
      <c r="FL26" s="1809">
        <v>25</v>
      </c>
      <c r="FM26" s="2">
        <v>3675047.4227678166</v>
      </c>
      <c r="FN26" s="1">
        <v>126388</v>
      </c>
      <c r="FO26" s="2">
        <v>13486586.524842074</v>
      </c>
      <c r="FP26" s="2">
        <v>1343989.1574457306</v>
      </c>
      <c r="FQ26" s="2">
        <f t="shared" si="41"/>
        <v>14830575.682287805</v>
      </c>
      <c r="FR26" s="2">
        <f t="shared" si="42"/>
        <v>11345879.816095999</v>
      </c>
      <c r="FT26" s="2">
        <v>2356198.4172750339</v>
      </c>
      <c r="FU26" s="2">
        <f t="shared" si="65"/>
        <v>7937056.7203250704</v>
      </c>
      <c r="FV26" s="1">
        <f t="shared" si="39"/>
        <v>23084371.959188886</v>
      </c>
      <c r="FW26" s="1">
        <f t="shared" si="40"/>
        <v>29415254.07236984</v>
      </c>
      <c r="FY26" s="1">
        <f t="shared" si="43"/>
        <v>3.0231535062410715</v>
      </c>
      <c r="FZ26" s="1">
        <f t="shared" si="66"/>
        <v>8.5774593241107038</v>
      </c>
      <c r="GL26" s="1809">
        <v>25</v>
      </c>
      <c r="GM26">
        <v>5460777.6358687188</v>
      </c>
      <c r="GN26">
        <v>6765871.7323878137</v>
      </c>
      <c r="GP26" s="1135">
        <v>7210572.0474443417</v>
      </c>
      <c r="GQ26" s="2">
        <f t="shared" si="57"/>
        <v>24433649.919873789</v>
      </c>
      <c r="GR26" s="2">
        <f t="shared" si="58"/>
        <v>36660299.288130321</v>
      </c>
      <c r="GS26" s="1135">
        <v>1620085.3568881499</v>
      </c>
      <c r="GW26" s="1">
        <f t="shared" si="44"/>
        <v>4.4078210844276375</v>
      </c>
      <c r="GX26" s="1">
        <f t="shared" si="45"/>
        <v>8.9904198092391621</v>
      </c>
      <c r="GY26" s="2">
        <f t="shared" si="70"/>
        <v>13.505924772438332</v>
      </c>
      <c r="HI26" s="1809">
        <v>25</v>
      </c>
      <c r="HJ26" s="57">
        <v>3424302.3586033029</v>
      </c>
      <c r="HK26" s="211">
        <v>5701669.6384089766</v>
      </c>
      <c r="HL26" s="211">
        <v>548792.66928812524</v>
      </c>
      <c r="HM26" s="57">
        <v>5394062.4716771999</v>
      </c>
      <c r="HN26" s="2">
        <f t="shared" si="46"/>
        <v>20646347.054769199</v>
      </c>
      <c r="HO26" s="2">
        <f t="shared" si="60"/>
        <v>29772319.051781479</v>
      </c>
      <c r="HP26">
        <v>24</v>
      </c>
      <c r="HQ26" s="2">
        <f t="shared" si="62"/>
        <v>139244.70015765261</v>
      </c>
      <c r="HR26" s="2">
        <v>1463818.2566965194</v>
      </c>
      <c r="HS26" s="2">
        <f t="shared" si="69"/>
        <v>14461428.413244767</v>
      </c>
      <c r="HT26" s="2">
        <f t="shared" si="64"/>
        <v>14600673.113402419</v>
      </c>
      <c r="HU26" s="1">
        <f>(HK26/$HK$51)*100</f>
        <v>3.1868083862630021</v>
      </c>
      <c r="HV26" s="1">
        <f t="shared" si="48"/>
        <v>4.9531751384652472</v>
      </c>
      <c r="HW26" s="1">
        <f t="shared" si="49"/>
        <v>12.898456893630822</v>
      </c>
      <c r="HX26" s="2">
        <f t="shared" si="50"/>
        <v>44372992.165183902</v>
      </c>
      <c r="IF26" s="1809">
        <v>25</v>
      </c>
      <c r="IG26" s="211">
        <v>1150436.3617224339</v>
      </c>
      <c r="IH26" s="57">
        <v>1348334.8254044699</v>
      </c>
      <c r="II26" s="211">
        <v>203953.29011960494</v>
      </c>
      <c r="IJ26" s="57">
        <v>620201.88484218775</v>
      </c>
      <c r="IK26" s="57">
        <f t="shared" si="51"/>
        <v>5351620.0156046078</v>
      </c>
      <c r="IL26" s="2">
        <f t="shared" si="52"/>
        <v>7850391.2027315116</v>
      </c>
      <c r="IM26" s="1">
        <v>92</v>
      </c>
      <c r="IN26" s="57">
        <f t="shared" si="53"/>
        <v>8892.1655645941391</v>
      </c>
      <c r="IR26" s="1">
        <f t="shared" si="54"/>
        <v>0.71166473554905163</v>
      </c>
      <c r="IS26" s="1">
        <f t="shared" si="63"/>
        <v>5.236975506824364</v>
      </c>
    </row>
    <row r="27" spans="1:253" ht="15.6" thickTop="1" thickBot="1">
      <c r="A27" s="1119">
        <v>28</v>
      </c>
      <c r="B27" s="2">
        <v>73944.306443376772</v>
      </c>
      <c r="C27" s="2">
        <v>597503.13910159911</v>
      </c>
      <c r="D27" s="2">
        <v>713417.10330692376</v>
      </c>
      <c r="E27" s="2">
        <v>3451653.8409322323</v>
      </c>
      <c r="F27" s="2"/>
      <c r="G27" s="13">
        <f t="shared" si="21"/>
        <v>4836518.3897841321</v>
      </c>
      <c r="H27" s="243">
        <v>1310920.2424085229</v>
      </c>
      <c r="I27" s="244">
        <v>3451653.8409322323</v>
      </c>
      <c r="J27" s="245">
        <v>73944.306443376772</v>
      </c>
      <c r="K27" s="246">
        <f t="shared" si="32"/>
        <v>4836518.3897841312</v>
      </c>
      <c r="L27" s="241">
        <f t="shared" si="0"/>
        <v>2.0277592200781402</v>
      </c>
      <c r="M27" s="242">
        <f t="shared" si="1"/>
        <v>9.4266572491901908</v>
      </c>
      <c r="N27" s="240"/>
      <c r="O27" s="240"/>
      <c r="P27" s="240">
        <f t="shared" si="2"/>
        <v>0.30392616141022638</v>
      </c>
      <c r="Q27" s="242">
        <f t="shared" si="3"/>
        <v>3.8509062344228502</v>
      </c>
      <c r="R27" s="358"/>
      <c r="S27" s="1154">
        <v>28</v>
      </c>
      <c r="T27" s="1155"/>
      <c r="U27" s="1155"/>
      <c r="V27" s="1155"/>
      <c r="W27" s="1155"/>
      <c r="X27" s="1146">
        <v>4246783.1800918663</v>
      </c>
      <c r="Y27" s="1119">
        <f t="shared" si="4"/>
        <v>4246783.1800918663</v>
      </c>
      <c r="Z27" s="1146">
        <v>10791580.717253767</v>
      </c>
      <c r="AA27" s="57">
        <v>3606.1734520522032</v>
      </c>
      <c r="AB27" s="29">
        <f t="shared" si="5"/>
        <v>1.4100137711449638</v>
      </c>
      <c r="AC27" s="57">
        <f t="shared" si="6"/>
        <v>4246783.1800918663</v>
      </c>
      <c r="AD27" s="1">
        <f t="shared" si="7"/>
        <v>1.8857497477086755</v>
      </c>
      <c r="AE27" s="1">
        <f t="shared" si="8"/>
        <v>2.9263338669572487</v>
      </c>
      <c r="AU27" s="137">
        <v>32</v>
      </c>
      <c r="AV27" s="431">
        <v>7121248.959999999</v>
      </c>
      <c r="AW27" s="2">
        <v>1814678.8799797206</v>
      </c>
      <c r="AX27" s="431">
        <v>0</v>
      </c>
      <c r="AY27" s="431">
        <v>1978312.2467675004</v>
      </c>
      <c r="AZ27" s="57">
        <v>10838187.759683255</v>
      </c>
      <c r="BA27" s="435">
        <v>8935927.8399797194</v>
      </c>
      <c r="BB27" s="2">
        <v>0</v>
      </c>
      <c r="BC27" s="1">
        <v>10838187.759683255</v>
      </c>
      <c r="BD27" s="1">
        <f t="shared" si="9"/>
        <v>9.0591851759178499E-2</v>
      </c>
      <c r="BE27" s="1">
        <f t="shared" si="10"/>
        <v>0</v>
      </c>
      <c r="BF27" s="1">
        <f t="shared" si="11"/>
        <v>3.9684692660045526E-2</v>
      </c>
      <c r="BN27" s="137">
        <v>32</v>
      </c>
      <c r="BO27" s="1154">
        <v>3352877.6978417267</v>
      </c>
      <c r="BP27" s="1154">
        <v>2435760.6357862093</v>
      </c>
      <c r="BQ27" s="1808">
        <v>1235372.358151421</v>
      </c>
      <c r="BR27" s="1147">
        <v>6534700.716385507</v>
      </c>
      <c r="BS27" s="57"/>
      <c r="BT27" s="470">
        <f t="shared" si="12"/>
        <v>5788638.3336279355</v>
      </c>
      <c r="BU27" s="467">
        <f t="shared" si="13"/>
        <v>1235372.358151421</v>
      </c>
      <c r="BV27" s="470">
        <f t="shared" si="14"/>
        <v>6534700.716385507</v>
      </c>
      <c r="BW27" s="1">
        <f t="shared" si="15"/>
        <v>5.6163316403924274E-2</v>
      </c>
      <c r="BX27" s="1">
        <f t="shared" si="16"/>
        <v>7.224069673522098E-3</v>
      </c>
      <c r="BY27" s="1">
        <f t="shared" si="17"/>
        <v>2.0003633067617828E-2</v>
      </c>
      <c r="CH27" s="1">
        <v>27</v>
      </c>
      <c r="CI27" s="1">
        <v>4732831.9017180856</v>
      </c>
      <c r="CJ27" s="1">
        <v>2877811.6478374056</v>
      </c>
      <c r="CK27" s="1">
        <v>38720424.911562867</v>
      </c>
      <c r="CL27" s="1">
        <f t="shared" si="18"/>
        <v>2.0416274904858582E-2</v>
      </c>
      <c r="CM27" s="1">
        <f t="shared" si="19"/>
        <v>6.8844048741350554E-3</v>
      </c>
      <c r="CN27" s="1">
        <f t="shared" si="20"/>
        <v>0.11869038739159209</v>
      </c>
      <c r="CX27" s="1">
        <v>27</v>
      </c>
      <c r="CY27" s="2">
        <v>726991.70882862445</v>
      </c>
      <c r="CZ27" s="2">
        <f t="shared" si="23"/>
        <v>1193736.8705776872</v>
      </c>
      <c r="DA27" s="2">
        <v>6924327.0387777556</v>
      </c>
      <c r="DB27" s="2">
        <f t="shared" si="55"/>
        <v>15818979.166048838</v>
      </c>
      <c r="DC27" s="2">
        <v>503972.15089784504</v>
      </c>
      <c r="DD27" s="2">
        <f t="shared" si="67"/>
        <v>1537956.1090796487</v>
      </c>
      <c r="DE27" s="1">
        <f t="shared" si="22"/>
        <v>1.8910936419279829E-3</v>
      </c>
      <c r="DF27" s="1">
        <f t="shared" si="56"/>
        <v>7.3364246943410497E-2</v>
      </c>
      <c r="DG27" s="1">
        <f t="shared" si="68"/>
        <v>6.5870374084116876E-2</v>
      </c>
      <c r="DQ27" s="1809">
        <v>26</v>
      </c>
      <c r="DR27" s="1810">
        <v>618915.96828778193</v>
      </c>
      <c r="DS27" s="947">
        <v>3629717.3364129132</v>
      </c>
      <c r="DT27" s="1">
        <v>857173.77136589994</v>
      </c>
      <c r="DU27" s="1">
        <v>3008097.2477230509</v>
      </c>
      <c r="DV27" s="2">
        <f t="shared" si="61"/>
        <v>3865271.0190889509</v>
      </c>
      <c r="DW27" s="2">
        <f t="shared" si="24"/>
        <v>8205040.0475470703</v>
      </c>
      <c r="DX27" s="2">
        <f t="shared" si="25"/>
        <v>12453673.352247765</v>
      </c>
      <c r="DY27" s="1">
        <v>2689539.0935346317</v>
      </c>
      <c r="DZ27" s="2">
        <f t="shared" si="26"/>
        <v>30562477.98264851</v>
      </c>
      <c r="EA27" s="1">
        <f t="shared" si="33"/>
        <v>1.3257219736270327</v>
      </c>
      <c r="EB27" s="1">
        <f t="shared" si="34"/>
        <v>7.5389884712803346</v>
      </c>
      <c r="EC27" s="1">
        <f t="shared" si="35"/>
        <v>19.211950807740884</v>
      </c>
      <c r="ED27" s="123"/>
      <c r="EE27" s="878"/>
      <c r="EF27" s="879"/>
      <c r="EG27" s="879"/>
      <c r="EH27" s="2"/>
      <c r="EM27" s="1809">
        <v>26</v>
      </c>
      <c r="EN27" s="833">
        <v>15022970.973937724</v>
      </c>
      <c r="EO27" s="20">
        <v>990818.12895877857</v>
      </c>
      <c r="EP27" s="2">
        <v>3864351.9102345905</v>
      </c>
      <c r="EQ27" s="891">
        <v>5425839</v>
      </c>
      <c r="ER27" s="1">
        <f t="shared" si="27"/>
        <v>9290190.910234591</v>
      </c>
      <c r="ES27" s="2">
        <f t="shared" si="28"/>
        <v>22187434.046784732</v>
      </c>
      <c r="ET27" s="2">
        <f t="shared" si="29"/>
        <v>38201223.149681233</v>
      </c>
      <c r="EU27" s="114">
        <v>5626898.4513822142</v>
      </c>
      <c r="EV27">
        <v>597</v>
      </c>
      <c r="EW27" s="2">
        <f t="shared" si="30"/>
        <v>33749816.589780562</v>
      </c>
      <c r="EX27" s="2">
        <f t="shared" si="31"/>
        <v>39376715.041162774</v>
      </c>
      <c r="EY27" s="1">
        <f t="shared" si="36"/>
        <v>0.6654964024757104</v>
      </c>
      <c r="EZ27" s="1">
        <f t="shared" si="37"/>
        <v>5.2488949032313208</v>
      </c>
      <c r="FA27" s="1">
        <f t="shared" si="38"/>
        <v>14.843879643701733</v>
      </c>
      <c r="FL27" s="1809">
        <v>26</v>
      </c>
      <c r="FM27" s="2">
        <v>4951367.1907330919</v>
      </c>
      <c r="FN27" s="1">
        <v>88874</v>
      </c>
      <c r="FO27" s="2">
        <v>3471842.2620518953</v>
      </c>
      <c r="FP27" s="2">
        <v>1277650.5627073147</v>
      </c>
      <c r="FQ27" s="2">
        <f t="shared" si="41"/>
        <v>4749492.8247592095</v>
      </c>
      <c r="FR27" s="2">
        <f t="shared" si="42"/>
        <v>3633518.7474540104</v>
      </c>
      <c r="FT27" s="2">
        <v>3253105.6436832543</v>
      </c>
      <c r="FU27" s="2">
        <f t="shared" si="65"/>
        <v>10958365.739412032</v>
      </c>
      <c r="FV27" s="1">
        <f t="shared" si="39"/>
        <v>19632125.677599132</v>
      </c>
      <c r="FW27" s="1">
        <f t="shared" si="40"/>
        <v>25016230.279438164</v>
      </c>
      <c r="FY27" s="1">
        <f t="shared" si="43"/>
        <v>2.8739322464031583</v>
      </c>
      <c r="FZ27" s="1">
        <f t="shared" si="66"/>
        <v>11.842543111457738</v>
      </c>
      <c r="GL27" s="1809">
        <v>26</v>
      </c>
      <c r="GM27">
        <v>1735946.9511525319</v>
      </c>
      <c r="GN27">
        <v>7417075.5797767695</v>
      </c>
      <c r="GP27" s="1135">
        <v>4102188.6862046402</v>
      </c>
      <c r="GQ27" s="2">
        <f t="shared" si="57"/>
        <v>13900622.808354909</v>
      </c>
      <c r="GR27" s="2">
        <f t="shared" si="58"/>
        <v>23053645.339284211</v>
      </c>
      <c r="GS27" s="1135">
        <v>1232906.6143244156</v>
      </c>
      <c r="GW27" s="1">
        <f t="shared" si="44"/>
        <v>4.8320664976300574</v>
      </c>
      <c r="GX27" s="1">
        <f t="shared" si="45"/>
        <v>5.1147673420394666</v>
      </c>
      <c r="GY27" s="2">
        <f t="shared" si="70"/>
        <v>10.278189302625007</v>
      </c>
      <c r="HI27" s="1809">
        <v>26</v>
      </c>
      <c r="HJ27" s="57">
        <v>1415563.0724421742</v>
      </c>
      <c r="HK27" s="211">
        <v>814360.10246246029</v>
      </c>
      <c r="HL27" s="211">
        <v>195997.38188861613</v>
      </c>
      <c r="HM27" s="57">
        <v>4124964.1670313403</v>
      </c>
      <c r="HN27" s="2">
        <f t="shared" si="46"/>
        <v>15788738.493148213</v>
      </c>
      <c r="HO27" s="2">
        <f t="shared" si="60"/>
        <v>18018661.668052848</v>
      </c>
      <c r="HP27">
        <v>30</v>
      </c>
      <c r="HQ27" s="2">
        <f t="shared" si="62"/>
        <v>174055.87519706576</v>
      </c>
      <c r="HR27" s="2">
        <v>1234822.7107115248</v>
      </c>
      <c r="HS27" s="2">
        <f t="shared" si="69"/>
        <v>12199123.868220592</v>
      </c>
      <c r="HT27" s="2">
        <f t="shared" si="64"/>
        <v>12373179.743417658</v>
      </c>
      <c r="HU27" s="1">
        <f t="shared" si="47"/>
        <v>0.45516660356518773</v>
      </c>
      <c r="HV27" s="1">
        <f t="shared" si="48"/>
        <v>2.9977371546834779</v>
      </c>
      <c r="HW27" s="1">
        <f t="shared" si="49"/>
        <v>10.930655341576104</v>
      </c>
      <c r="HX27" s="2">
        <f t="shared" si="50"/>
        <v>30391841.411470506</v>
      </c>
      <c r="IF27" s="1809">
        <v>26</v>
      </c>
      <c r="IG27" s="211">
        <v>992296.89496213803</v>
      </c>
      <c r="IH27" s="57">
        <v>771776.79311536148</v>
      </c>
      <c r="II27" s="211">
        <v>407906.58023920993</v>
      </c>
      <c r="IJ27" s="57">
        <v>756419.81756943511</v>
      </c>
      <c r="IK27" s="57">
        <f t="shared" si="51"/>
        <v>6527022.143659913</v>
      </c>
      <c r="IL27" s="2">
        <f t="shared" si="52"/>
        <v>8291095.8317374121</v>
      </c>
      <c r="IM27" s="1">
        <v>84</v>
      </c>
      <c r="IN27" s="57">
        <f t="shared" si="53"/>
        <v>8118.9337763685608</v>
      </c>
      <c r="IR27" s="1">
        <f t="shared" si="54"/>
        <v>0.40735158435930591</v>
      </c>
      <c r="IS27" s="1">
        <f t="shared" si="63"/>
        <v>6.3871977082037779</v>
      </c>
    </row>
    <row r="28" spans="1:253" ht="15.6" thickTop="1" thickBot="1">
      <c r="A28" s="1119">
        <v>29</v>
      </c>
      <c r="B28" s="2">
        <v>29846.224700199353</v>
      </c>
      <c r="C28" s="2">
        <v>0</v>
      </c>
      <c r="D28" s="2">
        <v>514981.44340799318</v>
      </c>
      <c r="E28" s="2">
        <v>2738671.7368058981</v>
      </c>
      <c r="F28" s="2"/>
      <c r="G28" s="13">
        <f t="shared" si="21"/>
        <v>3283499.4049140904</v>
      </c>
      <c r="H28" s="243">
        <v>514981.44340799318</v>
      </c>
      <c r="I28" s="244">
        <v>2738671.7368058981</v>
      </c>
      <c r="J28" s="245">
        <v>29846.224700199353</v>
      </c>
      <c r="K28" s="246">
        <f t="shared" si="32"/>
        <v>3283499.4049140909</v>
      </c>
      <c r="L28" s="241">
        <f t="shared" si="0"/>
        <v>0.79658421333178575</v>
      </c>
      <c r="M28" s="242">
        <f t="shared" si="1"/>
        <v>7.4794637500326555</v>
      </c>
      <c r="N28" s="240"/>
      <c r="O28" s="240"/>
      <c r="P28" s="240">
        <f t="shared" si="2"/>
        <v>0.12267406298096629</v>
      </c>
      <c r="Q28" s="242">
        <f t="shared" si="3"/>
        <v>2.6143699475671283</v>
      </c>
      <c r="R28" s="358"/>
      <c r="S28" s="1154">
        <v>29</v>
      </c>
      <c r="T28" s="1155"/>
      <c r="U28" s="1155"/>
      <c r="V28" s="1155"/>
      <c r="W28" s="1155"/>
      <c r="X28" s="1146">
        <v>3021211.0045001293</v>
      </c>
      <c r="Y28" s="1119">
        <f t="shared" si="4"/>
        <v>3021211.0045001293</v>
      </c>
      <c r="Z28" s="1146">
        <v>7200316.0611480596</v>
      </c>
      <c r="AA28" s="57">
        <v>3780.8806881300125</v>
      </c>
      <c r="AB28" s="29">
        <f t="shared" si="5"/>
        <v>1.4783242980965163</v>
      </c>
      <c r="AC28" s="57">
        <f t="shared" si="6"/>
        <v>3021211.0045001293</v>
      </c>
      <c r="AD28" s="1">
        <f t="shared" si="7"/>
        <v>1.3415443284739463</v>
      </c>
      <c r="AE28" s="1">
        <f t="shared" si="8"/>
        <v>1.9524969783940787</v>
      </c>
      <c r="AU28" s="137">
        <v>33</v>
      </c>
      <c r="AV28" s="431">
        <v>7121248.959999999</v>
      </c>
      <c r="AW28" s="2">
        <v>1400871.6920069195</v>
      </c>
      <c r="AX28" s="431">
        <v>0</v>
      </c>
      <c r="AY28" s="431">
        <v>1454431.1116977117</v>
      </c>
      <c r="AZ28" s="57">
        <v>7968103.8712981436</v>
      </c>
      <c r="BA28" s="435">
        <v>8522120.6520069186</v>
      </c>
      <c r="BB28" s="2">
        <v>0</v>
      </c>
      <c r="BC28" s="1">
        <v>7968103.8712981436</v>
      </c>
      <c r="BD28" s="1">
        <f t="shared" si="9"/>
        <v>8.639670156313578E-2</v>
      </c>
      <c r="BE28" s="1">
        <f t="shared" si="10"/>
        <v>0</v>
      </c>
      <c r="BF28" s="1">
        <f t="shared" si="11"/>
        <v>2.917570356107459E-2</v>
      </c>
      <c r="BN28" s="137">
        <v>33</v>
      </c>
      <c r="BO28" s="1154">
        <v>10058633.093525181</v>
      </c>
      <c r="BP28" s="1154">
        <v>3408607.0830988036</v>
      </c>
      <c r="BQ28" s="1808">
        <v>395392.75875925343</v>
      </c>
      <c r="BR28" s="1147">
        <v>3447665.8151822244</v>
      </c>
      <c r="BS28" s="57"/>
      <c r="BT28" s="470">
        <f t="shared" si="12"/>
        <v>13467240.176623985</v>
      </c>
      <c r="BU28" s="467">
        <f t="shared" si="13"/>
        <v>395392.75875925343</v>
      </c>
      <c r="BV28" s="470">
        <f t="shared" si="14"/>
        <v>3447665.8151822244</v>
      </c>
      <c r="BW28" s="1">
        <f t="shared" si="15"/>
        <v>0.13066369455721974</v>
      </c>
      <c r="BX28" s="1">
        <f t="shared" si="16"/>
        <v>2.3121327094910247E-3</v>
      </c>
      <c r="BY28" s="1">
        <f t="shared" si="17"/>
        <v>1.0553787372961941E-2</v>
      </c>
      <c r="CH28" s="1">
        <v>28</v>
      </c>
      <c r="CI28" s="1">
        <v>3411315.3323694603</v>
      </c>
      <c r="CJ28" s="1">
        <v>1096674.9870476548</v>
      </c>
      <c r="CK28" s="1">
        <v>24383517.51139646</v>
      </c>
      <c r="CL28" s="1">
        <f t="shared" si="18"/>
        <v>1.4715576859497441E-2</v>
      </c>
      <c r="CM28" s="1">
        <f t="shared" si="19"/>
        <v>2.6235054791881366E-3</v>
      </c>
      <c r="CN28" s="1">
        <f t="shared" si="20"/>
        <v>7.4743217462292608E-2</v>
      </c>
      <c r="CX28" s="1">
        <v>28</v>
      </c>
      <c r="CY28" s="2">
        <v>1006107.2770965976</v>
      </c>
      <c r="CZ28" s="2">
        <f t="shared" si="23"/>
        <v>1652050.9626745298</v>
      </c>
      <c r="DA28" s="2">
        <v>4452020.7552102786</v>
      </c>
      <c r="DB28" s="2">
        <f t="shared" si="55"/>
        <v>10170869.050390737</v>
      </c>
      <c r="DC28" s="2">
        <v>331206.90125503333</v>
      </c>
      <c r="DD28" s="2">
        <f t="shared" si="67"/>
        <v>1010733.7801246283</v>
      </c>
      <c r="DE28" s="1">
        <f t="shared" si="22"/>
        <v>2.6171454938330881E-3</v>
      </c>
      <c r="DF28" s="1">
        <f t="shared" si="56"/>
        <v>4.7169804120067785E-2</v>
      </c>
      <c r="DG28" s="1">
        <f t="shared" si="68"/>
        <v>4.3289539801044372E-2</v>
      </c>
      <c r="DQ28" s="1809">
        <v>27</v>
      </c>
      <c r="DR28" s="1810">
        <v>3713495.8097266913</v>
      </c>
      <c r="DS28" s="947">
        <v>2564414.8993586306</v>
      </c>
      <c r="DT28" s="1">
        <v>729543.75280150108</v>
      </c>
      <c r="DU28" s="1">
        <v>1490502.0621397798</v>
      </c>
      <c r="DV28" s="2">
        <f t="shared" si="61"/>
        <v>2220045.814941281</v>
      </c>
      <c r="DW28" s="2">
        <f t="shared" si="24"/>
        <v>4712622.9257983351</v>
      </c>
      <c r="DX28" s="2">
        <f t="shared" si="25"/>
        <v>10990533.634883657</v>
      </c>
      <c r="DY28" s="1">
        <v>1507550.5056830151</v>
      </c>
      <c r="DZ28" s="2">
        <f t="shared" si="26"/>
        <v>17130994.395443428</v>
      </c>
      <c r="EA28" s="1">
        <f t="shared" si="33"/>
        <v>0.93662973352521828</v>
      </c>
      <c r="EB28" s="1">
        <f t="shared" si="34"/>
        <v>3.7355434141622275</v>
      </c>
      <c r="EC28" s="1">
        <f t="shared" si="35"/>
        <v>10.768754477297223</v>
      </c>
      <c r="ED28" s="123"/>
      <c r="EE28" s="878"/>
      <c r="EF28" s="879"/>
      <c r="EG28" s="879"/>
      <c r="EH28" s="2"/>
      <c r="EM28" s="1809">
        <v>27</v>
      </c>
      <c r="EN28" s="833">
        <v>5072043.8907395657</v>
      </c>
      <c r="EO28" s="20">
        <v>1122106.1958055063</v>
      </c>
      <c r="EP28" s="2">
        <v>1625127.2609914127</v>
      </c>
      <c r="EQ28" s="891">
        <v>5231089</v>
      </c>
      <c r="ER28" s="1">
        <f t="shared" si="27"/>
        <v>6856216.2609914131</v>
      </c>
      <c r="ES28" s="2">
        <f t="shared" si="28"/>
        <v>16374458.56291867</v>
      </c>
      <c r="ET28" s="2">
        <f t="shared" si="29"/>
        <v>22568608.649463743</v>
      </c>
      <c r="EU28" s="114">
        <v>4374353.6250703232</v>
      </c>
      <c r="EV28">
        <v>536</v>
      </c>
      <c r="EW28" s="2">
        <f t="shared" si="30"/>
        <v>30301342.867876686</v>
      </c>
      <c r="EX28" s="2">
        <f t="shared" si="31"/>
        <v>34675696.492947012</v>
      </c>
      <c r="EY28" s="1">
        <f t="shared" si="36"/>
        <v>0.75367780895270364</v>
      </c>
      <c r="EZ28" s="1">
        <f t="shared" si="37"/>
        <v>3.8737157218290998</v>
      </c>
      <c r="FA28" s="1">
        <f t="shared" si="38"/>
        <v>13.071731980810664</v>
      </c>
      <c r="FL28" s="1809">
        <v>27</v>
      </c>
      <c r="FM28" s="2">
        <v>2420701.9889473752</v>
      </c>
      <c r="FN28" s="1">
        <v>48252</v>
      </c>
      <c r="FO28" s="2">
        <v>5267049.3442922235</v>
      </c>
      <c r="FP28" s="2">
        <v>1248952.0793864338</v>
      </c>
      <c r="FQ28" s="2">
        <f t="shared" si="41"/>
        <v>6516001.423678657</v>
      </c>
      <c r="FR28" s="2">
        <f t="shared" si="42"/>
        <v>4984956.1216199445</v>
      </c>
      <c r="FT28" s="2">
        <v>3636660.0166240558</v>
      </c>
      <c r="FU28" s="2">
        <f t="shared" si="65"/>
        <v>12250401.584542856</v>
      </c>
      <c r="FV28" s="1">
        <f t="shared" si="39"/>
        <v>19704311.695110176</v>
      </c>
      <c r="FW28" s="1">
        <f t="shared" si="40"/>
        <v>25108213.290685508</v>
      </c>
      <c r="FY28" s="1">
        <f t="shared" si="43"/>
        <v>2.8093782133630327</v>
      </c>
      <c r="FZ28" s="1">
        <f t="shared" si="66"/>
        <v>13.238827061214966</v>
      </c>
      <c r="GL28" s="1809">
        <v>27</v>
      </c>
      <c r="GM28">
        <v>1269562.196854732</v>
      </c>
      <c r="GN28">
        <v>13016112.352784676</v>
      </c>
      <c r="GP28" s="1135">
        <v>2151325.3209280213</v>
      </c>
      <c r="GQ28" s="2">
        <f t="shared" si="57"/>
        <v>7289952.7817555098</v>
      </c>
      <c r="GR28" s="2">
        <f>GM28+GN28+GQ28</f>
        <v>21575627.331394918</v>
      </c>
      <c r="GS28" s="1135">
        <v>611938.89587776479</v>
      </c>
      <c r="GW28" s="1">
        <f t="shared" si="44"/>
        <v>8.4797195003333794</v>
      </c>
      <c r="GX28" s="1">
        <f t="shared" si="45"/>
        <v>2.6823555265971253</v>
      </c>
      <c r="GY28" s="2">
        <f t="shared" si="70"/>
        <v>5.1014600298153701</v>
      </c>
      <c r="HI28" s="1809">
        <v>27</v>
      </c>
      <c r="HJ28" s="57">
        <v>979795.54413998267</v>
      </c>
      <c r="HK28" s="211">
        <v>3026055.8007687512</v>
      </c>
      <c r="HL28" s="211">
        <v>156797.90551089292</v>
      </c>
      <c r="HM28" s="57">
        <v>2266672.9743133504</v>
      </c>
      <c r="HN28" s="2">
        <f t="shared" si="46"/>
        <v>8675931.5697706621</v>
      </c>
      <c r="HO28" s="2">
        <f t="shared" si="60"/>
        <v>12681782.914679397</v>
      </c>
      <c r="HP28">
        <v>19</v>
      </c>
      <c r="HQ28" s="2">
        <f t="shared" si="62"/>
        <v>110235.38762480831</v>
      </c>
      <c r="HR28" s="2">
        <v>953044.04490614182</v>
      </c>
      <c r="HS28" s="2">
        <f t="shared" si="69"/>
        <v>9415361.6181716882</v>
      </c>
      <c r="HT28" s="2">
        <f t="shared" si="64"/>
        <v>9525597.0057964958</v>
      </c>
      <c r="HU28" s="1">
        <f t="shared" si="47"/>
        <v>1.6913396627238861</v>
      </c>
      <c r="HV28" s="1">
        <f t="shared" si="48"/>
        <v>2.1098488073821939</v>
      </c>
      <c r="HW28" s="1">
        <f t="shared" si="49"/>
        <v>8.4150574025647362</v>
      </c>
      <c r="HX28" s="2">
        <f t="shared" si="50"/>
        <v>22207379.920475893</v>
      </c>
      <c r="IF28" s="1809">
        <v>27</v>
      </c>
      <c r="IG28" s="211">
        <v>1341537.0714996669</v>
      </c>
      <c r="IH28" s="57">
        <v>834138.47050039552</v>
      </c>
      <c r="II28" s="211">
        <v>543875.44031894649</v>
      </c>
      <c r="IJ28" s="57">
        <v>853785.86473597633</v>
      </c>
      <c r="IK28" s="57">
        <f t="shared" si="51"/>
        <v>7367177.7439437648</v>
      </c>
      <c r="IL28" s="2">
        <f t="shared" si="52"/>
        <v>9542853.2859438267</v>
      </c>
      <c r="IM28" s="1">
        <v>64</v>
      </c>
      <c r="IN28" s="57">
        <f t="shared" si="53"/>
        <v>6185.854305804618</v>
      </c>
      <c r="IR28" s="1">
        <f t="shared" si="54"/>
        <v>0.44026670737506146</v>
      </c>
      <c r="IS28" s="1">
        <f t="shared" si="63"/>
        <v>7.2093551647829841</v>
      </c>
    </row>
    <row r="29" spans="1:253" ht="15.6" thickTop="1" thickBot="1">
      <c r="A29" s="1119">
        <v>30</v>
      </c>
      <c r="B29" s="2">
        <v>0</v>
      </c>
      <c r="C29" s="2">
        <v>0</v>
      </c>
      <c r="D29" s="2">
        <v>413736.60206092882</v>
      </c>
      <c r="E29" s="2">
        <v>2270427.5823452082</v>
      </c>
      <c r="F29" s="2"/>
      <c r="G29" s="13">
        <f t="shared" si="21"/>
        <v>2684164.1844061371</v>
      </c>
      <c r="H29" s="243">
        <v>413736.60206092882</v>
      </c>
      <c r="I29" s="244">
        <v>2270427.5823452082</v>
      </c>
      <c r="J29" s="245">
        <v>0</v>
      </c>
      <c r="K29" s="246">
        <f t="shared" si="32"/>
        <v>2684164.1844061371</v>
      </c>
      <c r="L29" s="241">
        <f t="shared" si="0"/>
        <v>0.6399765465299786</v>
      </c>
      <c r="M29" s="242">
        <f t="shared" si="1"/>
        <v>6.2006631064995084</v>
      </c>
      <c r="N29" s="240"/>
      <c r="O29" s="240"/>
      <c r="P29" s="240">
        <f t="shared" si="2"/>
        <v>0</v>
      </c>
      <c r="Q29" s="242">
        <f t="shared" si="3"/>
        <v>2.1371705344441927</v>
      </c>
      <c r="R29" s="358"/>
      <c r="S29" s="1154">
        <v>30</v>
      </c>
      <c r="T29" s="1155"/>
      <c r="U29" s="1155"/>
      <c r="V29" s="1155"/>
      <c r="W29" s="1155"/>
      <c r="X29" s="1146">
        <v>2001016.411296092</v>
      </c>
      <c r="Y29" s="1119">
        <f t="shared" si="4"/>
        <v>2001016.411296092</v>
      </c>
      <c r="Z29" s="1146">
        <v>6470474.3511991426</v>
      </c>
      <c r="AA29" s="57">
        <v>3161.6383268100344</v>
      </c>
      <c r="AB29" s="29">
        <f t="shared" si="5"/>
        <v>1.2362005431671446</v>
      </c>
      <c r="AC29" s="57">
        <f t="shared" si="6"/>
        <v>2001016.411296092</v>
      </c>
      <c r="AD29" s="1">
        <f t="shared" si="7"/>
        <v>0.8885351647928722</v>
      </c>
      <c r="AE29" s="1">
        <f t="shared" si="8"/>
        <v>1.7545870920391713</v>
      </c>
      <c r="AU29" s="137">
        <v>34</v>
      </c>
      <c r="AV29" s="431">
        <v>7121248.959999999</v>
      </c>
      <c r="AW29" s="2">
        <v>1261174.9485377199</v>
      </c>
      <c r="AX29" s="431">
        <v>0</v>
      </c>
      <c r="AY29" s="431">
        <v>1267846.0535187074</v>
      </c>
      <c r="AZ29" s="57">
        <v>6945897.2418847354</v>
      </c>
      <c r="BA29" s="435">
        <v>8382423.9085377194</v>
      </c>
      <c r="BB29" s="2">
        <v>0</v>
      </c>
      <c r="BC29" s="1">
        <v>6945897.2418847354</v>
      </c>
      <c r="BD29" s="1">
        <f t="shared" si="9"/>
        <v>8.4980465118277657E-2</v>
      </c>
      <c r="BE29" s="1">
        <f t="shared" si="10"/>
        <v>0</v>
      </c>
      <c r="BF29" s="1">
        <f t="shared" si="11"/>
        <v>2.5432830968090681E-2</v>
      </c>
      <c r="BN29" s="137">
        <v>34</v>
      </c>
      <c r="BO29" s="1154">
        <v>3352877.6978417267</v>
      </c>
      <c r="BP29" s="1154">
        <v>4749106.8369982317</v>
      </c>
      <c r="BQ29" s="1808">
        <v>210021.4957563018</v>
      </c>
      <c r="BR29" s="1147">
        <v>1121279.8277802255</v>
      </c>
      <c r="BS29" s="57"/>
      <c r="BT29" s="470">
        <f t="shared" si="12"/>
        <v>8101984.534839958</v>
      </c>
      <c r="BU29" s="467">
        <f t="shared" si="13"/>
        <v>210021.4957563018</v>
      </c>
      <c r="BV29" s="470">
        <f t="shared" si="14"/>
        <v>1121279.8277802255</v>
      </c>
      <c r="BW29" s="1">
        <f t="shared" si="15"/>
        <v>7.8608179455000149E-2</v>
      </c>
      <c r="BX29" s="1">
        <f t="shared" si="16"/>
        <v>1.2281397655288023E-3</v>
      </c>
      <c r="BY29" s="1">
        <f t="shared" si="17"/>
        <v>3.432394414758096E-3</v>
      </c>
      <c r="CH29" s="1">
        <v>29</v>
      </c>
      <c r="CI29" s="1">
        <v>3525397.893959011</v>
      </c>
      <c r="CJ29" s="1">
        <v>768274.16505042079</v>
      </c>
      <c r="CK29" s="1">
        <v>18690148.457124524</v>
      </c>
      <c r="CL29" s="1">
        <f t="shared" si="18"/>
        <v>1.5207701022710848E-2</v>
      </c>
      <c r="CM29" s="1">
        <f t="shared" si="19"/>
        <v>1.8378931819668513E-3</v>
      </c>
      <c r="CN29" s="1">
        <f t="shared" si="20"/>
        <v>5.7291234945100668E-2</v>
      </c>
      <c r="CX29" s="1">
        <v>29</v>
      </c>
      <c r="CY29" s="2">
        <v>968742.09418381297</v>
      </c>
      <c r="CZ29" s="2">
        <f t="shared" si="23"/>
        <v>1590696.4850688092</v>
      </c>
      <c r="DA29" s="2">
        <v>2641811.4114447753</v>
      </c>
      <c r="DB29" s="2">
        <f t="shared" si="55"/>
        <v>6035353.2472163029</v>
      </c>
      <c r="DC29" s="2">
        <v>258317.81835856556</v>
      </c>
      <c r="DD29" s="2">
        <f t="shared" si="67"/>
        <v>788300.43707953172</v>
      </c>
      <c r="DE29" s="1">
        <f t="shared" si="22"/>
        <v>2.5199489797907248E-3</v>
      </c>
      <c r="DF29" s="1">
        <f t="shared" si="56"/>
        <v>2.7990374181021554E-2</v>
      </c>
      <c r="DG29" s="1">
        <f t="shared" si="68"/>
        <v>3.3762761092171342E-2</v>
      </c>
      <c r="DQ29" s="1809">
        <v>28</v>
      </c>
      <c r="DR29" s="1810">
        <v>2475663.8731511277</v>
      </c>
      <c r="DS29" s="947">
        <v>1927631.5944831418</v>
      </c>
      <c r="DT29" s="1">
        <v>167425.34786028106</v>
      </c>
      <c r="DU29" s="1">
        <v>759947.38520633732</v>
      </c>
      <c r="DV29" s="2">
        <f t="shared" si="61"/>
        <v>927372.73306661844</v>
      </c>
      <c r="DW29" s="2">
        <f t="shared" si="24"/>
        <v>1968589.1044215225</v>
      </c>
      <c r="DX29" s="2">
        <f t="shared" si="25"/>
        <v>6371884.5720557924</v>
      </c>
      <c r="DY29" s="1">
        <v>625790.3150055419</v>
      </c>
      <c r="DZ29" s="2">
        <f t="shared" si="26"/>
        <v>7111145.0917697093</v>
      </c>
      <c r="EA29" s="1">
        <f t="shared" si="33"/>
        <v>0.7040502951090688</v>
      </c>
      <c r="EB29" s="1">
        <f t="shared" si="34"/>
        <v>1.9046041746778299</v>
      </c>
      <c r="EC29" s="1">
        <f t="shared" si="35"/>
        <v>4.4701535578152898</v>
      </c>
      <c r="ED29" s="123"/>
      <c r="EE29" s="878"/>
      <c r="EF29" s="879"/>
      <c r="EG29" s="879"/>
      <c r="EH29" s="2"/>
      <c r="EM29" s="1809">
        <v>28</v>
      </c>
      <c r="EN29" s="833">
        <v>4533196.5019705147</v>
      </c>
      <c r="EO29" s="20">
        <v>1870763.4666419306</v>
      </c>
      <c r="EP29" s="2">
        <v>357315.55815997656</v>
      </c>
      <c r="EQ29" s="891">
        <v>3300151</v>
      </c>
      <c r="ER29" s="1">
        <f t="shared" si="27"/>
        <v>3657466.5581599767</v>
      </c>
      <c r="ES29" s="2">
        <f t="shared" si="28"/>
        <v>8734997.8941870946</v>
      </c>
      <c r="ET29" s="2">
        <f t="shared" si="29"/>
        <v>15138957.86279954</v>
      </c>
      <c r="EU29" s="114">
        <v>3142265.4765918679</v>
      </c>
      <c r="EV29">
        <v>298</v>
      </c>
      <c r="EW29" s="2">
        <f t="shared" si="30"/>
        <v>16846642.11684189</v>
      </c>
      <c r="EX29" s="2">
        <f t="shared" si="31"/>
        <v>19988907.593433756</v>
      </c>
      <c r="EY29" s="1">
        <f t="shared" si="36"/>
        <v>1.256523594538498</v>
      </c>
      <c r="EZ29" s="1">
        <f t="shared" si="37"/>
        <v>2.0664438181475577</v>
      </c>
      <c r="FA29" s="1">
        <f t="shared" si="38"/>
        <v>7.5352384833482162</v>
      </c>
      <c r="FL29" s="1809">
        <v>28</v>
      </c>
      <c r="FM29" s="2">
        <v>1518043.5968842527</v>
      </c>
      <c r="FN29" s="1">
        <v>16605</v>
      </c>
      <c r="FO29" s="2">
        <v>2314561.5080345967</v>
      </c>
      <c r="FP29" s="2">
        <v>1157592.0780984226</v>
      </c>
      <c r="FQ29" s="2">
        <f t="shared" si="41"/>
        <v>3472153.5861330191</v>
      </c>
      <c r="FR29" s="2">
        <f t="shared" si="42"/>
        <v>2656312.0768360384</v>
      </c>
      <c r="FT29" s="2">
        <v>3560295.5844922271</v>
      </c>
      <c r="FU29" s="2">
        <f t="shared" si="65"/>
        <v>11993161.43668353</v>
      </c>
      <c r="FV29" s="1">
        <f t="shared" si="39"/>
        <v>16184122.110403821</v>
      </c>
      <c r="FW29" s="1">
        <f t="shared" si="40"/>
        <v>20622612.764056068</v>
      </c>
      <c r="FY29" s="1">
        <f t="shared" si="43"/>
        <v>2.6038740940076708</v>
      </c>
      <c r="FZ29" s="1">
        <f t="shared" si="66"/>
        <v>12.960831453707048</v>
      </c>
      <c r="GL29" s="1809">
        <v>28</v>
      </c>
      <c r="GM29">
        <v>1704185.7525386382</v>
      </c>
      <c r="GN29">
        <v>9919626.0053522568</v>
      </c>
      <c r="GP29" s="1135">
        <v>1099355.1892645743</v>
      </c>
      <c r="GQ29" s="2">
        <f t="shared" si="57"/>
        <v>3725260.5833968045</v>
      </c>
      <c r="GR29" s="2">
        <f t="shared" si="58"/>
        <v>15349072.341287699</v>
      </c>
      <c r="GS29" s="1135">
        <v>323796.32518558769</v>
      </c>
      <c r="GW29" s="1">
        <f t="shared" si="44"/>
        <v>6.4624247082197215</v>
      </c>
      <c r="GX29" s="1">
        <f t="shared" si="45"/>
        <v>1.3707185235680692</v>
      </c>
      <c r="GY29" s="2">
        <f t="shared" si="70"/>
        <v>2.6993446925219313</v>
      </c>
      <c r="HI29" s="1809">
        <v>28</v>
      </c>
      <c r="HJ29" s="57">
        <v>469712.68808092782</v>
      </c>
      <c r="HK29" s="211">
        <v>217450.61626492228</v>
      </c>
      <c r="HL29" s="211">
        <v>39199.476377723229</v>
      </c>
      <c r="HM29" s="57">
        <v>2302628.5542764431</v>
      </c>
      <c r="HN29" s="2">
        <f t="shared" si="46"/>
        <v>8813555.3711951748</v>
      </c>
      <c r="HO29" s="2">
        <f t="shared" si="60"/>
        <v>9500718.6755410247</v>
      </c>
      <c r="HP29">
        <v>8</v>
      </c>
      <c r="HQ29" s="2">
        <f t="shared" si="62"/>
        <v>46414.900052550867</v>
      </c>
      <c r="HR29" s="2">
        <v>687586.34240660875</v>
      </c>
      <c r="HS29" s="2">
        <f t="shared" si="69"/>
        <v>6792838.2660549581</v>
      </c>
      <c r="HT29" s="2">
        <f t="shared" si="64"/>
        <v>6839253.1661075093</v>
      </c>
      <c r="HU29" s="1">
        <f t="shared" si="47"/>
        <v>0.1215386880437505</v>
      </c>
      <c r="HV29" s="1">
        <f t="shared" si="48"/>
        <v>1.5806200202072078</v>
      </c>
      <c r="HW29" s="1">
        <f t="shared" si="49"/>
        <v>6.0419003605176087</v>
      </c>
      <c r="HX29" s="2">
        <f t="shared" si="50"/>
        <v>16339971.841648534</v>
      </c>
      <c r="IF29" s="1809">
        <v>28</v>
      </c>
      <c r="IG29" s="211">
        <v>743262.64987262059</v>
      </c>
      <c r="IH29" s="57">
        <v>1565844.4607578763</v>
      </c>
      <c r="II29" s="211">
        <v>271937.72015947325</v>
      </c>
      <c r="IJ29" s="57">
        <v>756921.42083434225</v>
      </c>
      <c r="IK29" s="57">
        <f t="shared" si="51"/>
        <v>6531350.3956984458</v>
      </c>
      <c r="IL29" s="2">
        <f t="shared" si="52"/>
        <v>8840457.5063289423</v>
      </c>
      <c r="IM29" s="1">
        <v>20</v>
      </c>
      <c r="IN29" s="57">
        <f t="shared" si="53"/>
        <v>1933.0794705639432</v>
      </c>
      <c r="IR29" s="1">
        <f t="shared" si="54"/>
        <v>0.82646851737432492</v>
      </c>
      <c r="IS29" s="1">
        <f t="shared" si="63"/>
        <v>6.3914332387248276</v>
      </c>
    </row>
    <row r="30" spans="1:253" ht="15.6" thickTop="1" thickBot="1">
      <c r="A30" s="1119">
        <v>31</v>
      </c>
      <c r="B30" s="2">
        <v>0</v>
      </c>
      <c r="C30" s="2">
        <v>0</v>
      </c>
      <c r="D30" s="2">
        <v>191420.37371929619</v>
      </c>
      <c r="E30" s="2">
        <v>1694236.1735296038</v>
      </c>
      <c r="F30" s="2"/>
      <c r="G30" s="13">
        <f t="shared" si="21"/>
        <v>1885656.5472488999</v>
      </c>
      <c r="H30" s="243">
        <v>191420.37371929619</v>
      </c>
      <c r="I30" s="244">
        <v>1694236.1735296038</v>
      </c>
      <c r="J30" s="245">
        <v>0</v>
      </c>
      <c r="K30" s="246">
        <f t="shared" si="32"/>
        <v>1885656.5472488999</v>
      </c>
      <c r="L30" s="241">
        <f t="shared" si="0"/>
        <v>0.29609309183216148</v>
      </c>
      <c r="M30" s="242">
        <f t="shared" si="1"/>
        <v>4.6270525501855087</v>
      </c>
      <c r="N30" s="240"/>
      <c r="O30" s="240"/>
      <c r="P30" s="240">
        <f t="shared" si="2"/>
        <v>0</v>
      </c>
      <c r="Q30" s="242">
        <f t="shared" si="3"/>
        <v>1.5013871484742058</v>
      </c>
      <c r="R30" s="358"/>
      <c r="S30" s="1154">
        <v>31</v>
      </c>
      <c r="T30" s="1811"/>
      <c r="U30" s="1811"/>
      <c r="V30" s="1811"/>
      <c r="W30" s="1119"/>
      <c r="X30" s="1146">
        <v>1122535.6318833167</v>
      </c>
      <c r="Y30" s="1119">
        <f t="shared" si="4"/>
        <v>1122535.6318833167</v>
      </c>
      <c r="Z30" s="1146">
        <v>7505188.7927766824</v>
      </c>
      <c r="AA30" s="57">
        <v>2231.1000708840502</v>
      </c>
      <c r="AB30" s="29">
        <f t="shared" si="5"/>
        <v>0.87236009764276745</v>
      </c>
      <c r="AC30" s="57">
        <f t="shared" si="6"/>
        <v>1122535.6318833167</v>
      </c>
      <c r="AD30" s="1">
        <f t="shared" si="7"/>
        <v>0.49845287476441691</v>
      </c>
      <c r="AE30" s="1">
        <f t="shared" si="8"/>
        <v>2.0351687781101488</v>
      </c>
      <c r="AU30" s="137">
        <v>35</v>
      </c>
      <c r="AV30" s="431">
        <v>3560624.4799999995</v>
      </c>
      <c r="AW30" s="2">
        <v>2500835.2011421015</v>
      </c>
      <c r="AX30" s="431">
        <v>0</v>
      </c>
      <c r="AY30" s="431">
        <v>1519213.4485807377</v>
      </c>
      <c r="AZ30" s="57">
        <v>8323014.038687814</v>
      </c>
      <c r="BA30" s="435">
        <v>6061459.6811421011</v>
      </c>
      <c r="BB30" s="2">
        <v>0</v>
      </c>
      <c r="BC30" s="1">
        <v>8323014.038687814</v>
      </c>
      <c r="BD30" s="1">
        <f t="shared" si="9"/>
        <v>6.1450681642871104E-2</v>
      </c>
      <c r="BE30" s="1">
        <f t="shared" si="10"/>
        <v>0</v>
      </c>
      <c r="BF30" s="1">
        <f t="shared" si="11"/>
        <v>3.0475229019304519E-2</v>
      </c>
      <c r="BN30" s="137">
        <v>35</v>
      </c>
      <c r="BO30" s="1154">
        <v>10058633.093525181</v>
      </c>
      <c r="BP30" s="1154">
        <v>5517656.6127167195</v>
      </c>
      <c r="BQ30" s="1808">
        <v>167471.76410001965</v>
      </c>
      <c r="BR30" s="1147">
        <v>459376.40835717891</v>
      </c>
      <c r="BS30" s="57"/>
      <c r="BT30" s="470">
        <f t="shared" si="12"/>
        <v>15576289.7062419</v>
      </c>
      <c r="BU30" s="467">
        <f t="shared" si="13"/>
        <v>167471.76410001965</v>
      </c>
      <c r="BV30" s="470">
        <f t="shared" si="14"/>
        <v>459376.40835717891</v>
      </c>
      <c r="BW30" s="1">
        <f t="shared" si="15"/>
        <v>0.15112640257533169</v>
      </c>
      <c r="BX30" s="1">
        <f t="shared" si="16"/>
        <v>9.793222943862475E-4</v>
      </c>
      <c r="BY30" s="1">
        <f t="shared" si="17"/>
        <v>1.4062154506411628E-3</v>
      </c>
      <c r="CH30" s="1">
        <v>30</v>
      </c>
      <c r="CI30" s="1">
        <v>6541387.8436690187</v>
      </c>
      <c r="CJ30" s="1">
        <v>359756.22778414312</v>
      </c>
      <c r="CK30" s="1">
        <v>17063573.337919146</v>
      </c>
      <c r="CL30" s="1">
        <f t="shared" si="18"/>
        <v>2.8217941234542038E-2</v>
      </c>
      <c r="CM30" s="1">
        <f t="shared" si="19"/>
        <v>8.6062183045188944E-4</v>
      </c>
      <c r="CN30" s="1">
        <f t="shared" si="20"/>
        <v>5.2305266132491916E-2</v>
      </c>
      <c r="CX30" s="1">
        <v>30</v>
      </c>
      <c r="CY30" s="2">
        <v>484659.71084447845</v>
      </c>
      <c r="CZ30" s="2">
        <f t="shared" si="23"/>
        <v>795822.23496163555</v>
      </c>
      <c r="DA30" s="2">
        <v>1631737.6943779294</v>
      </c>
      <c r="DB30" s="2">
        <f t="shared" si="55"/>
        <v>3727788.1947611333</v>
      </c>
      <c r="DC30" s="2">
        <v>87301.492143400159</v>
      </c>
      <c r="DD30" s="2">
        <f t="shared" si="67"/>
        <v>266415.24325205595</v>
      </c>
      <c r="DE30" s="1">
        <f t="shared" si="22"/>
        <v>1.2607253790465241E-3</v>
      </c>
      <c r="DF30" s="1">
        <f t="shared" si="56"/>
        <v>1.7288496988487775E-2</v>
      </c>
      <c r="DG30" s="1">
        <f t="shared" si="68"/>
        <v>1.1410515313876936E-2</v>
      </c>
      <c r="DQ30" s="1809">
        <v>29</v>
      </c>
      <c r="DR30" s="1810">
        <v>1856747.9048633459</v>
      </c>
      <c r="DS30" s="947">
        <v>1225012.6439002687</v>
      </c>
      <c r="DT30" s="833"/>
      <c r="DU30" s="1">
        <v>429171.15173751599</v>
      </c>
      <c r="DV30" s="2">
        <f t="shared" si="61"/>
        <v>429171.15173751599</v>
      </c>
      <c r="DW30" s="2">
        <f t="shared" si="24"/>
        <v>911027.05861184595</v>
      </c>
      <c r="DX30" s="2">
        <f t="shared" si="25"/>
        <v>3992787.6073754607</v>
      </c>
      <c r="DY30" s="1">
        <v>252506.58370355307</v>
      </c>
      <c r="DZ30" s="2">
        <f t="shared" si="26"/>
        <v>2869349.2217551451</v>
      </c>
      <c r="EA30" s="1">
        <f t="shared" si="33"/>
        <v>0.44742497265489151</v>
      </c>
      <c r="EB30" s="1">
        <f t="shared" si="34"/>
        <v>1.0756023155848198</v>
      </c>
      <c r="EC30" s="1">
        <f t="shared" si="35"/>
        <v>1.8037083292096425</v>
      </c>
      <c r="ED30" s="123"/>
      <c r="EE30" s="878"/>
      <c r="EF30" s="879"/>
      <c r="EG30" s="879"/>
      <c r="EH30" s="2"/>
      <c r="EM30" s="1809">
        <v>29</v>
      </c>
      <c r="EN30" s="833">
        <v>2433467.5757104293</v>
      </c>
      <c r="EO30" s="20">
        <v>656518.66026798985</v>
      </c>
      <c r="EP30" s="2">
        <v>87654.117034722047</v>
      </c>
      <c r="EQ30" s="891">
        <v>2099661</v>
      </c>
      <c r="ER30" s="1">
        <f t="shared" si="27"/>
        <v>2187315.1170347221</v>
      </c>
      <c r="ES30" s="2">
        <f t="shared" si="28"/>
        <v>5223887.2556729456</v>
      </c>
      <c r="ET30" s="2">
        <f t="shared" si="29"/>
        <v>8313873.4916513646</v>
      </c>
      <c r="EU30" s="114">
        <v>2409827.4260619758</v>
      </c>
      <c r="EV30">
        <v>197</v>
      </c>
      <c r="EW30" s="2">
        <f t="shared" si="30"/>
        <v>11136874.151066618</v>
      </c>
      <c r="EX30" s="2">
        <f t="shared" si="31"/>
        <v>13546701.577128593</v>
      </c>
      <c r="EY30" s="1">
        <f t="shared" si="36"/>
        <v>0.44095964112572</v>
      </c>
      <c r="EZ30" s="1">
        <f t="shared" si="37"/>
        <v>1.235818217353992</v>
      </c>
      <c r="FA30" s="1">
        <f t="shared" si="38"/>
        <v>5.1067136395160126</v>
      </c>
      <c r="FL30" s="1809">
        <v>29</v>
      </c>
      <c r="FM30" s="2">
        <v>1210548.8752771644</v>
      </c>
      <c r="FN30" s="1">
        <v>14732</v>
      </c>
      <c r="FO30" s="2">
        <v>1157280.7540172983</v>
      </c>
      <c r="FP30" s="2">
        <v>661696.77310016821</v>
      </c>
      <c r="FQ30" s="2">
        <f t="shared" si="41"/>
        <v>1818977.5271174666</v>
      </c>
      <c r="FR30" s="2">
        <f t="shared" si="42"/>
        <v>1391577.8357479526</v>
      </c>
      <c r="FT30" s="2">
        <v>2969385.6199650601</v>
      </c>
      <c r="FU30" s="2">
        <f t="shared" si="65"/>
        <v>10002630.473471388</v>
      </c>
      <c r="FV30" s="1">
        <f t="shared" si="39"/>
        <v>12619489.184496505</v>
      </c>
      <c r="FW30" s="1">
        <f t="shared" si="40"/>
        <v>16080380.323179083</v>
      </c>
      <c r="FY30" s="1">
        <f t="shared" si="43"/>
        <v>1.4884129894827305</v>
      </c>
      <c r="FZ30" s="1">
        <f t="shared" si="66"/>
        <v>10.809694203218081</v>
      </c>
      <c r="GL30" s="1809">
        <v>29</v>
      </c>
      <c r="GM30">
        <v>1796490.7559039122</v>
      </c>
      <c r="GN30">
        <v>12352357.34598784</v>
      </c>
      <c r="GP30" s="1135">
        <v>721083.08515112498</v>
      </c>
      <c r="GQ30" s="2">
        <f t="shared" si="57"/>
        <v>2443452.6899942369</v>
      </c>
      <c r="GR30" s="2">
        <f t="shared" si="58"/>
        <v>16592300.791885989</v>
      </c>
      <c r="GS30" s="1135">
        <v>265262.18905209698</v>
      </c>
      <c r="GW30" s="1">
        <f t="shared" si="44"/>
        <v>8.0472972745545039</v>
      </c>
      <c r="GX30" s="1">
        <f t="shared" si="45"/>
        <v>0.89907424961486804</v>
      </c>
      <c r="GY30" s="2">
        <f t="shared" si="70"/>
        <v>2.2113718607958992</v>
      </c>
      <c r="HI30" s="1809">
        <v>29</v>
      </c>
      <c r="HJ30" s="57">
        <v>900446.0532642433</v>
      </c>
      <c r="HK30" s="211">
        <v>464680.42752922367</v>
      </c>
      <c r="HL30" s="211">
        <v>195997.38188861613</v>
      </c>
      <c r="HM30" s="57">
        <v>2331479.9572780794</v>
      </c>
      <c r="HN30" s="2">
        <f t="shared" si="46"/>
        <v>8923987.1807110142</v>
      </c>
      <c r="HO30" s="2">
        <f t="shared" si="60"/>
        <v>10289113.661504481</v>
      </c>
      <c r="HP30">
        <v>2</v>
      </c>
      <c r="HQ30" s="2">
        <f t="shared" si="62"/>
        <v>11603.725013137717</v>
      </c>
      <c r="HR30" s="2">
        <v>658086.77459748345</v>
      </c>
      <c r="HS30" s="2">
        <f t="shared" si="69"/>
        <v>6501404.6224713139</v>
      </c>
      <c r="HT30" s="2">
        <f t="shared" si="64"/>
        <v>6513008.3474844517</v>
      </c>
      <c r="HU30" s="1">
        <f t="shared" si="47"/>
        <v>0.25972172666875709</v>
      </c>
      <c r="HV30" s="1">
        <f t="shared" si="48"/>
        <v>1.711784086969121</v>
      </c>
      <c r="HW30" s="1">
        <f t="shared" si="49"/>
        <v>5.7536907213389048</v>
      </c>
      <c r="HX30" s="2">
        <f t="shared" si="50"/>
        <v>16802122.008988932</v>
      </c>
      <c r="IF30" s="1809">
        <v>29</v>
      </c>
      <c r="IG30" s="211">
        <v>986683.25325739197</v>
      </c>
      <c r="IH30" s="57">
        <v>782922.23037893802</v>
      </c>
      <c r="II30" s="211">
        <v>271937.72015947325</v>
      </c>
      <c r="IJ30" s="57">
        <v>440611.51458380627</v>
      </c>
      <c r="IK30" s="57">
        <f t="shared" si="51"/>
        <v>3801964.2606416065</v>
      </c>
      <c r="IL30" s="2">
        <f t="shared" si="52"/>
        <v>5571569.7442779364</v>
      </c>
      <c r="IM30" s="1">
        <v>8</v>
      </c>
      <c r="IN30" s="57">
        <f t="shared" si="53"/>
        <v>773.23178822557725</v>
      </c>
      <c r="IR30" s="1">
        <f t="shared" si="54"/>
        <v>0.4132342586871624</v>
      </c>
      <c r="IS30" s="1">
        <f t="shared" si="63"/>
        <v>3.7205170869277868</v>
      </c>
    </row>
    <row r="31" spans="1:253" ht="15.6" thickTop="1" thickBot="1">
      <c r="A31" s="1119">
        <v>32</v>
      </c>
      <c r="B31" s="2">
        <v>0</v>
      </c>
      <c r="C31" s="2">
        <v>0</v>
      </c>
      <c r="D31" s="2">
        <v>83872.087694995163</v>
      </c>
      <c r="E31" s="2">
        <v>1591466.252520175</v>
      </c>
      <c r="F31" s="2"/>
      <c r="G31" s="13">
        <f t="shared" si="21"/>
        <v>1675338.3402151701</v>
      </c>
      <c r="H31" s="243">
        <v>83872.087694995163</v>
      </c>
      <c r="I31" s="244">
        <v>1591466.252520175</v>
      </c>
      <c r="J31" s="245">
        <v>0</v>
      </c>
      <c r="K31" s="246">
        <f t="shared" si="32"/>
        <v>1675338.3402151701</v>
      </c>
      <c r="L31" s="241">
        <f t="shared" si="0"/>
        <v>0.12973512318206237</v>
      </c>
      <c r="M31" s="242">
        <f t="shared" si="1"/>
        <v>4.346382220677441</v>
      </c>
      <c r="N31" s="240"/>
      <c r="O31" s="240"/>
      <c r="P31" s="240">
        <f t="shared" si="2"/>
        <v>0</v>
      </c>
      <c r="Q31" s="242">
        <f t="shared" si="3"/>
        <v>1.3339287353335549</v>
      </c>
      <c r="R31" s="358"/>
      <c r="S31" s="1154">
        <v>32</v>
      </c>
      <c r="T31" s="1811"/>
      <c r="U31" s="1811"/>
      <c r="V31" s="1811"/>
      <c r="W31" s="1119"/>
      <c r="X31" s="1146">
        <v>601592.31031428813</v>
      </c>
      <c r="Y31" s="1119">
        <f t="shared" si="4"/>
        <v>601592.31031428813</v>
      </c>
      <c r="Z31" s="1146">
        <v>8217842.3359785341</v>
      </c>
      <c r="AA31" s="57">
        <v>2048.375696973188</v>
      </c>
      <c r="AB31" s="29">
        <f t="shared" si="5"/>
        <v>0.80091486990655392</v>
      </c>
      <c r="AC31" s="57">
        <f t="shared" si="6"/>
        <v>601592.31031428813</v>
      </c>
      <c r="AD31" s="1">
        <f t="shared" si="7"/>
        <v>0.26713220319717562</v>
      </c>
      <c r="AE31" s="1">
        <f t="shared" si="8"/>
        <v>2.2284177796715592</v>
      </c>
      <c r="AU31" s="137">
        <v>36</v>
      </c>
      <c r="AV31" s="431"/>
      <c r="AW31" s="2">
        <v>2495584.675083884</v>
      </c>
      <c r="AX31" s="431">
        <v>0</v>
      </c>
      <c r="AY31" s="431">
        <v>1548932.2466138259</v>
      </c>
      <c r="AZ31" s="57">
        <v>8485828.5355403777</v>
      </c>
      <c r="BA31" s="435">
        <v>2495584.675083884</v>
      </c>
      <c r="BB31" s="2">
        <v>0</v>
      </c>
      <c r="BC31" s="1">
        <v>8485828.5355403777</v>
      </c>
      <c r="BD31" s="1">
        <f t="shared" si="9"/>
        <v>2.5300074148560937E-2</v>
      </c>
      <c r="BE31" s="1">
        <f t="shared" si="10"/>
        <v>0</v>
      </c>
      <c r="BF31" s="1">
        <f t="shared" si="11"/>
        <v>3.1071384337099342E-2</v>
      </c>
      <c r="BN31" s="137">
        <v>36</v>
      </c>
      <c r="BO31" s="1154">
        <v>0</v>
      </c>
      <c r="BP31" s="1154">
        <v>3964579.7512352522</v>
      </c>
      <c r="BQ31" s="1808">
        <v>101242.36351333496</v>
      </c>
      <c r="BR31" s="1147"/>
      <c r="BS31" s="57"/>
      <c r="BT31" s="470">
        <f t="shared" si="12"/>
        <v>3964579.7512352522</v>
      </c>
      <c r="BU31" s="467">
        <f t="shared" si="13"/>
        <v>101242.36351333496</v>
      </c>
      <c r="BV31" s="470">
        <f t="shared" si="14"/>
        <v>0</v>
      </c>
      <c r="BW31" s="1">
        <f t="shared" si="15"/>
        <v>3.8465686426407963E-2</v>
      </c>
      <c r="BX31" s="1">
        <f t="shared" si="16"/>
        <v>5.9203355418021826E-4</v>
      </c>
      <c r="BY31" s="1">
        <f t="shared" si="17"/>
        <v>0</v>
      </c>
      <c r="CH31" s="1">
        <v>31</v>
      </c>
      <c r="CI31" s="1">
        <v>8749539.8639769461</v>
      </c>
      <c r="CJ31" s="1">
        <v>335437.33425335644</v>
      </c>
      <c r="CK31" s="1">
        <v>17687524.667487357</v>
      </c>
      <c r="CL31" s="1">
        <f t="shared" si="18"/>
        <v>3.7743366944667095E-2</v>
      </c>
      <c r="CM31" s="1">
        <f t="shared" si="19"/>
        <v>8.0244529576355031E-4</v>
      </c>
      <c r="CN31" s="1">
        <f t="shared" si="20"/>
        <v>5.4217874922015678E-2</v>
      </c>
      <c r="CX31" s="1">
        <v>31</v>
      </c>
      <c r="CY31" s="2">
        <v>575500.94995205826</v>
      </c>
      <c r="CZ31" s="2">
        <f t="shared" si="23"/>
        <v>944985.60941938288</v>
      </c>
      <c r="DA31" s="2">
        <v>998189.01914345415</v>
      </c>
      <c r="DB31" s="2">
        <f t="shared" si="55"/>
        <v>2280413.8523757895</v>
      </c>
      <c r="DC31" s="2">
        <v>35057.759953009154</v>
      </c>
      <c r="DD31" s="2">
        <f t="shared" si="67"/>
        <v>106984.67364580093</v>
      </c>
      <c r="DE31" s="1">
        <f t="shared" si="22"/>
        <v>1.4970269594015487E-3</v>
      </c>
      <c r="DF31" s="1">
        <f t="shared" si="56"/>
        <v>1.0575957098289724E-2</v>
      </c>
      <c r="DG31" s="1">
        <f t="shared" si="68"/>
        <v>4.5821336725488477E-3</v>
      </c>
      <c r="DQ31" s="1809">
        <v>30</v>
      </c>
      <c r="DR31" s="1810">
        <v>1856747.9048633459</v>
      </c>
      <c r="DS31" s="947">
        <v>1279563.7050665682</v>
      </c>
      <c r="DT31" s="833"/>
      <c r="DU31" s="1">
        <v>436925.2897650915</v>
      </c>
      <c r="DV31" s="2">
        <f t="shared" si="61"/>
        <v>436925.2897650915</v>
      </c>
      <c r="DW31" s="2">
        <f t="shared" si="24"/>
        <v>927487.22731314984</v>
      </c>
      <c r="DX31" s="2">
        <f t="shared" si="25"/>
        <v>4063798.8372430638</v>
      </c>
      <c r="DY31" s="1">
        <v>223692.2694461912</v>
      </c>
      <c r="DZ31" s="2">
        <f t="shared" si="26"/>
        <v>2541918.8277546656</v>
      </c>
      <c r="EA31" s="1">
        <f t="shared" si="33"/>
        <v>0.46734926255684456</v>
      </c>
      <c r="EB31" s="1">
        <f t="shared" si="34"/>
        <v>1.0950359815804445</v>
      </c>
      <c r="EC31" s="1">
        <f t="shared" si="35"/>
        <v>1.5978815429762805</v>
      </c>
      <c r="ED31" s="123"/>
      <c r="EE31" s="878"/>
      <c r="EF31" s="879"/>
      <c r="EG31" s="879"/>
      <c r="EH31" s="2"/>
      <c r="EM31" s="1809">
        <v>30</v>
      </c>
      <c r="EN31" s="833">
        <v>1476309.2656104411</v>
      </c>
      <c r="EO31" s="20">
        <v>868403.92899330379</v>
      </c>
      <c r="EP31" s="2">
        <v>0</v>
      </c>
      <c r="EQ31" s="891">
        <v>930400</v>
      </c>
      <c r="ER31" s="1">
        <f t="shared" si="27"/>
        <v>930400</v>
      </c>
      <c r="ES31" s="2">
        <f t="shared" si="28"/>
        <v>2222041.3806983051</v>
      </c>
      <c r="ET31" s="2">
        <f t="shared" si="29"/>
        <v>4566754.5753020495</v>
      </c>
      <c r="EU31" s="114">
        <v>1784208.6288132186</v>
      </c>
      <c r="EV31">
        <v>114</v>
      </c>
      <c r="EW31" s="2">
        <f t="shared" si="30"/>
        <v>6444688.5950334743</v>
      </c>
      <c r="EX31" s="2">
        <f t="shared" si="31"/>
        <v>8228897.2238466926</v>
      </c>
      <c r="EY31" s="1">
        <f t="shared" si="36"/>
        <v>0.58327524875643388</v>
      </c>
      <c r="EZ31" s="1">
        <f t="shared" si="37"/>
        <v>0.52566969453624546</v>
      </c>
      <c r="FA31" s="1">
        <f t="shared" si="38"/>
        <v>3.1020556149359435</v>
      </c>
      <c r="FL31" s="1809">
        <v>30</v>
      </c>
      <c r="FM31" s="2">
        <v>584379.87925112224</v>
      </c>
      <c r="FN31" s="1">
        <v>6554</v>
      </c>
      <c r="FP31" s="2">
        <v>319213.87379710848</v>
      </c>
      <c r="FQ31" s="2">
        <f t="shared" si="41"/>
        <v>319213.87379710848</v>
      </c>
      <c r="FR31" s="2">
        <f t="shared" si="42"/>
        <v>244209.14773105597</v>
      </c>
      <c r="FT31" s="2">
        <v>2490679.121835202</v>
      </c>
      <c r="FU31" s="2">
        <f t="shared" si="65"/>
        <v>8390066.522919612</v>
      </c>
      <c r="FV31" s="1">
        <f t="shared" si="39"/>
        <v>9225209.5499017909</v>
      </c>
      <c r="FW31" s="1">
        <f t="shared" si="40"/>
        <v>11755220.512862876</v>
      </c>
      <c r="FY31" s="1">
        <f t="shared" si="43"/>
        <v>0.71803595770413853</v>
      </c>
      <c r="FZ31" s="1">
        <f t="shared" si="66"/>
        <v>9.0670202901080543</v>
      </c>
      <c r="GL31" s="1809">
        <v>30</v>
      </c>
      <c r="GM31">
        <v>2120971.2033870085</v>
      </c>
      <c r="GN31">
        <v>13990354.781288045</v>
      </c>
      <c r="GP31" s="1135">
        <v>551923.8800880058</v>
      </c>
      <c r="GQ31" s="2">
        <f t="shared" si="57"/>
        <v>1870242.0251481202</v>
      </c>
      <c r="GR31" s="2">
        <f t="shared" si="58"/>
        <v>17981568.009823173</v>
      </c>
      <c r="GS31" s="1135">
        <v>271751.15145661234</v>
      </c>
      <c r="GW31" s="1">
        <f t="shared" si="44"/>
        <v>9.1144176571347622</v>
      </c>
      <c r="GX31" s="1">
        <f t="shared" si="45"/>
        <v>0.68816001727547393</v>
      </c>
      <c r="GY31" s="2">
        <f t="shared" si="70"/>
        <v>2.2654674291028081</v>
      </c>
      <c r="HI31" s="1809">
        <v>30</v>
      </c>
      <c r="HJ31" s="57">
        <v>0</v>
      </c>
      <c r="HK31" s="211">
        <v>506242.81140616781</v>
      </c>
      <c r="HL31" s="211">
        <v>39199.476377723229</v>
      </c>
      <c r="HM31" s="57">
        <v>2583281.9628274441</v>
      </c>
      <c r="HN31" s="2">
        <f t="shared" si="46"/>
        <v>9887786.1027584672</v>
      </c>
      <c r="HO31" s="2">
        <f t="shared" si="60"/>
        <v>10394028.914164634</v>
      </c>
      <c r="HP31">
        <v>3</v>
      </c>
      <c r="HQ31" s="2">
        <f t="shared" si="62"/>
        <v>17405.587519706576</v>
      </c>
      <c r="HR31" s="2">
        <v>692409.99436473311</v>
      </c>
      <c r="HS31" s="2">
        <f t="shared" si="69"/>
        <v>6840492.3359257951</v>
      </c>
      <c r="HT31" s="2">
        <f>HQ31+HS31</f>
        <v>6857897.9234455014</v>
      </c>
      <c r="HU31" s="1">
        <f t="shared" si="47"/>
        <v>0.28295200163942125</v>
      </c>
      <c r="HV31" s="1">
        <f t="shared" si="48"/>
        <v>1.7292386769262635</v>
      </c>
      <c r="HW31" s="1">
        <f t="shared" si="49"/>
        <v>6.0583714229781167</v>
      </c>
      <c r="HX31" s="2">
        <f>HO31+HT31</f>
        <v>17251926.837610137</v>
      </c>
      <c r="IF31" s="1809">
        <v>30</v>
      </c>
      <c r="IG31" s="211">
        <v>528076.39094947663</v>
      </c>
      <c r="IH31" s="57">
        <v>500554.34366600151</v>
      </c>
      <c r="II31" s="57" t="s">
        <v>18</v>
      </c>
      <c r="IJ31" s="57">
        <v>808148.75504875113</v>
      </c>
      <c r="IK31" s="57">
        <f t="shared" si="51"/>
        <v>6973382.6336328005</v>
      </c>
      <c r="IL31" s="2">
        <f t="shared" si="52"/>
        <v>8002013.3682482783</v>
      </c>
      <c r="IM31" s="1">
        <v>8</v>
      </c>
      <c r="IN31" s="57">
        <f t="shared" si="53"/>
        <v>773.23178822557725</v>
      </c>
      <c r="IR31" s="1">
        <f t="shared" si="54"/>
        <v>0.26419763689344306</v>
      </c>
      <c r="IS31" s="1">
        <f t="shared" si="63"/>
        <v>6.8239960882057336</v>
      </c>
    </row>
    <row r="32" spans="1:253" ht="15.6" thickTop="1" thickBot="1">
      <c r="A32" s="1119">
        <v>33</v>
      </c>
      <c r="B32" s="2">
        <v>0</v>
      </c>
      <c r="C32" s="2">
        <v>0</v>
      </c>
      <c r="D32" s="2">
        <v>71961.157004269073</v>
      </c>
      <c r="E32" s="2">
        <v>1110522.2623337519</v>
      </c>
      <c r="F32" s="2"/>
      <c r="G32" s="13">
        <f t="shared" si="21"/>
        <v>1182483.419338021</v>
      </c>
      <c r="H32" s="243">
        <v>71961.157004269073</v>
      </c>
      <c r="I32" s="244">
        <v>1110522.2623337519</v>
      </c>
      <c r="J32" s="245">
        <v>0</v>
      </c>
      <c r="K32" s="246">
        <f t="shared" si="32"/>
        <v>1182483.419338021</v>
      </c>
      <c r="L32" s="241">
        <f t="shared" si="0"/>
        <v>0.11131104309961837</v>
      </c>
      <c r="M32" s="242">
        <f t="shared" si="1"/>
        <v>3.0328976244582475</v>
      </c>
      <c r="N32" s="240"/>
      <c r="O32" s="240"/>
      <c r="P32" s="240">
        <f t="shared" si="2"/>
        <v>0</v>
      </c>
      <c r="Q32" s="242">
        <f t="shared" si="3"/>
        <v>0.9415104843287232</v>
      </c>
      <c r="R32" s="358"/>
      <c r="S32" s="1154">
        <v>33</v>
      </c>
      <c r="T32" s="1811"/>
      <c r="U32" s="1811"/>
      <c r="V32" s="1811"/>
      <c r="W32" s="1119"/>
      <c r="X32" s="1146">
        <v>449000.59570913768</v>
      </c>
      <c r="Y32" s="1119">
        <f t="shared" si="4"/>
        <v>449000.59570913768</v>
      </c>
      <c r="Z32" s="1146">
        <v>9431002.2341678701</v>
      </c>
      <c r="AA32" s="57">
        <v>2246.0201850659732</v>
      </c>
      <c r="AB32" s="29">
        <f t="shared" si="5"/>
        <v>0.87819386208679173</v>
      </c>
      <c r="AC32" s="57">
        <f t="shared" si="6"/>
        <v>449000.59570913768</v>
      </c>
      <c r="AD32" s="1">
        <f t="shared" si="7"/>
        <v>0.1993750856056738</v>
      </c>
      <c r="AE32" s="1">
        <f t="shared" si="8"/>
        <v>2.5573882047761858</v>
      </c>
      <c r="AU32" s="137">
        <v>37</v>
      </c>
      <c r="AV32" s="431"/>
      <c r="AW32" s="2">
        <v>2391879.2576229447</v>
      </c>
      <c r="AX32" s="431">
        <v>0</v>
      </c>
      <c r="AY32" s="431">
        <v>1662915.9939838536</v>
      </c>
      <c r="AZ32" s="57">
        <v>9110288.7326438595</v>
      </c>
      <c r="BA32" s="435">
        <v>2391879.2576229447</v>
      </c>
      <c r="BB32" s="2">
        <v>0</v>
      </c>
      <c r="BC32" s="1">
        <v>9110288.7326438595</v>
      </c>
      <c r="BD32" s="1">
        <f t="shared" si="9"/>
        <v>2.4248715411842838E-2</v>
      </c>
      <c r="BE32" s="1">
        <f t="shared" si="10"/>
        <v>0</v>
      </c>
      <c r="BF32" s="1">
        <f t="shared" si="11"/>
        <v>3.3357883846977493E-2</v>
      </c>
      <c r="BN32" s="137">
        <v>37</v>
      </c>
      <c r="BO32" s="1154">
        <v>0</v>
      </c>
      <c r="BP32" s="1154">
        <v>3484374.8542528958</v>
      </c>
      <c r="BQ32" s="1808">
        <v>50185.390007557427</v>
      </c>
      <c r="BR32" s="1147"/>
      <c r="BS32" s="57"/>
      <c r="BT32" s="470">
        <f t="shared" si="12"/>
        <v>3484374.8542528958</v>
      </c>
      <c r="BU32" s="467">
        <f t="shared" si="13"/>
        <v>50185.390007557427</v>
      </c>
      <c r="BV32" s="470">
        <f t="shared" si="14"/>
        <v>0</v>
      </c>
      <c r="BW32" s="1">
        <f t="shared" si="15"/>
        <v>3.380657697552765E-2</v>
      </c>
      <c r="BX32" s="1">
        <f t="shared" si="16"/>
        <v>2.9346840376934941E-4</v>
      </c>
      <c r="BY32" s="1">
        <f t="shared" si="17"/>
        <v>0</v>
      </c>
      <c r="CH32" s="1">
        <v>32</v>
      </c>
      <c r="CI32" s="1">
        <v>2848902.0175231732</v>
      </c>
      <c r="CJ32" s="1">
        <v>392499.31157656288</v>
      </c>
      <c r="CK32" s="1">
        <v>16977313.853868667</v>
      </c>
      <c r="CL32" s="1">
        <f t="shared" si="18"/>
        <v>1.22894638927795E-2</v>
      </c>
      <c r="CM32" s="1">
        <f t="shared" si="19"/>
        <v>9.3895101708373215E-4</v>
      </c>
      <c r="CN32" s="1">
        <f t="shared" si="20"/>
        <v>5.2040853445866342E-2</v>
      </c>
      <c r="CX32" s="1">
        <v>32</v>
      </c>
      <c r="CY32" s="2">
        <v>90760.600231336357</v>
      </c>
      <c r="CZ32" s="2">
        <f t="shared" si="23"/>
        <v>149030.96359445309</v>
      </c>
      <c r="DA32" s="2">
        <v>849764.3788545701</v>
      </c>
      <c r="DB32" s="2">
        <f t="shared" si="55"/>
        <v>1941330.172574237</v>
      </c>
      <c r="DC32" s="2">
        <v>29063.462421099422</v>
      </c>
      <c r="DD32" s="2">
        <f t="shared" si="67"/>
        <v>88692.062650495529</v>
      </c>
      <c r="DE32" s="1">
        <f t="shared" si="22"/>
        <v>2.3609181776171806E-4</v>
      </c>
      <c r="DF32" s="1">
        <f t="shared" si="56"/>
        <v>9.0033765570097669E-3</v>
      </c>
      <c r="DG32" s="1">
        <f t="shared" si="68"/>
        <v>3.798664546139861E-3</v>
      </c>
      <c r="DQ32" s="1809">
        <v>31</v>
      </c>
      <c r="DR32" s="1810">
        <v>618915.96828778193</v>
      </c>
      <c r="DS32" s="947">
        <v>1828909.2480293699</v>
      </c>
      <c r="DT32" s="833"/>
      <c r="DU32" s="1">
        <v>478058.23846217402</v>
      </c>
      <c r="DV32" s="2">
        <f t="shared" si="61"/>
        <v>478058.23846217402</v>
      </c>
      <c r="DW32" s="2">
        <f t="shared" si="24"/>
        <v>1014802.5771725782</v>
      </c>
      <c r="DX32" s="2">
        <f t="shared" si="25"/>
        <v>3462627.79348973</v>
      </c>
      <c r="DY32" s="1">
        <v>204215.0798201047</v>
      </c>
      <c r="DZ32" s="2">
        <f t="shared" si="26"/>
        <v>2320590.5040496457</v>
      </c>
      <c r="EA32" s="1">
        <f t="shared" si="33"/>
        <v>0.66799283612491334</v>
      </c>
      <c r="EB32" s="1">
        <f t="shared" si="34"/>
        <v>1.1981246786801802</v>
      </c>
      <c r="EC32" s="1">
        <f t="shared" si="35"/>
        <v>1.4587518274540412</v>
      </c>
      <c r="ED32" s="123"/>
      <c r="EE32" s="878"/>
      <c r="EF32" s="879"/>
      <c r="EG32" s="879"/>
      <c r="EH32" s="2"/>
      <c r="EM32" s="1809">
        <v>31</v>
      </c>
      <c r="EN32" s="833">
        <v>524852.40843300498</v>
      </c>
      <c r="EO32" s="20">
        <v>400893.34322529461</v>
      </c>
      <c r="EP32" s="2">
        <v>564128.42982740467</v>
      </c>
      <c r="EQ32" s="891">
        <v>559664</v>
      </c>
      <c r="ER32" s="1">
        <f t="shared" si="27"/>
        <v>1123792.4298274047</v>
      </c>
      <c r="ES32" s="2">
        <f t="shared" si="28"/>
        <v>2683913.6741100489</v>
      </c>
      <c r="ET32" s="2">
        <f t="shared" si="29"/>
        <v>3609659.4257683484</v>
      </c>
      <c r="EU32" s="114">
        <v>1296181.0859435494</v>
      </c>
      <c r="EV32">
        <v>115</v>
      </c>
      <c r="EW32" s="2">
        <f t="shared" si="30"/>
        <v>6501220.9511302589</v>
      </c>
      <c r="EX32" s="2">
        <f t="shared" si="31"/>
        <v>7797402.0370738078</v>
      </c>
      <c r="EY32" s="1">
        <f t="shared" si="36"/>
        <v>0.26926543822251081</v>
      </c>
      <c r="EZ32" s="1">
        <f t="shared" si="37"/>
        <v>0.63493510673851761</v>
      </c>
      <c r="FA32" s="1">
        <f t="shared" si="38"/>
        <v>2.9393944429057801</v>
      </c>
      <c r="FL32" s="1809">
        <v>31</v>
      </c>
      <c r="FM32" s="2">
        <v>698270.41231291159</v>
      </c>
      <c r="FN32" s="1">
        <v>26219</v>
      </c>
      <c r="FP32" s="2">
        <v>135233.30751949066</v>
      </c>
      <c r="FQ32" s="2">
        <f t="shared" si="41"/>
        <v>135233.30751949066</v>
      </c>
      <c r="FR32" s="2">
        <f t="shared" si="42"/>
        <v>103457.94304409636</v>
      </c>
      <c r="FT32" s="2">
        <v>1960112.5186818941</v>
      </c>
      <c r="FU32" s="2">
        <f t="shared" si="65"/>
        <v>6602807.3548194021</v>
      </c>
      <c r="FV32" s="1">
        <f t="shared" si="39"/>
        <v>7430754.7101764102</v>
      </c>
      <c r="FW32" s="1">
        <f t="shared" si="40"/>
        <v>9468636.9694494456</v>
      </c>
      <c r="FY32" s="1">
        <f t="shared" si="43"/>
        <v>0.30419222173273641</v>
      </c>
      <c r="FZ32" s="1">
        <f t="shared" si="66"/>
        <v>7.1355558497990499</v>
      </c>
      <c r="GL32" s="1809">
        <v>31</v>
      </c>
      <c r="GM32">
        <v>2932304.903268409</v>
      </c>
      <c r="GN32">
        <v>4312358.48105352</v>
      </c>
      <c r="GP32" s="1135">
        <v>474531.61807771516</v>
      </c>
      <c r="GQ32" s="2">
        <f t="shared" si="57"/>
        <v>1607991.6205998692</v>
      </c>
      <c r="GR32" s="2">
        <f t="shared" si="58"/>
        <v>8852655.0049217977</v>
      </c>
      <c r="GS32" s="1135">
        <v>377824.02189890755</v>
      </c>
      <c r="GW32" s="1">
        <f t="shared" si="44"/>
        <v>2.809409546652712</v>
      </c>
      <c r="GX32" s="1">
        <f t="shared" si="45"/>
        <v>0.59166435495063041</v>
      </c>
      <c r="GY32" s="2">
        <f t="shared" si="70"/>
        <v>3.1497493606067066</v>
      </c>
      <c r="HI32" s="1809">
        <v>31</v>
      </c>
      <c r="HJ32" s="57">
        <v>405424.10590332502</v>
      </c>
      <c r="HK32" s="211">
        <v>343342.621498828</v>
      </c>
      <c r="HL32" s="211">
        <v>39199.476377723229</v>
      </c>
      <c r="HM32" s="57">
        <v>2470070.2571477517</v>
      </c>
      <c r="HN32" s="2">
        <f>HM32*$HM$54</f>
        <v>9454456.2741926257</v>
      </c>
      <c r="HO32" s="2">
        <f t="shared" si="60"/>
        <v>10203223.001594778</v>
      </c>
      <c r="HP32">
        <v>0</v>
      </c>
      <c r="HQ32" s="2">
        <f t="shared" si="62"/>
        <v>0</v>
      </c>
      <c r="HR32" s="2">
        <v>674679.83887512819</v>
      </c>
      <c r="HS32" s="2">
        <f t="shared" si="69"/>
        <v>6665331.6742824167</v>
      </c>
      <c r="HT32" s="2">
        <f t="shared" si="64"/>
        <v>6665331.6742824167</v>
      </c>
      <c r="HU32" s="1">
        <f t="shared" si="47"/>
        <v>0.19190293632293134</v>
      </c>
      <c r="HV32" s="1">
        <f t="shared" si="48"/>
        <v>1.6974945893807343</v>
      </c>
      <c r="HW32" s="1">
        <f t="shared" si="49"/>
        <v>5.8882554670419296</v>
      </c>
      <c r="HX32" s="2">
        <f t="shared" si="50"/>
        <v>16868554.675877195</v>
      </c>
      <c r="IF32" s="1809">
        <v>31</v>
      </c>
      <c r="IG32" s="211">
        <v>991707.00199329772</v>
      </c>
      <c r="IH32" s="57">
        <v>855651.04936329299</v>
      </c>
      <c r="II32" s="57" t="s">
        <v>18</v>
      </c>
      <c r="IJ32" s="57">
        <v>650337.22099039576</v>
      </c>
      <c r="IK32" s="57">
        <f t="shared" si="51"/>
        <v>5611652.8727262197</v>
      </c>
      <c r="IL32" s="2">
        <f t="shared" si="52"/>
        <v>7459010.9240828101</v>
      </c>
      <c r="IM32" s="1">
        <v>2</v>
      </c>
      <c r="IN32" s="57">
        <f t="shared" si="53"/>
        <v>193.30794705639431</v>
      </c>
      <c r="IR32" s="1">
        <f t="shared" si="54"/>
        <v>0.45162126372040362</v>
      </c>
      <c r="IS32" s="1">
        <f t="shared" si="63"/>
        <v>5.4914378378091229</v>
      </c>
    </row>
    <row r="33" spans="1:253" ht="15.6" thickTop="1" thickBot="1">
      <c r="A33" s="1119">
        <v>34</v>
      </c>
      <c r="B33" s="2">
        <v>0</v>
      </c>
      <c r="C33" s="2">
        <v>0</v>
      </c>
      <c r="D33" s="2">
        <v>49348.701792522639</v>
      </c>
      <c r="E33" s="2">
        <v>845371.79068744485</v>
      </c>
      <c r="F33" s="2"/>
      <c r="G33" s="13">
        <f t="shared" si="21"/>
        <v>894720.49247996754</v>
      </c>
      <c r="H33" s="243">
        <v>49348.701792522639</v>
      </c>
      <c r="I33" s="244">
        <v>845371.79068744485</v>
      </c>
      <c r="J33" s="245">
        <v>0</v>
      </c>
      <c r="K33" s="246">
        <f t="shared" si="32"/>
        <v>894720.49247996754</v>
      </c>
      <c r="L33" s="241">
        <f t="shared" si="0"/>
        <v>7.6333618035238485E-2</v>
      </c>
      <c r="M33" s="242">
        <f t="shared" si="1"/>
        <v>2.3087570440703282</v>
      </c>
      <c r="N33" s="240"/>
      <c r="O33" s="240"/>
      <c r="P33" s="240">
        <f t="shared" si="2"/>
        <v>0</v>
      </c>
      <c r="Q33" s="242">
        <f t="shared" si="3"/>
        <v>0.71238945970611156</v>
      </c>
      <c r="R33" s="358"/>
      <c r="S33" s="1154">
        <v>34</v>
      </c>
      <c r="T33" s="1811"/>
      <c r="U33" s="1811"/>
      <c r="V33" s="1811"/>
      <c r="W33" s="1119"/>
      <c r="X33" s="1146">
        <v>392960.86198596086</v>
      </c>
      <c r="Y33" s="1119">
        <f t="shared" si="4"/>
        <v>392960.86198596086</v>
      </c>
      <c r="Z33" s="1146">
        <v>8153592.9707762646</v>
      </c>
      <c r="AA33" s="57">
        <v>2978.134688014597</v>
      </c>
      <c r="AB33" s="29">
        <f t="shared" si="5"/>
        <v>1.1644506228715656</v>
      </c>
      <c r="AC33" s="57">
        <f t="shared" si="6"/>
        <v>392960.86198596086</v>
      </c>
      <c r="AD33" s="1">
        <f t="shared" si="7"/>
        <v>0.17449109477102609</v>
      </c>
      <c r="AE33" s="1">
        <f t="shared" si="8"/>
        <v>2.2109953928824484</v>
      </c>
      <c r="AU33" s="137">
        <v>38</v>
      </c>
      <c r="AV33" s="431"/>
      <c r="AW33" s="2">
        <v>1984251.0126481992</v>
      </c>
      <c r="AX33" s="431">
        <v>0</v>
      </c>
      <c r="AY33" s="431">
        <v>1447246.371783843</v>
      </c>
      <c r="AZ33" s="57">
        <v>7928742.2587325666</v>
      </c>
      <c r="BA33" s="435">
        <v>1984251.0126481992</v>
      </c>
      <c r="BB33" s="2">
        <v>0</v>
      </c>
      <c r="BC33" s="1">
        <v>7928742.2587325666</v>
      </c>
      <c r="BD33" s="1">
        <f t="shared" si="9"/>
        <v>2.0116206935622865E-2</v>
      </c>
      <c r="BE33" s="1">
        <f t="shared" si="10"/>
        <v>0</v>
      </c>
      <c r="BF33" s="1">
        <f t="shared" si="11"/>
        <v>2.9031578590008916E-2</v>
      </c>
      <c r="BN33" s="137">
        <v>38</v>
      </c>
      <c r="BO33" s="1154">
        <v>0</v>
      </c>
      <c r="BP33" s="1154">
        <v>1782694.0039829074</v>
      </c>
      <c r="BQ33" s="1808">
        <v>74505.912746838643</v>
      </c>
      <c r="BR33" s="1147"/>
      <c r="BS33" s="57"/>
      <c r="BT33" s="470">
        <f t="shared" si="12"/>
        <v>1782694.0039829074</v>
      </c>
      <c r="BU33" s="467">
        <f t="shared" si="13"/>
        <v>74505.912746838643</v>
      </c>
      <c r="BV33" s="470">
        <f t="shared" si="14"/>
        <v>0</v>
      </c>
      <c r="BW33" s="1">
        <f t="shared" si="15"/>
        <v>1.729629692278958E-2</v>
      </c>
      <c r="BX33" s="1">
        <f t="shared" si="16"/>
        <v>4.3568718469459906E-4</v>
      </c>
      <c r="BY33" s="1">
        <f t="shared" si="17"/>
        <v>0</v>
      </c>
      <c r="CH33" s="1">
        <v>33</v>
      </c>
      <c r="CI33" s="1">
        <v>4182240.600894066</v>
      </c>
      <c r="CJ33" s="1">
        <v>511758.10086868284</v>
      </c>
      <c r="CK33" s="1">
        <v>15469357.033883518</v>
      </c>
      <c r="CL33" s="1">
        <f t="shared" si="18"/>
        <v>1.8041159204305976E-2</v>
      </c>
      <c r="CM33" s="1">
        <f t="shared" si="19"/>
        <v>1.2242461964618175E-3</v>
      </c>
      <c r="CN33" s="1">
        <f t="shared" si="20"/>
        <v>4.7418487355033935E-2</v>
      </c>
      <c r="CX33" s="1">
        <v>33</v>
      </c>
      <c r="CY33" s="2">
        <v>90760.600231336342</v>
      </c>
      <c r="CZ33" s="2">
        <f t="shared" si="23"/>
        <v>149030.96359445309</v>
      </c>
      <c r="DA33" s="2">
        <v>571916.29655838024</v>
      </c>
      <c r="DB33" s="2">
        <f t="shared" si="55"/>
        <v>1306572.0219907141</v>
      </c>
      <c r="DC33" s="2">
        <v>13644.31834544798</v>
      </c>
      <c r="DD33" s="2">
        <f t="shared" si="67"/>
        <v>41637.941136677553</v>
      </c>
      <c r="DE33" s="1">
        <f t="shared" si="22"/>
        <v>2.3609181776171803E-4</v>
      </c>
      <c r="DF33" s="1">
        <f t="shared" si="56"/>
        <v>6.0595359197644178E-3</v>
      </c>
      <c r="DG33" s="1">
        <f t="shared" si="68"/>
        <v>1.7833452740122038E-3</v>
      </c>
      <c r="DQ33" s="1809">
        <v>32</v>
      </c>
      <c r="DR33" s="1810">
        <v>0</v>
      </c>
      <c r="DS33" s="947">
        <v>1617049.0686328614</v>
      </c>
      <c r="DT33" s="833"/>
      <c r="DU33" s="1">
        <v>458667.72670713597</v>
      </c>
      <c r="DV33" s="2">
        <f t="shared" si="61"/>
        <v>458667.72670713597</v>
      </c>
      <c r="DW33" s="2">
        <f t="shared" si="24"/>
        <v>973641.18778829137</v>
      </c>
      <c r="DX33" s="2">
        <f t="shared" si="25"/>
        <v>2590690.2564211525</v>
      </c>
      <c r="DY33" s="1">
        <v>175776.7153187496</v>
      </c>
      <c r="DZ33" s="2">
        <f t="shared" si="26"/>
        <v>1997432.2011922766</v>
      </c>
      <c r="EA33" s="1">
        <f t="shared" si="33"/>
        <v>0.59061278993098987</v>
      </c>
      <c r="EB33" s="1">
        <f t="shared" si="34"/>
        <v>1.1495275647789889</v>
      </c>
      <c r="EC33" s="1">
        <f t="shared" si="35"/>
        <v>1.2556105304318035</v>
      </c>
      <c r="ED33" s="123"/>
      <c r="EE33" s="878"/>
      <c r="EF33" s="879"/>
      <c r="EG33" s="879"/>
      <c r="EH33" s="2"/>
      <c r="EM33" s="1809">
        <v>32</v>
      </c>
      <c r="EN33" s="833">
        <v>418484.42802542163</v>
      </c>
      <c r="EO33" s="20">
        <v>26539.766293786997</v>
      </c>
      <c r="EP33" s="2">
        <v>12158.250481570813</v>
      </c>
      <c r="EQ33" s="891">
        <v>325105</v>
      </c>
      <c r="ER33" s="1">
        <f t="shared" si="27"/>
        <v>337263.25048157084</v>
      </c>
      <c r="ES33" s="2">
        <f t="shared" si="28"/>
        <v>805473.88086722698</v>
      </c>
      <c r="ET33" s="2">
        <f t="shared" si="29"/>
        <v>1250498.0751864356</v>
      </c>
      <c r="EU33" s="114">
        <v>1021671.4412962531</v>
      </c>
      <c r="EV33">
        <v>91</v>
      </c>
      <c r="EW33" s="2">
        <f t="shared" si="30"/>
        <v>5144444.4048074223</v>
      </c>
      <c r="EX33" s="2">
        <f t="shared" si="31"/>
        <v>6166115.8461036757</v>
      </c>
      <c r="EY33" s="1">
        <f t="shared" si="36"/>
        <v>1.7825793124740221E-2</v>
      </c>
      <c r="EZ33" s="1">
        <f t="shared" si="37"/>
        <v>0.190551450837219</v>
      </c>
      <c r="FA33" s="1">
        <f t="shared" si="38"/>
        <v>2.3244468562957663</v>
      </c>
      <c r="FL33" s="1809">
        <v>32</v>
      </c>
      <c r="FM33" s="2">
        <v>475284.04678664892</v>
      </c>
      <c r="FN33" s="1">
        <v>36907</v>
      </c>
      <c r="FP33" s="2">
        <v>24489.211423674114</v>
      </c>
      <c r="FQ33" s="2">
        <f t="shared" si="41"/>
        <v>24489.211423674114</v>
      </c>
      <c r="FR33" s="2">
        <f t="shared" si="42"/>
        <v>18735.054899845232</v>
      </c>
      <c r="FT33" s="2">
        <v>1590318.8733057226</v>
      </c>
      <c r="FU33" s="2">
        <f t="shared" si="65"/>
        <v>5357125.7022695765</v>
      </c>
      <c r="FV33" s="1">
        <f t="shared" si="39"/>
        <v>5888051.8039560709</v>
      </c>
      <c r="FW33" s="1">
        <f t="shared" si="40"/>
        <v>7502848.2520920644</v>
      </c>
      <c r="FY33" s="1">
        <f t="shared" si="43"/>
        <v>5.5085746019903264E-2</v>
      </c>
      <c r="FZ33" s="1">
        <f t="shared" si="66"/>
        <v>5.7893661875561513</v>
      </c>
      <c r="GL33" s="1809">
        <v>32</v>
      </c>
      <c r="GM33">
        <v>2213230.812843197</v>
      </c>
      <c r="GN33">
        <v>1886576.1001830697</v>
      </c>
      <c r="GP33" s="1135">
        <v>307764.21881843411</v>
      </c>
      <c r="GQ33" s="2">
        <f t="shared" si="57"/>
        <v>1042885.7975475484</v>
      </c>
      <c r="GR33" s="2">
        <f t="shared" si="58"/>
        <v>5142692.7105738148</v>
      </c>
      <c r="GS33" s="1135">
        <v>342277.41169552517</v>
      </c>
      <c r="GW33" s="1">
        <f t="shared" si="44"/>
        <v>1.2290640793495247</v>
      </c>
      <c r="GX33" s="1">
        <f t="shared" si="45"/>
        <v>0.38373231849489042</v>
      </c>
      <c r="GY33" s="2">
        <f t="shared" si="70"/>
        <v>2.8534132192541151</v>
      </c>
      <c r="HI33" s="1809">
        <v>32</v>
      </c>
      <c r="HJ33" s="57">
        <v>414537.20510420314</v>
      </c>
      <c r="HK33" s="211">
        <v>195320.28080338283</v>
      </c>
      <c r="HM33" s="57">
        <v>2506764.2853258112</v>
      </c>
      <c r="HN33" s="2">
        <f t="shared" si="46"/>
        <v>9594906.5645961277</v>
      </c>
      <c r="HO33" s="2">
        <f t="shared" si="60"/>
        <v>10204764.050503714</v>
      </c>
      <c r="HP33">
        <v>0</v>
      </c>
      <c r="HQ33" s="2">
        <f t="shared" si="62"/>
        <v>0</v>
      </c>
      <c r="HR33" s="2">
        <v>575193.32547053206</v>
      </c>
      <c r="HS33" s="2">
        <f t="shared" si="69"/>
        <v>5682479.4075463014</v>
      </c>
      <c r="HT33" s="2">
        <f t="shared" si="64"/>
        <v>5682479.4075463014</v>
      </c>
      <c r="HU33" s="1">
        <f t="shared" si="47"/>
        <v>0.10916947987978415</v>
      </c>
      <c r="HV33" s="1">
        <f t="shared" si="48"/>
        <v>1.6977509713283288</v>
      </c>
      <c r="HW33" s="1">
        <f t="shared" si="49"/>
        <v>5.0199888127007508</v>
      </c>
      <c r="HX33" s="2">
        <f t="shared" si="50"/>
        <v>15887243.458050016</v>
      </c>
      <c r="IF33" s="1809">
        <v>32</v>
      </c>
      <c r="IG33" s="211">
        <v>198764.13427932665</v>
      </c>
      <c r="IH33" s="57">
        <v>427825.52468164655</v>
      </c>
      <c r="II33" s="57" t="s">
        <v>18</v>
      </c>
      <c r="IJ33" s="57">
        <v>717911.91585010022</v>
      </c>
      <c r="IK33" s="57">
        <f t="shared" si="51"/>
        <v>6194743.7958561732</v>
      </c>
      <c r="IL33" s="2">
        <f t="shared" si="52"/>
        <v>6821333.4548171461</v>
      </c>
      <c r="IN33" s="57">
        <f t="shared" si="53"/>
        <v>0</v>
      </c>
      <c r="IR33" s="1">
        <f t="shared" si="54"/>
        <v>0.22581063186020181</v>
      </c>
      <c r="IS33" s="1">
        <f t="shared" si="63"/>
        <v>6.0620375578526211</v>
      </c>
    </row>
    <row r="34" spans="1:253" ht="15.6" thickTop="1" thickBot="1">
      <c r="A34" s="1119">
        <v>35</v>
      </c>
      <c r="B34" s="2">
        <v>0</v>
      </c>
      <c r="C34" s="2">
        <v>0</v>
      </c>
      <c r="D34" s="2">
        <v>50935.759576954937</v>
      </c>
      <c r="E34" s="2">
        <v>703235.89502776833</v>
      </c>
      <c r="F34" s="2"/>
      <c r="G34" s="13">
        <f t="shared" si="21"/>
        <v>754171.65460472321</v>
      </c>
      <c r="H34" s="243">
        <v>50935.759576954937</v>
      </c>
      <c r="I34" s="244">
        <v>703235.89502776833</v>
      </c>
      <c r="J34" s="245">
        <v>0</v>
      </c>
      <c r="K34" s="246">
        <f t="shared" si="32"/>
        <v>754171.65460472321</v>
      </c>
      <c r="L34" s="241">
        <f t="shared" si="0"/>
        <v>7.8788512658931775E-2</v>
      </c>
      <c r="M34" s="242">
        <f t="shared" si="1"/>
        <v>1.9205760638974858</v>
      </c>
      <c r="N34" s="240"/>
      <c r="O34" s="240"/>
      <c r="P34" s="240">
        <f t="shared" si="2"/>
        <v>0</v>
      </c>
      <c r="Q34" s="242">
        <f t="shared" si="3"/>
        <v>0.60048243229608611</v>
      </c>
      <c r="R34" s="358"/>
      <c r="S34" s="1154">
        <v>35</v>
      </c>
      <c r="T34" s="1811"/>
      <c r="U34" s="1811"/>
      <c r="V34" s="1811"/>
      <c r="W34" s="1119"/>
      <c r="X34" s="1146">
        <v>326979.86237007088</v>
      </c>
      <c r="Y34" s="1119">
        <f t="shared" si="4"/>
        <v>326979.86237007088</v>
      </c>
      <c r="Z34" s="1146">
        <v>10309245.310579654</v>
      </c>
      <c r="AA34" s="57">
        <v>3412.7633089348192</v>
      </c>
      <c r="AB34" s="29">
        <f t="shared" si="5"/>
        <v>1.3343904077930331</v>
      </c>
      <c r="AC34" s="57">
        <f t="shared" si="6"/>
        <v>326979.86237007088</v>
      </c>
      <c r="AD34" s="1">
        <f t="shared" si="7"/>
        <v>0.14519276516415899</v>
      </c>
      <c r="AE34" s="1">
        <f t="shared" si="8"/>
        <v>2.7955398273476142</v>
      </c>
      <c r="AU34" s="137">
        <v>39</v>
      </c>
      <c r="AV34" s="431"/>
      <c r="AW34" s="2">
        <v>1148588.4159685443</v>
      </c>
      <c r="AX34" s="431">
        <v>0</v>
      </c>
      <c r="AY34" s="431">
        <v>1406974.7325297995</v>
      </c>
      <c r="AZ34" s="57">
        <v>7708113.9992964054</v>
      </c>
      <c r="BA34" s="435">
        <v>1148588.4159685443</v>
      </c>
      <c r="BB34" s="2">
        <v>0</v>
      </c>
      <c r="BC34" s="1">
        <v>7708113.9992964054</v>
      </c>
      <c r="BD34" s="1">
        <f t="shared" si="9"/>
        <v>1.1644314208334988E-2</v>
      </c>
      <c r="BE34" s="1">
        <f t="shared" si="10"/>
        <v>0</v>
      </c>
      <c r="BF34" s="1">
        <f t="shared" si="11"/>
        <v>2.8223734616276103E-2</v>
      </c>
      <c r="BN34" s="137">
        <v>39</v>
      </c>
      <c r="BO34" s="1154">
        <v>0</v>
      </c>
      <c r="BP34" s="1155">
        <v>737965.41812870523</v>
      </c>
      <c r="BQ34" s="1808">
        <v>23010.630725635736</v>
      </c>
      <c r="BR34" s="1147"/>
      <c r="BS34" s="57"/>
      <c r="BT34" s="470">
        <f t="shared" si="12"/>
        <v>737965.41812870523</v>
      </c>
      <c r="BU34" s="467">
        <f t="shared" si="13"/>
        <v>23010.630725635736</v>
      </c>
      <c r="BV34" s="470">
        <f t="shared" si="14"/>
        <v>0</v>
      </c>
      <c r="BW34" s="1">
        <f t="shared" si="15"/>
        <v>7.1599887373756119E-3</v>
      </c>
      <c r="BX34" s="1">
        <f t="shared" si="16"/>
        <v>1.3455894370376212E-4</v>
      </c>
      <c r="BY34" s="1">
        <f t="shared" si="17"/>
        <v>0</v>
      </c>
      <c r="CH34" s="1">
        <v>34</v>
      </c>
      <c r="CI34" s="1">
        <v>2999204.3426680891</v>
      </c>
      <c r="CJ34" s="1">
        <v>364311.44195970177</v>
      </c>
      <c r="CK34" s="1">
        <v>8299955.8112794803</v>
      </c>
      <c r="CL34" s="1">
        <f t="shared" si="18"/>
        <v>1.2937831223950525E-2</v>
      </c>
      <c r="CM34" s="1">
        <f t="shared" si="19"/>
        <v>8.7151897818444214E-4</v>
      </c>
      <c r="CN34" s="1">
        <f t="shared" si="20"/>
        <v>2.5441997933232263E-2</v>
      </c>
      <c r="CX34" s="1">
        <v>34</v>
      </c>
      <c r="CY34" s="2">
        <v>165.56287630011383</v>
      </c>
      <c r="CZ34" s="2">
        <f t="shared" si="23"/>
        <v>271.85799705582122</v>
      </c>
      <c r="DA34" s="2">
        <v>527177.04113536153</v>
      </c>
      <c r="DB34" s="2">
        <f t="shared" si="55"/>
        <v>1204362.9054256198</v>
      </c>
      <c r="DC34" s="2">
        <v>6133.8660543802089</v>
      </c>
      <c r="DD34" s="2">
        <f t="shared" si="67"/>
        <v>18718.527906361465</v>
      </c>
      <c r="DE34" s="1">
        <f t="shared" si="22"/>
        <v>4.3067190300551424E-7</v>
      </c>
      <c r="DF34" s="1">
        <f t="shared" si="56"/>
        <v>5.5855170346746077E-3</v>
      </c>
      <c r="DG34" s="1">
        <f t="shared" si="68"/>
        <v>8.0171106848677656E-4</v>
      </c>
      <c r="DQ34" s="1809">
        <v>33</v>
      </c>
      <c r="DR34" s="1810">
        <v>0</v>
      </c>
      <c r="DS34" s="947">
        <v>1251046.7080130908</v>
      </c>
      <c r="DT34" s="833"/>
      <c r="DU34" s="1">
        <v>378539.96662569337</v>
      </c>
      <c r="DV34" s="2">
        <f t="shared" si="61"/>
        <v>378539.96662569337</v>
      </c>
      <c r="DW34" s="2">
        <f t="shared" si="24"/>
        <v>803549.23895945039</v>
      </c>
      <c r="DX34" s="2">
        <f t="shared" si="25"/>
        <v>2054595.946972541</v>
      </c>
      <c r="DY34" s="1">
        <v>150462.70986700046</v>
      </c>
      <c r="DZ34" s="2">
        <f t="shared" si="26"/>
        <v>1709777.4368010389</v>
      </c>
      <c r="EA34" s="1">
        <f t="shared" si="33"/>
        <v>0.45693368301945442</v>
      </c>
      <c r="EB34" s="1">
        <f t="shared" si="34"/>
        <v>0.9487088379440215</v>
      </c>
      <c r="EC34" s="1">
        <f t="shared" si="35"/>
        <v>1.0747871958110209</v>
      </c>
      <c r="ED34" s="123"/>
      <c r="EE34" s="878"/>
      <c r="EF34" s="879"/>
      <c r="EG34" s="879"/>
      <c r="EH34" s="2"/>
      <c r="EM34" s="1809">
        <v>33</v>
      </c>
      <c r="EN34" s="833">
        <v>734149.97557938541</v>
      </c>
      <c r="EO34" s="20">
        <v>371150.17299073964</v>
      </c>
      <c r="EP34" s="2">
        <v>48633.00192628325</v>
      </c>
      <c r="EQ34" s="891">
        <v>262082</v>
      </c>
      <c r="ER34" s="1">
        <f t="shared" si="27"/>
        <v>310715.00192628324</v>
      </c>
      <c r="ES34" s="2">
        <f t="shared" si="28"/>
        <v>742069.63874027831</v>
      </c>
      <c r="ET34" s="2">
        <f t="shared" si="29"/>
        <v>1847369.7873104033</v>
      </c>
      <c r="EU34" s="114">
        <v>844107.2099957515</v>
      </c>
      <c r="EV34">
        <v>57</v>
      </c>
      <c r="EW34" s="2">
        <f t="shared" si="30"/>
        <v>3222344.2975167371</v>
      </c>
      <c r="EX34" s="2">
        <f t="shared" si="31"/>
        <v>4066451.5075124884</v>
      </c>
      <c r="EY34" s="1">
        <f t="shared" si="36"/>
        <v>0.24928803549763351</v>
      </c>
      <c r="EZ34" s="1">
        <f t="shared" si="37"/>
        <v>0.17555187032504105</v>
      </c>
      <c r="FA34" s="1">
        <f t="shared" si="38"/>
        <v>1.5329342910236421</v>
      </c>
      <c r="FL34" s="1809">
        <v>33</v>
      </c>
      <c r="FM34" s="2">
        <v>214234.96310479252</v>
      </c>
      <c r="FN34" s="1">
        <v>0</v>
      </c>
      <c r="FP34" s="2">
        <v>0</v>
      </c>
      <c r="FQ34" s="2">
        <f t="shared" si="41"/>
        <v>0</v>
      </c>
      <c r="FR34" s="2">
        <f t="shared" si="42"/>
        <v>0</v>
      </c>
      <c r="FT34" s="2">
        <v>1262400.1555780685</v>
      </c>
      <c r="FU34" s="2">
        <f t="shared" si="65"/>
        <v>4252503.339747698</v>
      </c>
      <c r="FV34" s="1">
        <f t="shared" si="39"/>
        <v>4466738.3028524909</v>
      </c>
      <c r="FW34" s="1">
        <f t="shared" si="40"/>
        <v>5691739.9479387319</v>
      </c>
      <c r="FY34" s="1">
        <f t="shared" si="43"/>
        <v>0</v>
      </c>
      <c r="FZ34" s="1">
        <f t="shared" si="66"/>
        <v>4.5956172051693365</v>
      </c>
      <c r="GL34" s="1809">
        <v>33</v>
      </c>
      <c r="GM34">
        <v>918374.57375458721</v>
      </c>
      <c r="GN34">
        <v>2922259.4005390229</v>
      </c>
      <c r="GP34" s="1135">
        <v>174056.80205050809</v>
      </c>
      <c r="GQ34" s="2">
        <f t="shared" si="57"/>
        <v>589806.59779722034</v>
      </c>
      <c r="GR34" s="2">
        <f t="shared" si="58"/>
        <v>4430440.5720908307</v>
      </c>
      <c r="GS34" s="1135">
        <v>249055.52726527158</v>
      </c>
      <c r="GW34" s="1">
        <f t="shared" si="44"/>
        <v>1.9037896533277729</v>
      </c>
      <c r="GX34" s="1">
        <f t="shared" si="45"/>
        <v>0.21702074548195358</v>
      </c>
      <c r="GY34" s="2">
        <f t="shared" si="70"/>
        <v>2.0762641925643628</v>
      </c>
      <c r="HI34" s="1809">
        <v>33</v>
      </c>
      <c r="HJ34" s="57">
        <v>384927.40473961725</v>
      </c>
      <c r="HK34" s="211">
        <v>100783.99867240933</v>
      </c>
      <c r="HM34" s="57">
        <v>1962135.3054507154</v>
      </c>
      <c r="HN34" s="2">
        <f t="shared" si="46"/>
        <v>7510281.2949355403</v>
      </c>
      <c r="HO34" s="2">
        <f t="shared" si="60"/>
        <v>7995992.6983475666</v>
      </c>
      <c r="HP34">
        <v>0</v>
      </c>
      <c r="HQ34" s="2">
        <f t="shared" si="62"/>
        <v>0</v>
      </c>
      <c r="HR34" s="2">
        <v>461708.58973257628</v>
      </c>
      <c r="HS34" s="2">
        <f t="shared" si="69"/>
        <v>4561335.1846465776</v>
      </c>
      <c r="HT34" s="2">
        <f t="shared" si="64"/>
        <v>4561335.1846465776</v>
      </c>
      <c r="HU34" s="1">
        <f t="shared" si="47"/>
        <v>5.6330743894165154E-2</v>
      </c>
      <c r="HV34" s="1">
        <f t="shared" si="48"/>
        <v>1.3302810631553723</v>
      </c>
      <c r="HW34" s="1">
        <f t="shared" si="49"/>
        <v>4.0295529390737279</v>
      </c>
      <c r="HX34" s="2">
        <f t="shared" si="50"/>
        <v>12557327.882994145</v>
      </c>
      <c r="IF34" s="1809">
        <v>33</v>
      </c>
      <c r="IG34" s="211">
        <v>50102.965724005764</v>
      </c>
      <c r="IH34" s="57">
        <v>218186.4569530648</v>
      </c>
      <c r="II34" s="57" t="s">
        <v>18</v>
      </c>
      <c r="IJ34" s="57">
        <v>450225.71910230321</v>
      </c>
      <c r="IK34" s="57">
        <f t="shared" si="51"/>
        <v>3884923.6494999565</v>
      </c>
      <c r="IL34" s="2">
        <f t="shared" si="52"/>
        <v>4153213.0721770269</v>
      </c>
      <c r="IN34" s="57">
        <f t="shared" si="53"/>
        <v>0</v>
      </c>
      <c r="IR34" s="1">
        <f t="shared" si="54"/>
        <v>0.11516101509972367</v>
      </c>
      <c r="IS34" s="1">
        <f t="shared" si="63"/>
        <v>3.801699287129872</v>
      </c>
    </row>
    <row r="35" spans="1:253" ht="15.6" thickTop="1" thickBot="1">
      <c r="A35" s="1119">
        <v>36</v>
      </c>
      <c r="B35" s="2">
        <v>0</v>
      </c>
      <c r="C35" s="2">
        <v>0</v>
      </c>
      <c r="D35" s="2">
        <v>11256.367499827995</v>
      </c>
      <c r="E35" s="2">
        <v>682130.62079630943</v>
      </c>
      <c r="F35" s="2"/>
      <c r="G35" s="13">
        <f t="shared" si="21"/>
        <v>693386.98829613742</v>
      </c>
      <c r="H35" s="243">
        <v>11256.367499827995</v>
      </c>
      <c r="I35" s="244">
        <v>682130.62079630943</v>
      </c>
      <c r="J35" s="245">
        <v>0</v>
      </c>
      <c r="K35" s="246">
        <f t="shared" si="32"/>
        <v>693386.98829613742</v>
      </c>
      <c r="L35" s="241">
        <f t="shared" si="0"/>
        <v>1.741158786321579E-2</v>
      </c>
      <c r="M35" s="242">
        <f t="shared" si="1"/>
        <v>1.8629363944813904</v>
      </c>
      <c r="N35" s="240"/>
      <c r="O35" s="240"/>
      <c r="P35" s="240">
        <f t="shared" si="2"/>
        <v>0</v>
      </c>
      <c r="Q35" s="242">
        <f t="shared" si="3"/>
        <v>0.55208479755546991</v>
      </c>
      <c r="R35" s="358"/>
      <c r="S35" s="1154">
        <v>36</v>
      </c>
      <c r="T35" s="1811"/>
      <c r="U35" s="1811"/>
      <c r="V35" s="1811"/>
      <c r="W35" s="1119"/>
      <c r="X35" s="1146">
        <v>306083.83413959475</v>
      </c>
      <c r="Y35" s="1119">
        <f t="shared" si="4"/>
        <v>306083.83413959475</v>
      </c>
      <c r="Z35" s="1146">
        <v>4596507.4992684089</v>
      </c>
      <c r="AA35" s="57">
        <v>2414.459739228671</v>
      </c>
      <c r="AB35" s="29">
        <f t="shared" si="5"/>
        <v>0.94405372549401756</v>
      </c>
      <c r="AC35" s="57">
        <f t="shared" si="6"/>
        <v>306083.83413959475</v>
      </c>
      <c r="AD35" s="1">
        <f t="shared" si="7"/>
        <v>0.13591405271459114</v>
      </c>
      <c r="AE35" s="1">
        <f t="shared" si="8"/>
        <v>1.2464268133885668</v>
      </c>
      <c r="AU35" s="137">
        <v>40</v>
      </c>
      <c r="AV35" s="431"/>
      <c r="AW35" s="2">
        <v>577456.66543140518</v>
      </c>
      <c r="AX35" s="431">
        <v>0</v>
      </c>
      <c r="AY35" s="431">
        <v>1095163.9199775252</v>
      </c>
      <c r="AZ35" s="57">
        <v>5999857.8140238905</v>
      </c>
      <c r="BA35" s="435">
        <v>577456.66543140518</v>
      </c>
      <c r="BB35" s="2">
        <v>0</v>
      </c>
      <c r="BC35" s="1">
        <v>5999857.8140238905</v>
      </c>
      <c r="BD35" s="1">
        <f t="shared" si="9"/>
        <v>5.8542178908452466E-3</v>
      </c>
      <c r="BE35" s="1">
        <f t="shared" si="10"/>
        <v>0</v>
      </c>
      <c r="BF35" s="1">
        <f t="shared" si="11"/>
        <v>2.1968849279325384E-2</v>
      </c>
      <c r="BN35" s="137">
        <v>40</v>
      </c>
      <c r="BO35" s="1154">
        <v>0</v>
      </c>
      <c r="BP35" s="1154">
        <v>124436.06652307486</v>
      </c>
      <c r="BQ35" s="1812">
        <v>4900.0916608565321</v>
      </c>
      <c r="BR35" s="1147"/>
      <c r="BS35" s="57"/>
      <c r="BT35" s="470">
        <f t="shared" si="12"/>
        <v>124436.06652307486</v>
      </c>
      <c r="BU35" s="467">
        <f t="shared" si="13"/>
        <v>4900.0916608565321</v>
      </c>
      <c r="BV35" s="470">
        <f t="shared" si="14"/>
        <v>0</v>
      </c>
      <c r="BW35" s="1">
        <f t="shared" si="15"/>
        <v>1.2073205775519822E-3</v>
      </c>
      <c r="BX35" s="1">
        <f t="shared" si="16"/>
        <v>2.8654197522795273E-5</v>
      </c>
      <c r="BY35" s="1">
        <f t="shared" si="17"/>
        <v>0</v>
      </c>
      <c r="CH35" s="1">
        <v>35</v>
      </c>
      <c r="CI35" s="1">
        <v>2338113.0402783891</v>
      </c>
      <c r="CJ35" s="1">
        <v>156612.72180725489</v>
      </c>
      <c r="CK35" s="1">
        <v>3096323.1985554262</v>
      </c>
      <c r="CL35" s="1">
        <f t="shared" si="18"/>
        <v>1.008604564460225E-2</v>
      </c>
      <c r="CM35" s="1">
        <f t="shared" si="19"/>
        <v>3.7465460471384533E-4</v>
      </c>
      <c r="CN35" s="1">
        <f t="shared" si="20"/>
        <v>9.4912129907017469E-3</v>
      </c>
      <c r="CX35" s="1">
        <v>35</v>
      </c>
      <c r="CY35" s="2">
        <v>0</v>
      </c>
      <c r="CZ35" s="2">
        <f t="shared" si="23"/>
        <v>0</v>
      </c>
      <c r="DA35" s="2">
        <v>280173.98597165762</v>
      </c>
      <c r="DB35" s="2">
        <f t="shared" si="55"/>
        <v>640071.79645530367</v>
      </c>
      <c r="DC35" s="2">
        <v>5517.852752448819</v>
      </c>
      <c r="DD35" s="2">
        <f t="shared" si="67"/>
        <v>16838.659307884591</v>
      </c>
      <c r="DE35" s="1">
        <f t="shared" si="22"/>
        <v>0</v>
      </c>
      <c r="DF35" s="1">
        <f t="shared" si="56"/>
        <v>2.9684839232510499E-3</v>
      </c>
      <c r="DG35" s="1">
        <f t="shared" si="68"/>
        <v>7.2119664607926215E-4</v>
      </c>
      <c r="DQ35" s="1809">
        <v>34</v>
      </c>
      <c r="DR35" s="1810">
        <v>1237831.9365755639</v>
      </c>
      <c r="DS35" s="947">
        <v>540438.16261024342</v>
      </c>
      <c r="DT35" s="833"/>
      <c r="DU35" s="1">
        <v>347575.05316000077</v>
      </c>
      <c r="DV35" s="2">
        <f t="shared" si="61"/>
        <v>347575.05316000077</v>
      </c>
      <c r="DW35" s="2">
        <f t="shared" si="24"/>
        <v>737818.18056791706</v>
      </c>
      <c r="DX35" s="2">
        <f t="shared" si="25"/>
        <v>2516088.2797537241</v>
      </c>
      <c r="DY35" s="1">
        <v>136576.36910822766</v>
      </c>
      <c r="DZ35" s="2">
        <f t="shared" si="26"/>
        <v>1551980.5173512478</v>
      </c>
      <c r="EA35" s="1">
        <f t="shared" si="33"/>
        <v>0.19739023211848089</v>
      </c>
      <c r="EB35" s="1">
        <f t="shared" si="34"/>
        <v>0.87110359236602275</v>
      </c>
      <c r="EC35" s="1">
        <f t="shared" si="35"/>
        <v>0.9755941049954272</v>
      </c>
      <c r="ED35" s="123"/>
      <c r="EE35" s="878"/>
      <c r="EF35" s="879"/>
      <c r="EG35" s="879"/>
      <c r="EH35" s="2"/>
      <c r="EM35" s="1809">
        <v>34</v>
      </c>
      <c r="EN35" s="833">
        <v>644731.26262763899</v>
      </c>
      <c r="EO35" s="20">
        <v>27571.230214478299</v>
      </c>
      <c r="EP35" s="2">
        <v>12158.250481570813</v>
      </c>
      <c r="EQ35" s="891">
        <v>259504</v>
      </c>
      <c r="ER35" s="1">
        <f t="shared" si="27"/>
        <v>271662.25048157084</v>
      </c>
      <c r="ES35" s="2">
        <f t="shared" si="28"/>
        <v>648801.33506414283</v>
      </c>
      <c r="ET35" s="2">
        <f t="shared" si="29"/>
        <v>1321103.8279062603</v>
      </c>
      <c r="EU35" s="114">
        <v>604307.52177211503</v>
      </c>
      <c r="EV35">
        <v>42</v>
      </c>
      <c r="EW35" s="2">
        <f t="shared" si="30"/>
        <v>2374358.9560649642</v>
      </c>
      <c r="EX35" s="2">
        <f t="shared" si="31"/>
        <v>2978666.4778370792</v>
      </c>
      <c r="EY35" s="1">
        <f t="shared" si="36"/>
        <v>1.8518589823186694E-2</v>
      </c>
      <c r="EZ35" s="1">
        <f t="shared" si="37"/>
        <v>0.15348733042527549</v>
      </c>
      <c r="FA35" s="1">
        <f t="shared" si="38"/>
        <v>1.1228708806593459</v>
      </c>
      <c r="FL35" s="1809">
        <v>34</v>
      </c>
      <c r="FM35" s="2">
        <v>118376.3246043285</v>
      </c>
      <c r="FN35" s="1">
        <v>13981</v>
      </c>
      <c r="FP35" s="2">
        <v>0</v>
      </c>
      <c r="FQ35" s="2">
        <f t="shared" si="41"/>
        <v>0</v>
      </c>
      <c r="FR35" s="2">
        <f t="shared" si="42"/>
        <v>0</v>
      </c>
      <c r="FT35" s="2">
        <v>953064.25398622232</v>
      </c>
      <c r="FU35" s="2">
        <f t="shared" si="65"/>
        <v>3210478.7892826921</v>
      </c>
      <c r="FV35" s="1">
        <f t="shared" si="39"/>
        <v>3342836.1138870204</v>
      </c>
      <c r="FW35" s="1">
        <f t="shared" si="40"/>
        <v>4259607.9194235597</v>
      </c>
      <c r="FY35" s="1">
        <f t="shared" si="43"/>
        <v>0</v>
      </c>
      <c r="FZ35" s="1">
        <f t="shared" si="66"/>
        <v>3.4695167486297911</v>
      </c>
      <c r="GL35" s="1809">
        <v>34</v>
      </c>
      <c r="GM35">
        <v>418002.03573329549</v>
      </c>
      <c r="GP35" s="1135">
        <v>101078.02637970151</v>
      </c>
      <c r="GQ35" s="2">
        <f t="shared" si="57"/>
        <v>342511.67520456814</v>
      </c>
      <c r="GR35" s="2">
        <f t="shared" si="58"/>
        <v>760513.71093786368</v>
      </c>
      <c r="GS35" s="1135">
        <v>357093.70148868667</v>
      </c>
      <c r="GW35" s="1">
        <f t="shared" ref="GW35:GW50" si="71">GN35/$GN$51</f>
        <v>0</v>
      </c>
      <c r="GX35" s="1">
        <f t="shared" si="45"/>
        <v>0.12602798844024468</v>
      </c>
      <c r="GY35" s="2">
        <f t="shared" si="70"/>
        <v>2.9769299799619895</v>
      </c>
      <c r="HI35" s="1809">
        <v>34</v>
      </c>
      <c r="HJ35" s="57">
        <v>155321.64788495476</v>
      </c>
      <c r="HK35" s="211">
        <v>11710.826676202294</v>
      </c>
      <c r="HM35" s="57">
        <v>1603877.4268070264</v>
      </c>
      <c r="HN35" s="2">
        <f t="shared" si="46"/>
        <v>6139011.2111311359</v>
      </c>
      <c r="HO35" s="2">
        <f t="shared" si="60"/>
        <v>6306043.6856922926</v>
      </c>
      <c r="HP35">
        <v>0</v>
      </c>
      <c r="HQ35" s="2">
        <f t="shared" si="62"/>
        <v>0</v>
      </c>
      <c r="HR35" s="2">
        <v>370665.64603428479</v>
      </c>
      <c r="HS35" s="2">
        <f t="shared" si="69"/>
        <v>3661899.0648954916</v>
      </c>
      <c r="HT35" s="2">
        <f t="shared" si="64"/>
        <v>3661899.0648954916</v>
      </c>
      <c r="HU35" s="1">
        <f t="shared" si="47"/>
        <v>6.5454793119525531E-3</v>
      </c>
      <c r="HV35" s="1">
        <f t="shared" si="48"/>
        <v>1.049126833274945</v>
      </c>
      <c r="HW35" s="1">
        <f t="shared" si="49"/>
        <v>3.2349773788185834</v>
      </c>
      <c r="HX35" s="2">
        <f t="shared" si="50"/>
        <v>9967942.7505877838</v>
      </c>
      <c r="IF35" s="1809">
        <v>34</v>
      </c>
      <c r="IG35" s="211">
        <v>48329.409415191396</v>
      </c>
      <c r="IH35" s="57">
        <v>218186.45695306483</v>
      </c>
      <c r="II35" s="57" t="s">
        <v>18</v>
      </c>
      <c r="IJ35" s="57">
        <v>221509.24071639986</v>
      </c>
      <c r="IK35" s="57">
        <f t="shared" si="51"/>
        <v>1911366.7907683023</v>
      </c>
      <c r="IL35" s="2">
        <f t="shared" si="52"/>
        <v>2177882.6571365586</v>
      </c>
      <c r="IN35" s="57">
        <f t="shared" si="53"/>
        <v>0</v>
      </c>
      <c r="IR35" s="1">
        <f t="shared" si="54"/>
        <v>0.11516101509972367</v>
      </c>
      <c r="IS35" s="1">
        <f t="shared" si="63"/>
        <v>1.8704207396309724</v>
      </c>
    </row>
    <row r="36" spans="1:253" ht="15.6" thickTop="1" thickBot="1">
      <c r="A36" s="1119">
        <v>37</v>
      </c>
      <c r="B36" s="2">
        <v>0</v>
      </c>
      <c r="C36" s="2">
        <v>0</v>
      </c>
      <c r="D36" s="2">
        <v>10241.020441796787</v>
      </c>
      <c r="E36" s="2">
        <v>658012.38962061622</v>
      </c>
      <c r="F36" s="2"/>
      <c r="G36" s="13">
        <f t="shared" si="21"/>
        <v>668253.41006241296</v>
      </c>
      <c r="H36" s="243">
        <v>10241.020441796787</v>
      </c>
      <c r="I36" s="244">
        <v>658012.38962061622</v>
      </c>
      <c r="J36" s="245">
        <v>0</v>
      </c>
      <c r="K36" s="246">
        <f t="shared" si="32"/>
        <v>668253.41006241296</v>
      </c>
      <c r="L36" s="241">
        <f t="shared" si="0"/>
        <v>1.5841027510345454E-2</v>
      </c>
      <c r="M36" s="242">
        <f t="shared" si="1"/>
        <v>1.7970681732670091</v>
      </c>
      <c r="N36" s="240"/>
      <c r="O36" s="240"/>
      <c r="P36" s="240">
        <f t="shared" si="2"/>
        <v>0</v>
      </c>
      <c r="Q36" s="242">
        <f t="shared" si="3"/>
        <v>0.53207307728205155</v>
      </c>
      <c r="R36" s="358"/>
      <c r="S36" s="1154">
        <v>37</v>
      </c>
      <c r="T36" s="1811"/>
      <c r="U36" s="1811"/>
      <c r="V36" s="1811"/>
      <c r="W36" s="1119"/>
      <c r="X36" s="1146">
        <v>344894.5726901656</v>
      </c>
      <c r="Y36" s="1119">
        <f t="shared" si="4"/>
        <v>344894.5726901656</v>
      </c>
      <c r="Z36" s="1146">
        <v>3753137.2027262715</v>
      </c>
      <c r="AA36" s="57">
        <v>2395.8807808387864</v>
      </c>
      <c r="AB36" s="29">
        <f t="shared" si="5"/>
        <v>0.93678935301399757</v>
      </c>
      <c r="AC36" s="57">
        <f t="shared" si="6"/>
        <v>344894.5726901656</v>
      </c>
      <c r="AD36" s="1">
        <f t="shared" si="7"/>
        <v>0.15314764749127177</v>
      </c>
      <c r="AE36" s="1">
        <f t="shared" si="8"/>
        <v>1.0177315808902192</v>
      </c>
      <c r="AU36" s="137">
        <v>41</v>
      </c>
      <c r="AV36" s="431"/>
      <c r="AW36" s="2">
        <v>257417.37175353098</v>
      </c>
      <c r="AX36" s="431">
        <v>0</v>
      </c>
      <c r="AY36" s="431">
        <v>583197.49011954176</v>
      </c>
      <c r="AZ36" s="57">
        <v>3195048.6629295284</v>
      </c>
      <c r="BA36" s="435">
        <v>257417.37175353098</v>
      </c>
      <c r="BB36" s="2">
        <v>0</v>
      </c>
      <c r="BC36" s="1">
        <v>3195048.6629295284</v>
      </c>
      <c r="BD36" s="1">
        <f t="shared" si="9"/>
        <v>2.6096804718810426E-3</v>
      </c>
      <c r="BE36" s="1">
        <f t="shared" si="10"/>
        <v>0</v>
      </c>
      <c r="BF36" s="1">
        <f t="shared" si="11"/>
        <v>1.1698867655154306E-2</v>
      </c>
      <c r="BN36" s="137">
        <v>41</v>
      </c>
      <c r="BO36" s="1154">
        <v>0</v>
      </c>
      <c r="BP36" s="1154">
        <v>0</v>
      </c>
      <c r="BQ36" s="1807"/>
      <c r="BR36" s="1147"/>
      <c r="BS36" s="57"/>
      <c r="BT36" s="470">
        <f t="shared" si="12"/>
        <v>0</v>
      </c>
      <c r="BU36" s="467">
        <f t="shared" si="13"/>
        <v>0</v>
      </c>
      <c r="BV36" s="470">
        <f t="shared" si="14"/>
        <v>0</v>
      </c>
      <c r="BW36" s="1">
        <f t="shared" si="15"/>
        <v>0</v>
      </c>
      <c r="BX36" s="1">
        <f t="shared" si="16"/>
        <v>0</v>
      </c>
      <c r="BY36" s="1">
        <f t="shared" si="17"/>
        <v>0</v>
      </c>
      <c r="CH36" s="1">
        <v>36</v>
      </c>
      <c r="CI36" s="1">
        <v>1956238.4352484308</v>
      </c>
      <c r="CJ36" s="1">
        <v>47932.702971584782</v>
      </c>
      <c r="CK36" s="1">
        <v>1646588.6956057819</v>
      </c>
      <c r="CL36" s="1">
        <f t="shared" si="18"/>
        <v>8.4387323494383767E-3</v>
      </c>
      <c r="CM36" s="1">
        <f t="shared" si="19"/>
        <v>1.1466634177258367E-4</v>
      </c>
      <c r="CN36" s="1">
        <f t="shared" si="20"/>
        <v>5.0473167740911103E-3</v>
      </c>
      <c r="CX36" s="1">
        <v>36</v>
      </c>
      <c r="CY36" s="2">
        <v>165.56287630011383</v>
      </c>
      <c r="CZ36" s="2">
        <f t="shared" si="23"/>
        <v>271.85799705582122</v>
      </c>
      <c r="DA36" s="2">
        <v>287107.52250094013</v>
      </c>
      <c r="DB36" s="2">
        <f t="shared" si="55"/>
        <v>655911.8151732987</v>
      </c>
      <c r="DC36" s="2">
        <v>3545.8508238204536</v>
      </c>
      <c r="DD36" s="2">
        <f t="shared" si="67"/>
        <v>10820.762470038086</v>
      </c>
      <c r="DE36" s="1">
        <f t="shared" si="22"/>
        <v>4.3067190300551424E-7</v>
      </c>
      <c r="DF36" s="1">
        <f t="shared" si="56"/>
        <v>3.0419457460789945E-3</v>
      </c>
      <c r="DG36" s="1">
        <f t="shared" si="68"/>
        <v>4.634512438741305E-4</v>
      </c>
      <c r="DQ36" s="1809">
        <v>35</v>
      </c>
      <c r="DR36" s="1147">
        <v>0</v>
      </c>
      <c r="DS36" s="947">
        <v>397884.3827284975</v>
      </c>
      <c r="DT36" s="833"/>
      <c r="DU36" s="1">
        <v>233998.32122184095</v>
      </c>
      <c r="DV36" s="2">
        <f t="shared" si="61"/>
        <v>233998.32122184095</v>
      </c>
      <c r="DW36" s="2">
        <f t="shared" si="24"/>
        <v>496722.11526748951</v>
      </c>
      <c r="DX36" s="2">
        <f t="shared" si="25"/>
        <v>894606.49799598707</v>
      </c>
      <c r="DY36" s="1">
        <v>104327.04933377379</v>
      </c>
      <c r="DZ36" s="2">
        <f t="shared" si="26"/>
        <v>1185516.5652445608</v>
      </c>
      <c r="EA36" s="1">
        <f t="shared" si="33"/>
        <v>0.14532373192108844</v>
      </c>
      <c r="EB36" s="1">
        <f t="shared" si="34"/>
        <v>0.58645399424029176</v>
      </c>
      <c r="EC36" s="1">
        <f t="shared" si="35"/>
        <v>0.7452303424536223</v>
      </c>
      <c r="ED36" s="123"/>
      <c r="EE36" s="878"/>
      <c r="EF36" s="879"/>
      <c r="EG36" s="879"/>
      <c r="EH36" s="2"/>
      <c r="EM36" s="1809">
        <v>35</v>
      </c>
      <c r="EN36" s="833">
        <v>841715.54003846424</v>
      </c>
      <c r="EO36" s="20">
        <v>232152.376457748</v>
      </c>
      <c r="EP36" s="2">
        <v>12158.250481570813</v>
      </c>
      <c r="EQ36" s="891">
        <v>192470</v>
      </c>
      <c r="ER36" s="1">
        <f t="shared" si="27"/>
        <v>204628.25048157081</v>
      </c>
      <c r="ES36" s="2">
        <f t="shared" si="28"/>
        <v>488706.40609409742</v>
      </c>
      <c r="ET36" s="2">
        <f t="shared" si="29"/>
        <v>1562574.3225903097</v>
      </c>
      <c r="EU36" s="114">
        <v>542679.81131671509</v>
      </c>
      <c r="EV36">
        <v>34</v>
      </c>
      <c r="EW36" s="2">
        <f t="shared" si="30"/>
        <v>1922100.1072906852</v>
      </c>
      <c r="EX36" s="2">
        <f t="shared" si="31"/>
        <v>2464779.9186074003</v>
      </c>
      <c r="EY36" s="1">
        <f t="shared" si="36"/>
        <v>0.15592828476117407</v>
      </c>
      <c r="EZ36" s="1">
        <f t="shared" si="37"/>
        <v>0.11561357472499316</v>
      </c>
      <c r="FA36" s="1">
        <f t="shared" si="38"/>
        <v>0.92915055056712537</v>
      </c>
      <c r="FL36" s="1809">
        <v>35</v>
      </c>
      <c r="FM36" s="2">
        <v>57607.738016620744</v>
      </c>
      <c r="FP36" s="2">
        <v>0</v>
      </c>
      <c r="FQ36" s="2">
        <f t="shared" si="41"/>
        <v>0</v>
      </c>
      <c r="FR36" s="2">
        <f t="shared" ref="FR36:FR43" si="72">$FQ$54*FQ36</f>
        <v>0</v>
      </c>
      <c r="FT36" s="2">
        <v>626488.83949948032</v>
      </c>
      <c r="FU36" s="2">
        <f t="shared" si="65"/>
        <v>2110381.4590915153</v>
      </c>
      <c r="FV36" s="1">
        <f t="shared" si="39"/>
        <v>2167989.197108136</v>
      </c>
      <c r="FW36" s="1">
        <f t="shared" si="40"/>
        <v>2762559.5867122593</v>
      </c>
      <c r="FY36" s="1">
        <f t="shared" si="43"/>
        <v>0</v>
      </c>
      <c r="FZ36" s="1">
        <f t="shared" si="66"/>
        <v>2.2806579014813306</v>
      </c>
      <c r="GL36" s="1809">
        <v>35</v>
      </c>
      <c r="GM36">
        <v>388872.7073672624</v>
      </c>
      <c r="GP36" s="1135">
        <v>22816.625344448858</v>
      </c>
      <c r="GQ36" s="2">
        <f t="shared" si="57"/>
        <v>77316.117549477451</v>
      </c>
      <c r="GR36" s="2">
        <f t="shared" si="58"/>
        <v>466188.82491673983</v>
      </c>
      <c r="GS36" s="1135">
        <v>345905.09115137957</v>
      </c>
      <c r="GW36" s="1">
        <f t="shared" si="71"/>
        <v>0</v>
      </c>
      <c r="GX36" s="1">
        <f t="shared" si="45"/>
        <v>2.8448649999888196E-2</v>
      </c>
      <c r="GY36" s="2">
        <f t="shared" si="70"/>
        <v>2.8836555553267025</v>
      </c>
      <c r="HI36" s="1809">
        <v>35</v>
      </c>
      <c r="HJ36" s="57">
        <v>532803.33452371845</v>
      </c>
      <c r="HK36" s="211">
        <v>11710.826676202294</v>
      </c>
      <c r="HM36" s="57">
        <v>1065253.7723481169</v>
      </c>
      <c r="HN36" s="2">
        <f t="shared" si="46"/>
        <v>4077371.9623723147</v>
      </c>
      <c r="HO36" s="2">
        <f t="shared" si="60"/>
        <v>4621886.123572235</v>
      </c>
      <c r="HP36">
        <v>0</v>
      </c>
      <c r="HQ36" s="2">
        <f t="shared" si="62"/>
        <v>0</v>
      </c>
      <c r="HR36" s="2">
        <v>279742.52179920755</v>
      </c>
      <c r="HS36" s="2">
        <f t="shared" si="69"/>
        <v>2763646.6717319516</v>
      </c>
      <c r="HT36" s="2">
        <f t="shared" si="64"/>
        <v>2763646.6717319516</v>
      </c>
      <c r="HU36" s="1">
        <f t="shared" si="47"/>
        <v>6.5454793119525531E-3</v>
      </c>
      <c r="HV36" s="1">
        <f t="shared" si="48"/>
        <v>0.76893611815320329</v>
      </c>
      <c r="HW36" s="1">
        <f t="shared" si="49"/>
        <v>2.4414475406506817</v>
      </c>
      <c r="HX36" s="2">
        <f t="shared" si="50"/>
        <v>7385532.7953041866</v>
      </c>
      <c r="IF36" s="1809">
        <v>35</v>
      </c>
      <c r="II36" s="57" t="s">
        <v>18</v>
      </c>
      <c r="IJ36" s="57">
        <v>125658.11914147725</v>
      </c>
      <c r="IK36" s="57">
        <f t="shared" si="51"/>
        <v>1084283.234147009</v>
      </c>
      <c r="IL36" s="2">
        <f t="shared" si="52"/>
        <v>1084283.234147009</v>
      </c>
      <c r="IN36" s="57">
        <f t="shared" si="53"/>
        <v>0</v>
      </c>
      <c r="IR36" s="1">
        <f t="shared" si="54"/>
        <v>0</v>
      </c>
      <c r="IS36" s="1">
        <f t="shared" si="63"/>
        <v>1.0610552922537178</v>
      </c>
    </row>
    <row r="37" spans="1:253" ht="15.6" thickTop="1" thickBot="1">
      <c r="A37" s="1119">
        <v>38</v>
      </c>
      <c r="B37" s="2">
        <v>0</v>
      </c>
      <c r="C37" s="2">
        <v>0</v>
      </c>
      <c r="D37" s="2">
        <v>1877.2818369165459</v>
      </c>
      <c r="E37" s="2">
        <v>527695.68985943031</v>
      </c>
      <c r="F37" s="2"/>
      <c r="G37" s="13">
        <f t="shared" si="21"/>
        <v>529572.97169634688</v>
      </c>
      <c r="H37" s="243">
        <v>1877.2818369165459</v>
      </c>
      <c r="I37" s="244">
        <v>527695.68985943031</v>
      </c>
      <c r="J37" s="245">
        <v>0</v>
      </c>
      <c r="K37" s="246">
        <f t="shared" si="32"/>
        <v>529572.97169634688</v>
      </c>
      <c r="L37" s="241">
        <f t="shared" si="0"/>
        <v>2.9038193402970407E-3</v>
      </c>
      <c r="M37" s="242">
        <f t="shared" si="1"/>
        <v>1.4411660697807158</v>
      </c>
      <c r="N37" s="240"/>
      <c r="O37" s="240"/>
      <c r="P37" s="240">
        <f t="shared" si="2"/>
        <v>0</v>
      </c>
      <c r="Q37" s="242">
        <f t="shared" si="3"/>
        <v>0.42165369671597991</v>
      </c>
      <c r="R37" s="358"/>
      <c r="S37" s="1154">
        <v>38</v>
      </c>
      <c r="T37" s="1811"/>
      <c r="U37" s="1811"/>
      <c r="V37" s="1811"/>
      <c r="W37" s="1119"/>
      <c r="X37" s="1146">
        <v>312978.8585308108</v>
      </c>
      <c r="Y37" s="1119">
        <f t="shared" si="4"/>
        <v>312978.8585308108</v>
      </c>
      <c r="Z37" s="1146">
        <v>4213876.8448732374</v>
      </c>
      <c r="AA37" s="57">
        <v>1308.3893190920849</v>
      </c>
      <c r="AB37" s="29">
        <f t="shared" si="5"/>
        <v>0.51158020612928523</v>
      </c>
      <c r="AC37" s="57">
        <f t="shared" si="6"/>
        <v>312978.8585308108</v>
      </c>
      <c r="AD37" s="1">
        <f t="shared" si="7"/>
        <v>0.13897573256844692</v>
      </c>
      <c r="AE37" s="1">
        <f t="shared" si="8"/>
        <v>1.1426695352075862</v>
      </c>
      <c r="AU37" s="137">
        <v>42</v>
      </c>
      <c r="AV37" s="431"/>
      <c r="AW37" s="431">
        <v>50203.783630633989</v>
      </c>
      <c r="AX37" s="431">
        <v>0</v>
      </c>
      <c r="AY37" s="431">
        <v>269814.62388565927</v>
      </c>
      <c r="AZ37" s="57">
        <v>1478179.9782917534</v>
      </c>
      <c r="BA37" s="435">
        <v>50203.783630633989</v>
      </c>
      <c r="BB37" s="2">
        <v>0</v>
      </c>
      <c r="BC37" s="1">
        <v>1478179.9782917534</v>
      </c>
      <c r="BD37" s="1">
        <f t="shared" si="9"/>
        <v>5.0896267358696448E-4</v>
      </c>
      <c r="BE37" s="1">
        <f t="shared" si="10"/>
        <v>0</v>
      </c>
      <c r="BF37" s="1">
        <f t="shared" si="11"/>
        <v>5.4124471208141694E-3</v>
      </c>
      <c r="BN37" s="137">
        <v>42</v>
      </c>
      <c r="BO37" s="1154">
        <v>0</v>
      </c>
      <c r="BP37" s="1154">
        <v>0</v>
      </c>
      <c r="BQ37" s="1807"/>
      <c r="BR37" s="1147"/>
      <c r="BS37" s="57"/>
      <c r="BT37" s="470">
        <f t="shared" si="12"/>
        <v>0</v>
      </c>
      <c r="BU37" s="467">
        <f t="shared" si="13"/>
        <v>0</v>
      </c>
      <c r="BV37" s="470">
        <f t="shared" si="14"/>
        <v>0</v>
      </c>
      <c r="BW37" s="1">
        <f t="shared" si="15"/>
        <v>0</v>
      </c>
      <c r="BX37" s="1">
        <f t="shared" si="16"/>
        <v>0</v>
      </c>
      <c r="BY37" s="1">
        <f t="shared" si="17"/>
        <v>0</v>
      </c>
      <c r="CH37" s="1">
        <v>37</v>
      </c>
      <c r="CI37" s="1">
        <v>2218497.848673631</v>
      </c>
      <c r="CJ37" s="1">
        <v>11983.175742896199</v>
      </c>
      <c r="CK37" s="1">
        <v>1048142.3600047913</v>
      </c>
      <c r="CL37" s="1">
        <f t="shared" si="18"/>
        <v>9.5700550737743365E-3</v>
      </c>
      <c r="CM37" s="1">
        <f t="shared" si="19"/>
        <v>2.8666585443145927E-5</v>
      </c>
      <c r="CN37" s="1">
        <f t="shared" si="20"/>
        <v>3.2128888831836153E-3</v>
      </c>
      <c r="CX37" s="1">
        <v>37</v>
      </c>
      <c r="CY37" s="2"/>
      <c r="CZ37" s="2">
        <f t="shared" si="23"/>
        <v>0</v>
      </c>
      <c r="DA37" s="2">
        <v>151754.36303687521</v>
      </c>
      <c r="DB37" s="2">
        <f t="shared" si="55"/>
        <v>346690.6016705244</v>
      </c>
      <c r="DC37" s="2">
        <v>5089.62785616562</v>
      </c>
      <c r="DD37" s="2">
        <f t="shared" si="67"/>
        <v>15531.858735421529</v>
      </c>
      <c r="DE37" s="1">
        <f t="shared" si="22"/>
        <v>0</v>
      </c>
      <c r="DF37" s="1">
        <f t="shared" si="56"/>
        <v>1.60785943561419E-3</v>
      </c>
      <c r="DG37" s="1">
        <f t="shared" si="68"/>
        <v>6.6522662063231224E-4</v>
      </c>
      <c r="DQ37" s="1809">
        <v>36</v>
      </c>
      <c r="DR37" s="1810">
        <v>0</v>
      </c>
      <c r="DS37" s="947">
        <v>50144.229623045925</v>
      </c>
      <c r="DT37" s="833"/>
      <c r="DU37" s="1">
        <v>127452.85315528233</v>
      </c>
      <c r="DV37" s="2">
        <f t="shared" si="61"/>
        <v>127452.85315528233</v>
      </c>
      <c r="DW37" s="2">
        <f t="shared" si="24"/>
        <v>270551.73082267161</v>
      </c>
      <c r="DX37" s="2">
        <f t="shared" si="25"/>
        <v>320695.96044571756</v>
      </c>
      <c r="DY37" s="1">
        <v>97608.306952870102</v>
      </c>
      <c r="DZ37" s="2">
        <f t="shared" si="26"/>
        <v>1109168.3847771063</v>
      </c>
      <c r="EA37" s="1">
        <f t="shared" si="33"/>
        <v>1.8314733876100695E-2</v>
      </c>
      <c r="EB37" s="1">
        <f t="shared" si="34"/>
        <v>0.3194263720352713</v>
      </c>
      <c r="EC37" s="1">
        <f t="shared" si="35"/>
        <v>0.69723693405807208</v>
      </c>
      <c r="ED37" s="123"/>
      <c r="EE37" s="878"/>
      <c r="EF37" s="879"/>
      <c r="EG37" s="879"/>
      <c r="EH37" s="2"/>
      <c r="EM37" s="1809">
        <v>36</v>
      </c>
      <c r="EN37" s="833">
        <v>872162.60957412631</v>
      </c>
      <c r="EO37" s="20">
        <v>8184.4508899152142</v>
      </c>
      <c r="EQ37" s="891">
        <v>241272</v>
      </c>
      <c r="ER37" s="1">
        <f t="shared" si="27"/>
        <v>241272</v>
      </c>
      <c r="ES37" s="2">
        <f t="shared" si="28"/>
        <v>576221.37575649342</v>
      </c>
      <c r="ET37" s="2">
        <f t="shared" si="29"/>
        <v>1456568.4362205351</v>
      </c>
      <c r="EU37" s="114">
        <v>505224.68165783619</v>
      </c>
      <c r="EV37">
        <v>29</v>
      </c>
      <c r="EW37" s="2">
        <f t="shared" si="30"/>
        <v>1639438.3268067609</v>
      </c>
      <c r="EX37" s="2">
        <f t="shared" si="31"/>
        <v>2144663.0084645972</v>
      </c>
      <c r="EY37" s="1">
        <f>(EO37/EO$51)*100</f>
        <v>5.4971971790640341E-3</v>
      </c>
      <c r="EZ37" s="1">
        <f t="shared" si="37"/>
        <v>0.13631704486258492</v>
      </c>
      <c r="FA37" s="1">
        <f t="shared" si="38"/>
        <v>0.80847575885059586</v>
      </c>
      <c r="FL37" s="1809">
        <v>36</v>
      </c>
      <c r="FM37" s="2">
        <v>110449.11931106176</v>
      </c>
      <c r="FP37" s="2">
        <v>10047.156908237714</v>
      </c>
      <c r="FQ37" s="2">
        <f t="shared" si="41"/>
        <v>10047.156908237714</v>
      </c>
      <c r="FR37" s="2">
        <f t="shared" si="72"/>
        <v>7686.4065978549233</v>
      </c>
      <c r="FT37" s="2">
        <v>399593.23028653197</v>
      </c>
      <c r="FU37" s="2">
        <f t="shared" si="65"/>
        <v>1346064.1135266109</v>
      </c>
      <c r="FV37" s="1">
        <f t="shared" si="39"/>
        <v>1464199.6394355276</v>
      </c>
      <c r="FW37" s="1">
        <f t="shared" si="40"/>
        <v>1865755.9531102658</v>
      </c>
      <c r="FY37" s="1">
        <f t="shared" si="43"/>
        <v>2.2599957348331163E-2</v>
      </c>
      <c r="FZ37" s="1">
        <f t="shared" si="66"/>
        <v>1.454671497036595</v>
      </c>
      <c r="GL37" s="1809">
        <v>36</v>
      </c>
      <c r="GM37">
        <v>236464.83996086157</v>
      </c>
      <c r="GP37" s="1135">
        <v>3403.3392991661617</v>
      </c>
      <c r="GQ37" s="2">
        <f t="shared" si="57"/>
        <v>11532.510936333791</v>
      </c>
      <c r="GR37" s="2">
        <f t="shared" si="58"/>
        <v>247997.35089719537</v>
      </c>
      <c r="GS37" s="1135">
        <v>293859.10399155284</v>
      </c>
      <c r="GW37" s="1">
        <f t="shared" si="71"/>
        <v>0</v>
      </c>
      <c r="GX37" s="1">
        <f t="shared" si="45"/>
        <v>4.2434149262304795E-3</v>
      </c>
      <c r="GY37" s="2">
        <f t="shared" si="70"/>
        <v>2.4497715106995148</v>
      </c>
      <c r="HI37" s="1809">
        <v>36</v>
      </c>
      <c r="HJ37" s="57">
        <v>192377.16635039434</v>
      </c>
      <c r="HK37" s="211">
        <v>15627.093214251036</v>
      </c>
      <c r="HM37" s="57">
        <v>565740.96613304352</v>
      </c>
      <c r="HN37" s="2">
        <f t="shared" si="46"/>
        <v>2165433.6395276082</v>
      </c>
      <c r="HO37" s="2">
        <f t="shared" si="60"/>
        <v>2373437.8990922538</v>
      </c>
      <c r="HP37">
        <v>0</v>
      </c>
      <c r="HQ37" s="2">
        <f t="shared" si="62"/>
        <v>0</v>
      </c>
      <c r="HR37" s="2">
        <v>211347.51580863268</v>
      </c>
      <c r="HS37" s="2">
        <f t="shared" si="69"/>
        <v>2087955.2199882912</v>
      </c>
      <c r="HT37" s="2">
        <f t="shared" si="64"/>
        <v>2087955.2199882912</v>
      </c>
      <c r="HU37" s="1">
        <f t="shared" si="47"/>
        <v>8.7343804300077724E-3</v>
      </c>
      <c r="HV37" s="1">
        <f t="shared" si="48"/>
        <v>0.3948652294780341</v>
      </c>
      <c r="HW37" s="1">
        <f t="shared" si="49"/>
        <v>1.8445314261661849</v>
      </c>
      <c r="HX37" s="2">
        <f t="shared" si="50"/>
        <v>4461393.1190805454</v>
      </c>
      <c r="IF37" s="1809">
        <v>36</v>
      </c>
      <c r="II37" s="57" t="s">
        <v>18</v>
      </c>
      <c r="IJ37" s="57">
        <v>29278.54990624703</v>
      </c>
      <c r="IK37" s="57">
        <f t="shared" si="51"/>
        <v>252639.78961627901</v>
      </c>
      <c r="IL37" s="2">
        <f t="shared" si="52"/>
        <v>252639.78961627901</v>
      </c>
      <c r="IN37" s="57">
        <f t="shared" si="53"/>
        <v>0</v>
      </c>
      <c r="IR37" s="1">
        <f t="shared" si="54"/>
        <v>0</v>
      </c>
      <c r="IS37" s="1">
        <f t="shared" si="63"/>
        <v>0.24722764067923786</v>
      </c>
    </row>
    <row r="38" spans="1:253" ht="15.6" thickTop="1" thickBot="1">
      <c r="A38" s="1119">
        <v>39</v>
      </c>
      <c r="B38" s="2">
        <v>0</v>
      </c>
      <c r="C38" s="2">
        <v>0</v>
      </c>
      <c r="D38" s="2">
        <v>1393.9564341467069</v>
      </c>
      <c r="E38" s="2">
        <v>540576.6501169604</v>
      </c>
      <c r="F38" s="2"/>
      <c r="G38" s="13">
        <f t="shared" si="21"/>
        <v>541970.60655110714</v>
      </c>
      <c r="H38" s="243">
        <v>1393.9564341467069</v>
      </c>
      <c r="I38" s="244">
        <v>540576.6501169604</v>
      </c>
      <c r="J38" s="245">
        <v>0</v>
      </c>
      <c r="K38" s="246">
        <f t="shared" si="32"/>
        <v>541970.60655110714</v>
      </c>
      <c r="L38" s="241">
        <f t="shared" si="0"/>
        <v>2.1562013616747361E-3</v>
      </c>
      <c r="M38" s="242">
        <f t="shared" si="1"/>
        <v>1.4763446835652843</v>
      </c>
      <c r="N38" s="240"/>
      <c r="O38" s="240"/>
      <c r="P38" s="240">
        <f t="shared" si="2"/>
        <v>0</v>
      </c>
      <c r="Q38" s="242">
        <f t="shared" si="3"/>
        <v>0.43152487377076731</v>
      </c>
      <c r="R38" s="358"/>
      <c r="S38" s="1154">
        <v>39</v>
      </c>
      <c r="T38" s="1811"/>
      <c r="U38" s="1811"/>
      <c r="V38" s="1811"/>
      <c r="W38" s="1119"/>
      <c r="X38" s="1146">
        <v>191284.59145446881</v>
      </c>
      <c r="Y38" s="1119">
        <f t="shared" si="4"/>
        <v>191284.59145446881</v>
      </c>
      <c r="Z38" s="1146">
        <v>0</v>
      </c>
      <c r="AA38" s="57">
        <v>1102.4970978432405</v>
      </c>
      <c r="AB38" s="29">
        <f t="shared" si="5"/>
        <v>0.4310763503961989</v>
      </c>
      <c r="AC38" s="57">
        <f t="shared" si="6"/>
        <v>191284.59145446881</v>
      </c>
      <c r="AD38" s="1">
        <f t="shared" si="7"/>
        <v>8.4938376832324802E-2</v>
      </c>
      <c r="AE38" s="1">
        <f t="shared" si="8"/>
        <v>0</v>
      </c>
      <c r="AU38" s="137">
        <v>43</v>
      </c>
      <c r="AV38" s="431"/>
      <c r="AX38" s="431">
        <v>0</v>
      </c>
      <c r="AY38" s="431">
        <v>87147.135976006422</v>
      </c>
      <c r="AZ38" s="57">
        <v>477435.76574927237</v>
      </c>
      <c r="BA38" s="435">
        <v>0</v>
      </c>
      <c r="BB38" s="2">
        <v>0</v>
      </c>
      <c r="BC38" s="1">
        <v>477435.76574927237</v>
      </c>
      <c r="BD38" s="1">
        <f t="shared" si="9"/>
        <v>0</v>
      </c>
      <c r="BE38" s="1">
        <f t="shared" si="10"/>
        <v>0</v>
      </c>
      <c r="BF38" s="1">
        <f t="shared" si="11"/>
        <v>1.7481604903684641E-3</v>
      </c>
      <c r="BG38" s="2"/>
      <c r="BN38" s="137">
        <v>43</v>
      </c>
      <c r="BO38" s="1807"/>
      <c r="BP38" s="1119"/>
      <c r="BQ38" s="1807"/>
      <c r="BR38" s="1807"/>
      <c r="BS38" s="57"/>
      <c r="BT38" s="470">
        <f t="shared" si="12"/>
        <v>0</v>
      </c>
      <c r="BU38" s="467">
        <f t="shared" si="13"/>
        <v>0</v>
      </c>
      <c r="BV38" s="470">
        <f t="shared" si="14"/>
        <v>0</v>
      </c>
      <c r="BW38" s="1">
        <f t="shared" si="15"/>
        <v>0</v>
      </c>
      <c r="BX38" s="1">
        <f t="shared" si="16"/>
        <v>0</v>
      </c>
      <c r="BY38" s="1">
        <f t="shared" si="17"/>
        <v>0</v>
      </c>
      <c r="CH38" s="1">
        <v>38</v>
      </c>
      <c r="CI38" s="1">
        <v>2450978.9244064749</v>
      </c>
      <c r="CJ38" s="1">
        <v>0</v>
      </c>
      <c r="CK38" s="1">
        <v>288722.80735254497</v>
      </c>
      <c r="CL38" s="1">
        <f t="shared" si="18"/>
        <v>1.0572921359943506E-2</v>
      </c>
      <c r="CM38" s="1">
        <f t="shared" si="19"/>
        <v>0</v>
      </c>
      <c r="CN38" s="1">
        <f t="shared" si="20"/>
        <v>8.8502700917489482E-4</v>
      </c>
      <c r="CX38" s="1">
        <v>38</v>
      </c>
      <c r="CY38" s="2"/>
      <c r="CZ38" s="2">
        <f t="shared" si="23"/>
        <v>0</v>
      </c>
      <c r="DA38" s="2">
        <v>72675.495870966814</v>
      </c>
      <c r="DB38" s="2">
        <f t="shared" si="55"/>
        <v>166030.88626906084</v>
      </c>
      <c r="DC38" s="2">
        <v>0</v>
      </c>
      <c r="DD38" s="2">
        <f t="shared" si="67"/>
        <v>0</v>
      </c>
      <c r="DE38" s="1">
        <f t="shared" si="22"/>
        <v>0</v>
      </c>
      <c r="DF38" s="1">
        <f t="shared" si="56"/>
        <v>7.7000739508016592E-4</v>
      </c>
      <c r="DG38" s="1">
        <f t="shared" si="68"/>
        <v>0</v>
      </c>
      <c r="DQ38" s="1809">
        <v>37</v>
      </c>
      <c r="DR38" s="1810"/>
      <c r="DS38" s="947">
        <v>67320.532277312755</v>
      </c>
      <c r="DT38" s="833"/>
      <c r="DU38" s="1">
        <v>57319.052918662375</v>
      </c>
      <c r="DV38" s="2">
        <f t="shared" si="61"/>
        <v>57319.052918662375</v>
      </c>
      <c r="DW38" s="2">
        <f t="shared" si="24"/>
        <v>121674.55331397333</v>
      </c>
      <c r="DX38" s="2">
        <f t="shared" si="25"/>
        <v>188995.08559128607</v>
      </c>
      <c r="DY38" s="1">
        <v>70145.034679894234</v>
      </c>
      <c r="DZ38" s="2">
        <f t="shared" si="26"/>
        <v>797090.50638076512</v>
      </c>
      <c r="EA38" s="1">
        <f t="shared" si="33"/>
        <v>2.4588225650788973E-2</v>
      </c>
      <c r="EB38" s="1">
        <f t="shared" si="34"/>
        <v>0.14365482348205258</v>
      </c>
      <c r="EC38" s="1">
        <f t="shared" si="35"/>
        <v>0.50106092858696494</v>
      </c>
      <c r="ED38" s="123"/>
      <c r="EE38" s="878"/>
      <c r="EF38" s="879"/>
      <c r="EG38" s="879"/>
      <c r="EH38" s="2"/>
      <c r="EM38" s="1809">
        <v>37</v>
      </c>
      <c r="EN38" s="833">
        <v>1367417.7184976689</v>
      </c>
      <c r="EO38"/>
      <c r="EQ38" s="891">
        <v>118098</v>
      </c>
      <c r="ER38" s="1">
        <f t="shared" si="27"/>
        <v>118098</v>
      </c>
      <c r="ES38" s="2">
        <f t="shared" si="28"/>
        <v>282049.27233201679</v>
      </c>
      <c r="ET38" s="2">
        <f t="shared" si="29"/>
        <v>1649466.9908296857</v>
      </c>
      <c r="EU38" s="114">
        <v>427027.53293816547</v>
      </c>
      <c r="EV38">
        <v>15</v>
      </c>
      <c r="EW38" s="2">
        <f t="shared" si="30"/>
        <v>847985.34145177295</v>
      </c>
      <c r="EX38" s="2">
        <f t="shared" si="31"/>
        <v>1275012.8743899385</v>
      </c>
      <c r="EY38" s="1">
        <f>(EO38/EO$51)*100</f>
        <v>0</v>
      </c>
      <c r="EZ38" s="1">
        <f t="shared" si="37"/>
        <v>6.6724569631708405E-2</v>
      </c>
      <c r="FA38" s="1">
        <f t="shared" si="38"/>
        <v>0.48064287820428514</v>
      </c>
      <c r="FL38" s="1809">
        <v>37</v>
      </c>
      <c r="FM38" s="2">
        <v>100265.23834246119</v>
      </c>
      <c r="FP38" s="1">
        <v>0</v>
      </c>
      <c r="FQ38" s="2"/>
      <c r="FR38" s="2">
        <f t="shared" si="72"/>
        <v>0</v>
      </c>
      <c r="FT38" s="2">
        <v>282847.97001081571</v>
      </c>
      <c r="FU38" s="2">
        <f t="shared" si="65"/>
        <v>952797.67813484499</v>
      </c>
      <c r="FV38" s="1">
        <f t="shared" si="39"/>
        <v>1053062.9164773063</v>
      </c>
      <c r="FW38" s="1">
        <f t="shared" si="40"/>
        <v>1341865.1067108845</v>
      </c>
      <c r="FY38" s="1">
        <f t="shared" si="43"/>
        <v>0</v>
      </c>
      <c r="FZ38" s="1">
        <f t="shared" si="66"/>
        <v>1.0296743007241655</v>
      </c>
      <c r="GL38" s="1809">
        <v>37</v>
      </c>
      <c r="GM38">
        <v>32725.500395133706</v>
      </c>
      <c r="GP38" s="1135">
        <v>3403.3392991661617</v>
      </c>
      <c r="GQ38" s="2">
        <f t="shared" si="57"/>
        <v>11532.510936333791</v>
      </c>
      <c r="GR38" s="2">
        <f t="shared" si="58"/>
        <v>44258.011331467496</v>
      </c>
      <c r="GS38" s="1135">
        <v>255279.51777839987</v>
      </c>
      <c r="GW38" s="1">
        <f t="shared" si="71"/>
        <v>0</v>
      </c>
      <c r="GX38" s="1">
        <f t="shared" si="45"/>
        <v>4.2434149262304795E-3</v>
      </c>
      <c r="GY38" s="2">
        <f t="shared" si="70"/>
        <v>2.1281508090918675</v>
      </c>
      <c r="HI38" s="1809">
        <v>37</v>
      </c>
      <c r="HJ38" s="57">
        <v>392026.97876281373</v>
      </c>
      <c r="HK38" s="211">
        <v>1336.0856455069365</v>
      </c>
      <c r="HM38" s="57">
        <v>452899.24378302769</v>
      </c>
      <c r="HN38" s="2">
        <f t="shared" si="46"/>
        <v>1733519.9614548499</v>
      </c>
      <c r="HO38" s="2">
        <f t="shared" si="60"/>
        <v>2126883.0258631706</v>
      </c>
      <c r="HP38">
        <v>0</v>
      </c>
      <c r="HQ38" s="2">
        <f t="shared" si="62"/>
        <v>0</v>
      </c>
      <c r="HR38" s="2">
        <v>143736.8843895247</v>
      </c>
      <c r="HS38" s="2">
        <f t="shared" si="69"/>
        <v>1420012.8017483095</v>
      </c>
      <c r="HT38" s="2">
        <f t="shared" si="64"/>
        <v>1420012.8017483095</v>
      </c>
      <c r="HU38" s="1">
        <f t="shared" si="47"/>
        <v>7.4677229827283616E-4</v>
      </c>
      <c r="HV38" s="1">
        <f t="shared" si="48"/>
        <v>0.3538462727007094</v>
      </c>
      <c r="HW38" s="1">
        <f t="shared" si="49"/>
        <v>1.2544609258419526</v>
      </c>
      <c r="HX38" s="2">
        <f t="shared" si="50"/>
        <v>3546895.8276114799</v>
      </c>
      <c r="IF38" s="1809">
        <v>37</v>
      </c>
      <c r="II38" s="57" t="s">
        <v>18</v>
      </c>
      <c r="IJ38" s="57">
        <v>25469.87486372258</v>
      </c>
      <c r="IK38" s="57">
        <f t="shared" si="51"/>
        <v>219775.35935790598</v>
      </c>
      <c r="IL38" s="2">
        <f t="shared" si="52"/>
        <v>219775.35935790598</v>
      </c>
      <c r="IN38" s="57">
        <f t="shared" si="53"/>
        <v>0</v>
      </c>
      <c r="IR38" s="1">
        <f t="shared" si="54"/>
        <v>0</v>
      </c>
      <c r="IS38" s="1">
        <f t="shared" si="63"/>
        <v>0.21506724517152492</v>
      </c>
    </row>
    <row r="39" spans="1:253" ht="15.6" thickTop="1" thickBot="1">
      <c r="A39" s="1119">
        <v>40</v>
      </c>
      <c r="B39" s="2">
        <v>0</v>
      </c>
      <c r="C39" s="2">
        <v>0</v>
      </c>
      <c r="D39" s="2">
        <v>0</v>
      </c>
      <c r="E39" s="2">
        <v>174853.56498964509</v>
      </c>
      <c r="F39" s="2"/>
      <c r="G39" s="13">
        <f t="shared" si="21"/>
        <v>174853.56498964509</v>
      </c>
      <c r="H39" s="243">
        <v>0</v>
      </c>
      <c r="I39" s="244">
        <v>174853.56498964509</v>
      </c>
      <c r="J39" s="245">
        <v>0</v>
      </c>
      <c r="K39" s="246">
        <f t="shared" si="32"/>
        <v>174853.56498964509</v>
      </c>
      <c r="L39" s="241">
        <f t="shared" si="0"/>
        <v>0</v>
      </c>
      <c r="M39" s="242">
        <f t="shared" si="1"/>
        <v>0.47753474187064271</v>
      </c>
      <c r="N39" s="240"/>
      <c r="O39" s="240"/>
      <c r="P39" s="240">
        <f t="shared" si="2"/>
        <v>0</v>
      </c>
      <c r="Q39" s="242">
        <f t="shared" si="3"/>
        <v>0.13922094971290674</v>
      </c>
      <c r="R39" s="358"/>
      <c r="S39" s="1154">
        <v>40</v>
      </c>
      <c r="T39" s="1811"/>
      <c r="U39" s="1811"/>
      <c r="V39" s="1811"/>
      <c r="W39" s="1119"/>
      <c r="X39" s="1146">
        <v>75531.099103738161</v>
      </c>
      <c r="Y39" s="1119">
        <f t="shared" si="4"/>
        <v>75531.099103738161</v>
      </c>
      <c r="Z39" s="1146">
        <v>0</v>
      </c>
      <c r="AA39" s="57">
        <v>155.09534685856971</v>
      </c>
      <c r="AB39" s="29">
        <f t="shared" si="5"/>
        <v>6.0642278531177644E-2</v>
      </c>
      <c r="AC39" s="57">
        <f t="shared" si="6"/>
        <v>75531.099103738161</v>
      </c>
      <c r="AD39" s="1">
        <f t="shared" si="7"/>
        <v>3.3538974098496856E-2</v>
      </c>
      <c r="AE39" s="1">
        <f t="shared" si="8"/>
        <v>0</v>
      </c>
      <c r="AU39" s="137">
        <v>44</v>
      </c>
      <c r="AV39" s="431"/>
      <c r="AW39" s="431"/>
      <c r="AX39" s="431">
        <v>0</v>
      </c>
      <c r="AY39" s="431">
        <v>30996.252090138169</v>
      </c>
      <c r="AZ39" s="57">
        <v>169813.03156178331</v>
      </c>
      <c r="BA39" s="435">
        <v>0</v>
      </c>
      <c r="BB39" s="2">
        <v>0</v>
      </c>
      <c r="BC39" s="1">
        <v>169813.03156178331</v>
      </c>
      <c r="BD39" s="1">
        <f t="shared" si="9"/>
        <v>0</v>
      </c>
      <c r="BE39" s="1">
        <f t="shared" si="10"/>
        <v>0</v>
      </c>
      <c r="BF39" s="1">
        <f t="shared" si="11"/>
        <v>6.2178088409467892E-4</v>
      </c>
      <c r="BG39" s="2"/>
      <c r="BN39" s="137">
        <v>44</v>
      </c>
      <c r="BO39" s="1807"/>
      <c r="BP39" s="1807"/>
      <c r="BQ39" s="1807"/>
      <c r="BR39" s="1807"/>
      <c r="BS39" s="57"/>
      <c r="BT39" s="470">
        <f t="shared" si="12"/>
        <v>0</v>
      </c>
      <c r="BU39" s="467">
        <f t="shared" si="13"/>
        <v>0</v>
      </c>
      <c r="BV39" s="470">
        <f t="shared" si="14"/>
        <v>0</v>
      </c>
      <c r="BW39" s="1">
        <f t="shared" si="15"/>
        <v>0</v>
      </c>
      <c r="BX39" s="1">
        <f t="shared" si="16"/>
        <v>0</v>
      </c>
      <c r="BY39" s="1">
        <f t="shared" si="17"/>
        <v>0</v>
      </c>
      <c r="CH39" s="1">
        <v>39</v>
      </c>
      <c r="CI39" s="1">
        <v>1681834.3118274589</v>
      </c>
      <c r="CJ39" s="1">
        <v>11983.175742896196</v>
      </c>
      <c r="CK39" s="1">
        <v>419256.9440019165</v>
      </c>
      <c r="CL39" s="1">
        <f t="shared" si="18"/>
        <v>7.2550203277298537E-3</v>
      </c>
      <c r="CM39" s="1">
        <f t="shared" si="19"/>
        <v>2.8666585443145917E-5</v>
      </c>
      <c r="CN39" s="1">
        <f t="shared" si="20"/>
        <v>1.285155553273446E-3</v>
      </c>
      <c r="CX39" s="1">
        <v>39</v>
      </c>
      <c r="CY39" s="2"/>
      <c r="CZ39" s="2">
        <f t="shared" si="23"/>
        <v>0</v>
      </c>
      <c r="DA39" s="2">
        <v>80484.622751853982</v>
      </c>
      <c r="DB39" s="2">
        <f t="shared" si="55"/>
        <v>183871.23591487875</v>
      </c>
      <c r="DC39" s="2">
        <v>1100.4060340066123</v>
      </c>
      <c r="DD39" s="2">
        <f t="shared" si="67"/>
        <v>3358.0748052318891</v>
      </c>
      <c r="DE39" s="1">
        <f t="shared" si="22"/>
        <v>0</v>
      </c>
      <c r="DF39" s="1">
        <f t="shared" si="56"/>
        <v>8.5274622438349099E-4</v>
      </c>
      <c r="DG39" s="1">
        <f t="shared" si="68"/>
        <v>1.4382571928885709E-4</v>
      </c>
      <c r="DQ39" s="1809">
        <v>38</v>
      </c>
      <c r="DR39" s="1810"/>
      <c r="DS39" s="947">
        <v>44184.185740209061</v>
      </c>
      <c r="DT39" s="833"/>
      <c r="DU39" s="1">
        <v>62836.445722816272</v>
      </c>
      <c r="DV39" s="2">
        <f t="shared" si="61"/>
        <v>62836.445722816272</v>
      </c>
      <c r="DW39" s="2">
        <f t="shared" si="24"/>
        <v>133386.65026462934</v>
      </c>
      <c r="DX39" s="2">
        <f t="shared" si="25"/>
        <v>177570.83600483841</v>
      </c>
      <c r="DY39" s="1">
        <v>50951.517532508144</v>
      </c>
      <c r="DZ39" s="2">
        <f t="shared" si="26"/>
        <v>578985.68439223117</v>
      </c>
      <c r="EA39" s="1">
        <f t="shared" si="33"/>
        <v>1.6137880857824957E-2</v>
      </c>
      <c r="EB39" s="1">
        <f t="shared" si="34"/>
        <v>0.1574826878483149</v>
      </c>
      <c r="EC39" s="1">
        <f t="shared" si="35"/>
        <v>0.36395754602244423</v>
      </c>
      <c r="ED39" s="123"/>
      <c r="EE39" s="878"/>
      <c r="EF39" s="879"/>
      <c r="EG39" s="879"/>
      <c r="EH39" s="2"/>
      <c r="EM39" s="1809">
        <v>38</v>
      </c>
      <c r="EN39" s="833">
        <v>1073646.5086224552</v>
      </c>
      <c r="EO39"/>
      <c r="EQ39" s="891">
        <v>60008</v>
      </c>
      <c r="ER39" s="1">
        <f t="shared" si="27"/>
        <v>60008</v>
      </c>
      <c r="ES39" s="2">
        <f t="shared" si="28"/>
        <v>143314.98191417014</v>
      </c>
      <c r="ET39" s="2">
        <f t="shared" si="29"/>
        <v>1216961.4905366253</v>
      </c>
      <c r="EU39" s="114">
        <v>358731.86508732307</v>
      </c>
      <c r="EV39">
        <v>10</v>
      </c>
      <c r="EW39" s="2">
        <f t="shared" si="30"/>
        <v>565323.56096784864</v>
      </c>
      <c r="EX39" s="2">
        <f t="shared" si="31"/>
        <v>924055.42605517176</v>
      </c>
      <c r="EY39" s="1">
        <f t="shared" ref="EY39:EY49" si="73">EO39/EO$51</f>
        <v>0</v>
      </c>
      <c r="EZ39" s="1">
        <f t="shared" si="37"/>
        <v>3.3904113316563858E-2</v>
      </c>
      <c r="FA39" s="1">
        <f t="shared" si="38"/>
        <v>0.34834209796662235</v>
      </c>
      <c r="FL39" s="1809">
        <v>38</v>
      </c>
      <c r="FM39" s="2">
        <v>8711.2532348031291</v>
      </c>
      <c r="FP39" s="1">
        <v>0</v>
      </c>
      <c r="FQ39" s="2"/>
      <c r="FR39" s="1">
        <f t="shared" si="72"/>
        <v>0</v>
      </c>
      <c r="FT39" s="2">
        <v>201139.61039179916</v>
      </c>
      <c r="FU39" s="2">
        <f t="shared" si="65"/>
        <v>677556.05159522733</v>
      </c>
      <c r="FV39" s="1">
        <f t="shared" si="39"/>
        <v>686267.30483003042</v>
      </c>
      <c r="FW39" s="1">
        <f t="shared" si="40"/>
        <v>874475.90815224091</v>
      </c>
      <c r="FY39" s="1">
        <f t="shared" si="43"/>
        <v>0</v>
      </c>
      <c r="FZ39" s="1">
        <f t="shared" si="66"/>
        <v>0.73222476254712854</v>
      </c>
      <c r="GL39" s="1809">
        <v>38</v>
      </c>
      <c r="GM39">
        <v>97511.138950494904</v>
      </c>
      <c r="GP39" s="1135">
        <v>0</v>
      </c>
      <c r="GQ39" s="2">
        <f t="shared" si="57"/>
        <v>0</v>
      </c>
      <c r="GR39" s="2">
        <f t="shared" si="58"/>
        <v>97511.138950494904</v>
      </c>
      <c r="GS39" s="1135">
        <v>187342.01520566439</v>
      </c>
      <c r="GW39" s="1">
        <f t="shared" si="71"/>
        <v>0</v>
      </c>
      <c r="GX39" s="1">
        <f t="shared" ref="GX39:GX47" si="74">GQ39/$GQ$51</f>
        <v>0</v>
      </c>
      <c r="GY39" s="2">
        <f t="shared" si="70"/>
        <v>1.5617863301627184</v>
      </c>
      <c r="HI39" s="1809">
        <v>38</v>
      </c>
      <c r="HJ39" s="57">
        <v>207095.53051327303</v>
      </c>
      <c r="HK39" s="211">
        <v>0</v>
      </c>
      <c r="HM39" s="57">
        <v>325251.66508023359</v>
      </c>
      <c r="HN39" s="2">
        <f t="shared" si="46"/>
        <v>1244935.2955491547</v>
      </c>
      <c r="HO39" s="2">
        <f t="shared" si="60"/>
        <v>1452030.8260624278</v>
      </c>
      <c r="HP39">
        <v>0</v>
      </c>
      <c r="HQ39" s="2">
        <f t="shared" si="62"/>
        <v>0</v>
      </c>
      <c r="HR39" s="2">
        <v>110714.49105157181</v>
      </c>
      <c r="HS39" s="2">
        <f t="shared" si="69"/>
        <v>1093776.2794845875</v>
      </c>
      <c r="HT39" s="2">
        <f t="shared" si="64"/>
        <v>1093776.2794845875</v>
      </c>
      <c r="HU39" s="1">
        <f t="shared" ref="HU39:HU49" si="75">HK39/$HK$51</f>
        <v>0</v>
      </c>
      <c r="HV39" s="1">
        <f t="shared" si="48"/>
        <v>0.24157214543578587</v>
      </c>
      <c r="HW39" s="1">
        <f t="shared" si="49"/>
        <v>0.96625861579338079</v>
      </c>
      <c r="HX39" s="2">
        <f t="shared" si="50"/>
        <v>2545807.1055470156</v>
      </c>
      <c r="IF39" s="1809">
        <v>38</v>
      </c>
      <c r="II39" s="57" t="s">
        <v>18</v>
      </c>
      <c r="IJ39" s="57">
        <v>22079.554575165377</v>
      </c>
      <c r="IK39" s="57">
        <f t="shared" si="51"/>
        <v>190520.84343496611</v>
      </c>
      <c r="IL39" s="2">
        <f t="shared" si="52"/>
        <v>190520.84343496611</v>
      </c>
      <c r="IN39" s="57">
        <f t="shared" si="53"/>
        <v>0</v>
      </c>
      <c r="IR39" s="1">
        <f t="shared" si="54"/>
        <v>0</v>
      </c>
      <c r="IS39" s="1">
        <f t="shared" si="63"/>
        <v>0.18643943099456289</v>
      </c>
    </row>
    <row r="40" spans="1:253" ht="15.6" thickTop="1" thickBot="1">
      <c r="A40" s="1119">
        <v>41</v>
      </c>
      <c r="B40" s="2">
        <v>0</v>
      </c>
      <c r="C40" s="2">
        <v>0</v>
      </c>
      <c r="D40" s="2">
        <v>0</v>
      </c>
      <c r="E40" s="2">
        <v>48882.680662510356</v>
      </c>
      <c r="F40" s="2"/>
      <c r="G40" s="13">
        <f t="shared" si="21"/>
        <v>48882.680662510356</v>
      </c>
      <c r="H40" s="243">
        <v>0</v>
      </c>
      <c r="I40" s="244">
        <v>48882.680662510356</v>
      </c>
      <c r="J40" s="245">
        <v>0</v>
      </c>
      <c r="K40" s="246">
        <f t="shared" si="32"/>
        <v>48882.680662510356</v>
      </c>
      <c r="L40" s="241">
        <f t="shared" si="0"/>
        <v>0</v>
      </c>
      <c r="M40" s="242">
        <f t="shared" si="1"/>
        <v>0.13350130032235452</v>
      </c>
      <c r="N40" s="240"/>
      <c r="O40" s="240"/>
      <c r="P40" s="240">
        <f t="shared" si="2"/>
        <v>0</v>
      </c>
      <c r="Q40" s="242">
        <f t="shared" si="3"/>
        <v>3.8921100789397443E-2</v>
      </c>
      <c r="R40" s="358"/>
      <c r="S40" s="1154">
        <v>41</v>
      </c>
      <c r="T40" s="1811"/>
      <c r="U40" s="1811"/>
      <c r="V40" s="1811"/>
      <c r="W40" s="1119"/>
      <c r="X40" s="1146">
        <v>53044.580665816029</v>
      </c>
      <c r="Y40" s="1119">
        <f t="shared" si="4"/>
        <v>53044.580665816029</v>
      </c>
      <c r="Z40" s="1146">
        <v>0</v>
      </c>
      <c r="AA40" s="57">
        <v>116.26536514847226</v>
      </c>
      <c r="AB40" s="29">
        <f t="shared" si="5"/>
        <v>4.5459756205917093E-2</v>
      </c>
      <c r="AC40" s="57">
        <f t="shared" si="6"/>
        <v>53044.580665816029</v>
      </c>
      <c r="AD40" s="1">
        <f t="shared" si="7"/>
        <v>2.3554017326995077E-2</v>
      </c>
      <c r="AE40" s="1">
        <f t="shared" si="8"/>
        <v>0</v>
      </c>
      <c r="AU40" s="137">
        <v>45</v>
      </c>
      <c r="AV40" s="431"/>
      <c r="AW40" s="431"/>
      <c r="AX40" s="431">
        <v>0</v>
      </c>
      <c r="AY40" s="431">
        <v>12561.034059505102</v>
      </c>
      <c r="AZ40" s="57">
        <v>68815.65122752449</v>
      </c>
      <c r="BA40" s="435">
        <v>0</v>
      </c>
      <c r="BB40" s="2">
        <v>0</v>
      </c>
      <c r="BC40" s="1">
        <v>68815.65122752449</v>
      </c>
      <c r="BD40" s="1">
        <f t="shared" si="9"/>
        <v>0</v>
      </c>
      <c r="BE40" s="1">
        <f t="shared" si="10"/>
        <v>0</v>
      </c>
      <c r="BF40" s="1">
        <f t="shared" si="11"/>
        <v>2.5197274947790768E-4</v>
      </c>
      <c r="BG40" s="2"/>
      <c r="BN40" s="137">
        <v>45</v>
      </c>
      <c r="BO40" s="1807"/>
      <c r="BP40" s="1807"/>
      <c r="BQ40" s="1807"/>
      <c r="BR40" s="1807"/>
      <c r="BS40" s="57"/>
      <c r="BT40" s="470">
        <f t="shared" si="12"/>
        <v>0</v>
      </c>
      <c r="BU40" s="467">
        <f t="shared" si="13"/>
        <v>0</v>
      </c>
      <c r="BV40" s="470">
        <f t="shared" si="14"/>
        <v>0</v>
      </c>
      <c r="BW40" s="1">
        <f t="shared" si="15"/>
        <v>0</v>
      </c>
      <c r="BX40" s="1">
        <f t="shared" si="16"/>
        <v>0</v>
      </c>
      <c r="BY40" s="1">
        <f t="shared" si="17"/>
        <v>0</v>
      </c>
      <c r="CH40" s="1">
        <v>40</v>
      </c>
      <c r="CI40" s="1">
        <v>754205.21534966095</v>
      </c>
      <c r="CJ40" s="1">
        <v>0</v>
      </c>
      <c r="CK40" s="1">
        <v>353989.87567723077</v>
      </c>
      <c r="CL40" s="1">
        <f t="shared" si="18"/>
        <v>3.2534561402163958E-3</v>
      </c>
      <c r="CM40" s="1">
        <f t="shared" si="19"/>
        <v>0</v>
      </c>
      <c r="CN40" s="1">
        <f t="shared" si="20"/>
        <v>1.0850912812241705E-3</v>
      </c>
      <c r="CX40" s="1">
        <v>40</v>
      </c>
      <c r="CY40" s="2"/>
      <c r="CZ40" s="2">
        <f t="shared" si="23"/>
        <v>0</v>
      </c>
      <c r="DA40" s="2">
        <v>47527.610354244127</v>
      </c>
      <c r="DB40" s="2">
        <f t="shared" si="55"/>
        <v>108579.25597612809</v>
      </c>
      <c r="DC40" s="2">
        <v>3311.0970589336121</v>
      </c>
      <c r="DD40" s="2">
        <f t="shared" si="67"/>
        <v>10104.371720680292</v>
      </c>
      <c r="DE40" s="1">
        <v>0</v>
      </c>
      <c r="DF40" s="1">
        <f t="shared" si="56"/>
        <v>5.0356190906812441E-4</v>
      </c>
      <c r="DG40" s="1">
        <f t="shared" si="68"/>
        <v>4.3276836133150865E-4</v>
      </c>
      <c r="DQ40" s="1809">
        <v>39</v>
      </c>
      <c r="DR40" s="1810"/>
      <c r="DS40" s="947"/>
      <c r="DT40" s="833"/>
      <c r="DU40" s="1">
        <v>21542.764038252823</v>
      </c>
      <c r="DV40" s="2">
        <f t="shared" si="61"/>
        <v>21542.764038252823</v>
      </c>
      <c r="DW40" s="2">
        <f t="shared" si="24"/>
        <v>45730.102959347889</v>
      </c>
      <c r="DX40" s="2">
        <f t="shared" si="25"/>
        <v>45730.102959347889</v>
      </c>
      <c r="DY40" s="1">
        <v>43733.839564353584</v>
      </c>
      <c r="DZ40" s="2">
        <f t="shared" si="26"/>
        <v>496967.86783851514</v>
      </c>
      <c r="EA40" s="1">
        <f t="shared" si="33"/>
        <v>0</v>
      </c>
      <c r="EB40" s="1">
        <f t="shared" si="34"/>
        <v>5.3991156651213901E-2</v>
      </c>
      <c r="EC40" s="1">
        <f t="shared" si="35"/>
        <v>0.31240013441848641</v>
      </c>
      <c r="EE40" s="878"/>
      <c r="EF40" s="879"/>
      <c r="EG40" s="879"/>
      <c r="EH40" s="2"/>
      <c r="EM40" s="1809">
        <v>39</v>
      </c>
      <c r="EN40" s="833">
        <v>348286.05584723415</v>
      </c>
      <c r="EO40"/>
      <c r="EQ40" s="891">
        <v>24003</v>
      </c>
      <c r="ER40" s="1">
        <f t="shared" si="27"/>
        <v>24003</v>
      </c>
      <c r="ES40" s="2">
        <f t="shared" si="28"/>
        <v>57325.515112748733</v>
      </c>
      <c r="ET40" s="2">
        <f t="shared" si="29"/>
        <v>405611.57095998287</v>
      </c>
      <c r="EU40" s="114">
        <v>236308.56302159838</v>
      </c>
      <c r="EV40">
        <v>4</v>
      </c>
      <c r="EW40" s="2">
        <f t="shared" si="30"/>
        <v>226129.42438713944</v>
      </c>
      <c r="EX40" s="2">
        <f t="shared" si="31"/>
        <v>462437.98740873783</v>
      </c>
      <c r="EY40" s="1">
        <f t="shared" si="73"/>
        <v>0</v>
      </c>
      <c r="EZ40" s="1">
        <f t="shared" si="37"/>
        <v>1.3561532327980975E-2</v>
      </c>
      <c r="FA40" s="1">
        <f t="shared" si="38"/>
        <v>0.17432571052702672</v>
      </c>
      <c r="FL40" s="1809">
        <v>39</v>
      </c>
      <c r="FM40" s="2">
        <v>14114.985930206551</v>
      </c>
      <c r="FP40" s="1">
        <v>0</v>
      </c>
      <c r="FR40" s="1">
        <f>$FQ$54*FQ40</f>
        <v>0</v>
      </c>
      <c r="FT40" s="2">
        <v>147652.86647540328</v>
      </c>
      <c r="FU40" s="2">
        <f t="shared" si="65"/>
        <v>497381.3612391809</v>
      </c>
      <c r="FV40" s="1">
        <f t="shared" si="39"/>
        <v>511496.34716938745</v>
      </c>
      <c r="FW40" s="1">
        <f t="shared" si="40"/>
        <v>651774.06756728084</v>
      </c>
      <c r="FY40" s="1">
        <f t="shared" si="43"/>
        <v>0</v>
      </c>
      <c r="FZ40" s="1">
        <f t="shared" si="66"/>
        <v>0.53751265046083185</v>
      </c>
      <c r="GL40" s="1809">
        <v>39</v>
      </c>
      <c r="GP40" s="1135">
        <v>0</v>
      </c>
      <c r="GQ40" s="2">
        <f t="shared" si="57"/>
        <v>0</v>
      </c>
      <c r="GR40" s="2">
        <f t="shared" si="58"/>
        <v>0</v>
      </c>
      <c r="GS40" s="1135">
        <v>308975.64134912408</v>
      </c>
      <c r="GW40" s="1">
        <f t="shared" si="71"/>
        <v>0</v>
      </c>
      <c r="GX40" s="1">
        <f t="shared" si="74"/>
        <v>0</v>
      </c>
      <c r="GY40" s="2">
        <f t="shared" si="70"/>
        <v>2.5757913006464261</v>
      </c>
      <c r="HI40" s="1809">
        <v>39</v>
      </c>
      <c r="HJ40" s="57"/>
      <c r="HK40" s="211">
        <v>1336.0856455069365</v>
      </c>
      <c r="HM40" s="57">
        <v>282673.50803038356</v>
      </c>
      <c r="HN40" s="2">
        <f>HM40*$HM$54</f>
        <v>1081962.8768907676</v>
      </c>
      <c r="HO40" s="2">
        <f t="shared" si="60"/>
        <v>1083298.9625362745</v>
      </c>
      <c r="HP40">
        <v>0</v>
      </c>
      <c r="HQ40" s="2">
        <f t="shared" si="62"/>
        <v>0</v>
      </c>
      <c r="HR40" s="2">
        <v>66991.424902389001</v>
      </c>
      <c r="HS40" s="2">
        <f t="shared" si="69"/>
        <v>661825.12145564286</v>
      </c>
      <c r="HT40" s="2">
        <f t="shared" si="64"/>
        <v>661825.12145564286</v>
      </c>
      <c r="HU40" s="1">
        <f t="shared" si="75"/>
        <v>7.4677229827283613E-6</v>
      </c>
      <c r="HV40" s="1">
        <f t="shared" si="48"/>
        <v>0.18022678983882515</v>
      </c>
      <c r="HW40" s="1">
        <f t="shared" si="49"/>
        <v>0.58466638722167197</v>
      </c>
      <c r="HX40" s="2">
        <f t="shared" si="50"/>
        <v>1745124.0839919173</v>
      </c>
      <c r="IF40" s="1809">
        <v>39</v>
      </c>
      <c r="II40" s="1" t="s">
        <v>18</v>
      </c>
      <c r="IJ40" s="57">
        <v>23817.187418987472</v>
      </c>
      <c r="IK40" s="57">
        <f t="shared" si="51"/>
        <v>205514.59133229227</v>
      </c>
      <c r="IL40" s="2">
        <f t="shared" si="52"/>
        <v>205514.59133229227</v>
      </c>
      <c r="IN40" s="57">
        <f t="shared" si="53"/>
        <v>0</v>
      </c>
      <c r="IR40" s="1">
        <f t="shared" si="54"/>
        <v>0</v>
      </c>
      <c r="IS40" s="1">
        <f t="shared" si="63"/>
        <v>0.20111197692735278</v>
      </c>
    </row>
    <row r="41" spans="1:253" ht="15.6" thickTop="1" thickBot="1">
      <c r="A41" s="1119">
        <v>42</v>
      </c>
      <c r="B41" s="2">
        <v>0</v>
      </c>
      <c r="C41" s="2">
        <v>0</v>
      </c>
      <c r="D41" s="2">
        <v>0</v>
      </c>
      <c r="E41" s="2">
        <v>11413.937791567225</v>
      </c>
      <c r="F41" s="2"/>
      <c r="G41" s="13">
        <f t="shared" si="21"/>
        <v>11413.937791567225</v>
      </c>
      <c r="H41" s="243">
        <v>0</v>
      </c>
      <c r="I41" s="244">
        <v>11413.937791567225</v>
      </c>
      <c r="J41" s="245">
        <v>0</v>
      </c>
      <c r="K41" s="246">
        <f t="shared" si="32"/>
        <v>11413.937791567225</v>
      </c>
      <c r="L41" s="241">
        <f t="shared" si="0"/>
        <v>0</v>
      </c>
      <c r="M41" s="242">
        <f t="shared" si="1"/>
        <v>3.1172094417099321E-2</v>
      </c>
      <c r="N41" s="240"/>
      <c r="O41" s="240"/>
      <c r="P41" s="240">
        <f t="shared" si="2"/>
        <v>0</v>
      </c>
      <c r="Q41" s="242">
        <f t="shared" si="3"/>
        <v>9.087943156321299E-3</v>
      </c>
      <c r="R41" s="358"/>
      <c r="S41" s="1154">
        <v>42</v>
      </c>
      <c r="T41" s="1811"/>
      <c r="U41" s="1811"/>
      <c r="V41" s="1811"/>
      <c r="W41" s="1119"/>
      <c r="X41" s="1146">
        <v>10974.372801839512</v>
      </c>
      <c r="Y41" s="1119">
        <f t="shared" si="4"/>
        <v>10974.372801839512</v>
      </c>
      <c r="Z41" s="1146">
        <v>0</v>
      </c>
      <c r="AA41" s="57">
        <v>0</v>
      </c>
      <c r="AB41" s="29">
        <f t="shared" si="5"/>
        <v>0</v>
      </c>
      <c r="AC41" s="57">
        <f t="shared" si="6"/>
        <v>10974.372801839512</v>
      </c>
      <c r="AD41" s="1">
        <f t="shared" si="7"/>
        <v>4.8730815454256695E-3</v>
      </c>
      <c r="AE41" s="1">
        <f t="shared" si="8"/>
        <v>0</v>
      </c>
      <c r="AU41" s="137">
        <v>46</v>
      </c>
      <c r="AV41" s="431"/>
      <c r="AX41" s="431">
        <v>0</v>
      </c>
      <c r="AY41" s="431">
        <v>467.1380555149442</v>
      </c>
      <c r="AZ41" s="57">
        <v>2559.2168089931065</v>
      </c>
      <c r="BA41" s="435">
        <v>0</v>
      </c>
      <c r="BB41" s="2">
        <v>0</v>
      </c>
      <c r="BC41" s="1">
        <v>2559.2168089931065</v>
      </c>
      <c r="BD41" s="1">
        <f t="shared" si="9"/>
        <v>0</v>
      </c>
      <c r="BE41" s="1">
        <f t="shared" si="10"/>
        <v>0</v>
      </c>
      <c r="BF41" s="1">
        <f t="shared" si="11"/>
        <v>9.3707301227158298E-6</v>
      </c>
      <c r="BG41" s="2"/>
      <c r="BN41" s="137">
        <v>46</v>
      </c>
      <c r="BO41" s="1807"/>
      <c r="BP41" s="1119"/>
      <c r="BQ41" s="1807"/>
      <c r="BR41" s="1807"/>
      <c r="BS41" s="57"/>
      <c r="BT41" s="470">
        <f t="shared" si="12"/>
        <v>0</v>
      </c>
      <c r="BU41" s="467">
        <f t="shared" si="13"/>
        <v>0</v>
      </c>
      <c r="BV41" s="470">
        <f t="shared" si="14"/>
        <v>0</v>
      </c>
      <c r="BW41" s="1">
        <f t="shared" si="15"/>
        <v>0</v>
      </c>
      <c r="BX41" s="1">
        <f t="shared" si="16"/>
        <v>0</v>
      </c>
      <c r="BY41" s="1">
        <f t="shared" si="17"/>
        <v>0</v>
      </c>
      <c r="CH41" s="1">
        <v>41</v>
      </c>
      <c r="CI41" s="1">
        <v>211617.4439599</v>
      </c>
      <c r="CJ41" s="1">
        <v>0</v>
      </c>
      <c r="CK41" s="1">
        <v>0</v>
      </c>
      <c r="CL41" s="1">
        <f t="shared" si="18"/>
        <v>9.1286570076161856E-4</v>
      </c>
      <c r="CM41" s="1">
        <f t="shared" si="19"/>
        <v>0</v>
      </c>
      <c r="CN41" s="1">
        <f t="shared" si="20"/>
        <v>0</v>
      </c>
      <c r="CX41" s="1">
        <v>41</v>
      </c>
      <c r="CY41" s="2"/>
      <c r="CZ41" s="2">
        <f t="shared" si="23"/>
        <v>0</v>
      </c>
      <c r="DA41" s="2">
        <v>3778.1123705765613</v>
      </c>
      <c r="DB41" s="2">
        <f t="shared" si="55"/>
        <v>8631.2908882610427</v>
      </c>
      <c r="DC41" s="2">
        <v>167.58436754605106</v>
      </c>
      <c r="DD41" s="2">
        <f t="shared" si="67"/>
        <v>511.41199249706506</v>
      </c>
      <c r="DE41" s="1">
        <v>0</v>
      </c>
      <c r="DF41" s="1">
        <f t="shared" si="56"/>
        <v>4.0029647268633181E-5</v>
      </c>
      <c r="DG41" s="1">
        <f t="shared" si="68"/>
        <v>2.1903680513382353E-5</v>
      </c>
      <c r="DQ41" s="1809">
        <v>40</v>
      </c>
      <c r="DR41" s="1810"/>
      <c r="DS41" s="947"/>
      <c r="DT41" s="833"/>
      <c r="DU41" s="1">
        <v>11369.214909829079</v>
      </c>
      <c r="DV41" s="2">
        <f t="shared" si="61"/>
        <v>11369.214909829079</v>
      </c>
      <c r="DW41" s="2">
        <f t="shared" si="24"/>
        <v>24134.106815181152</v>
      </c>
      <c r="DX41" s="2">
        <f t="shared" si="25"/>
        <v>24134.106815181152</v>
      </c>
      <c r="DY41" s="1">
        <v>21542.764038252823</v>
      </c>
      <c r="DZ41" s="2">
        <f t="shared" si="26"/>
        <v>244800.40211619111</v>
      </c>
      <c r="EA41" s="1">
        <f t="shared" si="33"/>
        <v>0</v>
      </c>
      <c r="EB41" s="1">
        <f t="shared" si="34"/>
        <v>2.849388602632081E-2</v>
      </c>
      <c r="EC41" s="1">
        <f t="shared" si="35"/>
        <v>0.1538845536622252</v>
      </c>
      <c r="EG41" s="879"/>
      <c r="EH41" s="2"/>
      <c r="EM41" s="1809">
        <v>40</v>
      </c>
      <c r="EN41" s="833">
        <v>94226.205336912812</v>
      </c>
      <c r="EO41"/>
      <c r="EQ41" s="891">
        <v>19299</v>
      </c>
      <c r="ER41" s="1">
        <f t="shared" si="27"/>
        <v>19299</v>
      </c>
      <c r="ES41" s="2">
        <f t="shared" si="28"/>
        <v>46091.118450232796</v>
      </c>
      <c r="ET41" s="2">
        <f t="shared" si="29"/>
        <v>140317.32378714561</v>
      </c>
      <c r="EU41" s="114">
        <v>237103.19132363849</v>
      </c>
      <c r="EV41">
        <v>3</v>
      </c>
      <c r="EW41" s="2">
        <f t="shared" si="30"/>
        <v>169597.06829035457</v>
      </c>
      <c r="EX41" s="2">
        <f t="shared" si="31"/>
        <v>406700.25961399305</v>
      </c>
      <c r="EY41" s="1">
        <f t="shared" si="73"/>
        <v>0</v>
      </c>
      <c r="EZ41" s="1">
        <f t="shared" si="37"/>
        <v>1.0903804207711736E-2</v>
      </c>
      <c r="FA41" s="1">
        <f t="shared" si="38"/>
        <v>0.15331420354545885</v>
      </c>
      <c r="FL41" s="1809">
        <v>40</v>
      </c>
      <c r="FM41" s="2"/>
      <c r="FP41" s="1">
        <v>0</v>
      </c>
      <c r="FR41" s="1">
        <f t="shared" si="72"/>
        <v>0</v>
      </c>
      <c r="FT41" s="2">
        <v>74388.263632220725</v>
      </c>
      <c r="FU41" s="2">
        <f t="shared" si="65"/>
        <v>250583.25455385944</v>
      </c>
      <c r="FV41" s="1">
        <f t="shared" si="39"/>
        <v>250583.25455385944</v>
      </c>
      <c r="FW41" s="1">
        <f t="shared" si="40"/>
        <v>319305.63725165755</v>
      </c>
      <c r="FY41" s="1">
        <f t="shared" ref="FY41:FY51" si="76">FR41/FR$51</f>
        <v>0</v>
      </c>
      <c r="FZ41" s="1">
        <f t="shared" si="66"/>
        <v>0.27080160177448975</v>
      </c>
      <c r="GL41" s="1809">
        <v>40</v>
      </c>
      <c r="GP41" s="1135">
        <v>0</v>
      </c>
      <c r="GQ41" s="2">
        <f t="shared" si="57"/>
        <v>0</v>
      </c>
      <c r="GR41" s="2">
        <f t="shared" si="58"/>
        <v>0</v>
      </c>
      <c r="GS41" s="1135">
        <v>332787.73440089659</v>
      </c>
      <c r="GW41" s="1">
        <f t="shared" si="71"/>
        <v>0</v>
      </c>
      <c r="GX41" s="1">
        <f t="shared" si="74"/>
        <v>0</v>
      </c>
      <c r="GY41" s="2">
        <f t="shared" si="70"/>
        <v>2.7743020371728497</v>
      </c>
      <c r="HI41" s="1809">
        <v>40</v>
      </c>
      <c r="HJ41" s="57"/>
      <c r="HK41" s="211">
        <v>0</v>
      </c>
      <c r="HM41" s="57">
        <v>169834.06266267615</v>
      </c>
      <c r="HN41" s="2">
        <f t="shared" si="46"/>
        <v>650057.91420965036</v>
      </c>
      <c r="HO41" s="2">
        <f t="shared" si="60"/>
        <v>650057.91420965036</v>
      </c>
      <c r="HP41">
        <v>0</v>
      </c>
      <c r="HQ41" s="2">
        <f t="shared" si="62"/>
        <v>0</v>
      </c>
      <c r="HR41" s="2">
        <v>53123.796901211768</v>
      </c>
      <c r="HS41" s="2">
        <f t="shared" si="69"/>
        <v>524823.33951782505</v>
      </c>
      <c r="HT41" s="2">
        <f t="shared" si="64"/>
        <v>524823.33951782505</v>
      </c>
      <c r="HU41" s="1">
        <f>HK41/$HK$51</f>
        <v>0</v>
      </c>
      <c r="HV41" s="1">
        <f t="shared" si="48"/>
        <v>0.10814913993181695</v>
      </c>
      <c r="HW41" s="1">
        <f t="shared" si="49"/>
        <v>0.46363692748714336</v>
      </c>
      <c r="HX41" s="2">
        <f t="shared" si="50"/>
        <v>1174881.2537274754</v>
      </c>
      <c r="IF41" s="1809">
        <v>40</v>
      </c>
      <c r="II41" s="1" t="s">
        <v>18</v>
      </c>
      <c r="IJ41" s="57">
        <v>11039.777287582685</v>
      </c>
      <c r="IK41" s="57">
        <f t="shared" si="51"/>
        <v>95260.421717483012</v>
      </c>
      <c r="IL41" s="2">
        <f t="shared" si="52"/>
        <v>95260.421717483012</v>
      </c>
      <c r="IN41" s="57">
        <f t="shared" si="53"/>
        <v>0</v>
      </c>
      <c r="IR41" s="1">
        <f t="shared" si="54"/>
        <v>0</v>
      </c>
      <c r="IS41" s="1">
        <f t="shared" si="63"/>
        <v>9.3219715497281405E-2</v>
      </c>
    </row>
    <row r="42" spans="1:253" ht="15.6" thickTop="1" thickBot="1">
      <c r="A42" s="1119">
        <v>43</v>
      </c>
      <c r="B42" s="2">
        <v>0</v>
      </c>
      <c r="C42" s="2">
        <v>0</v>
      </c>
      <c r="D42" s="2">
        <v>0</v>
      </c>
      <c r="E42" s="2">
        <v>863.58023140149896</v>
      </c>
      <c r="F42" s="2"/>
      <c r="G42" s="13">
        <f t="shared" si="21"/>
        <v>863.58023140149896</v>
      </c>
      <c r="H42" s="243">
        <v>0</v>
      </c>
      <c r="I42" s="244">
        <v>863.58023140149896</v>
      </c>
      <c r="J42" s="245">
        <v>0</v>
      </c>
      <c r="K42" s="246">
        <f t="shared" si="32"/>
        <v>863.58023140149896</v>
      </c>
      <c r="L42" s="241">
        <f t="shared" si="0"/>
        <v>0</v>
      </c>
      <c r="M42" s="242">
        <f t="shared" si="1"/>
        <v>2.3584853011794564E-3</v>
      </c>
      <c r="N42" s="240"/>
      <c r="O42" s="240"/>
      <c r="P42" s="240">
        <f t="shared" si="2"/>
        <v>0</v>
      </c>
      <c r="Q42" s="242">
        <f t="shared" si="3"/>
        <v>6.8759513125241946E-4</v>
      </c>
      <c r="R42" s="358"/>
      <c r="S42" s="1154">
        <v>43</v>
      </c>
      <c r="T42" s="1811"/>
      <c r="U42" s="1811"/>
      <c r="V42" s="1811"/>
      <c r="W42" s="1119"/>
      <c r="X42" s="1146">
        <v>1096.2868704090283</v>
      </c>
      <c r="Y42" s="1119">
        <f t="shared" si="4"/>
        <v>1096.2868704090283</v>
      </c>
      <c r="Z42" s="1146">
        <v>0</v>
      </c>
      <c r="AA42" s="57">
        <v>0</v>
      </c>
      <c r="AB42" s="29">
        <f t="shared" si="5"/>
        <v>0</v>
      </c>
      <c r="AC42" s="57">
        <f t="shared" si="6"/>
        <v>1096.2868704090283</v>
      </c>
      <c r="AD42" s="1">
        <f t="shared" si="7"/>
        <v>4.8679732437987059E-4</v>
      </c>
      <c r="AE42" s="1">
        <f t="shared" si="8"/>
        <v>0</v>
      </c>
      <c r="AU42" s="137">
        <v>47</v>
      </c>
      <c r="AV42" s="431"/>
      <c r="AX42" s="431">
        <v>0</v>
      </c>
      <c r="AY42" s="431"/>
      <c r="AZ42" s="57">
        <v>0</v>
      </c>
      <c r="BA42" s="435">
        <v>0</v>
      </c>
      <c r="BB42" s="2">
        <v>0</v>
      </c>
      <c r="BC42" s="1">
        <v>0</v>
      </c>
      <c r="BD42" s="1">
        <f t="shared" si="9"/>
        <v>0</v>
      </c>
      <c r="BE42" s="1">
        <f t="shared" si="10"/>
        <v>0</v>
      </c>
      <c r="BF42" s="1">
        <f t="shared" si="11"/>
        <v>0</v>
      </c>
      <c r="BG42" s="2"/>
      <c r="BN42" s="137">
        <v>47</v>
      </c>
      <c r="BO42" s="1807"/>
      <c r="BP42" s="1119"/>
      <c r="BQ42" s="1807"/>
      <c r="BR42" s="1807"/>
      <c r="BS42" s="57"/>
      <c r="BT42" s="470">
        <f t="shared" si="12"/>
        <v>0</v>
      </c>
      <c r="BU42" s="467">
        <f t="shared" si="13"/>
        <v>0</v>
      </c>
      <c r="BV42" s="470">
        <f t="shared" si="14"/>
        <v>0</v>
      </c>
      <c r="BW42" s="1">
        <f t="shared" si="15"/>
        <v>0</v>
      </c>
      <c r="BX42" s="1">
        <f t="shared" si="16"/>
        <v>0</v>
      </c>
      <c r="BY42" s="1">
        <f t="shared" si="17"/>
        <v>0</v>
      </c>
      <c r="CH42" s="1">
        <v>42</v>
      </c>
      <c r="CI42" s="1">
        <v>0</v>
      </c>
      <c r="CJ42" s="1">
        <v>0</v>
      </c>
      <c r="CK42" s="1">
        <v>0</v>
      </c>
      <c r="CL42" s="1">
        <f t="shared" si="18"/>
        <v>0</v>
      </c>
      <c r="CM42" s="1">
        <f t="shared" si="19"/>
        <v>0</v>
      </c>
      <c r="CN42" s="1">
        <f t="shared" si="20"/>
        <v>0</v>
      </c>
      <c r="CX42" s="1">
        <v>42</v>
      </c>
      <c r="CY42" s="2"/>
      <c r="CZ42" s="2">
        <f t="shared" si="23"/>
        <v>0</v>
      </c>
      <c r="DA42" s="2">
        <v>7237.215869926772</v>
      </c>
      <c r="DB42" s="2">
        <f t="shared" si="55"/>
        <v>16533.789699046039</v>
      </c>
      <c r="DC42" s="2"/>
      <c r="DD42" s="2"/>
      <c r="DE42" s="1">
        <v>0</v>
      </c>
      <c r="DF42" s="1">
        <f t="shared" si="56"/>
        <v>7.6679349385236145E-5</v>
      </c>
      <c r="DG42" s="1">
        <f t="shared" si="68"/>
        <v>0</v>
      </c>
      <c r="DQ42" s="1809">
        <v>41</v>
      </c>
      <c r="DR42" s="1810"/>
      <c r="DS42" s="947"/>
      <c r="DT42" s="833"/>
      <c r="DU42" s="1">
        <v>5976.6880257072826</v>
      </c>
      <c r="DV42" s="2">
        <f t="shared" si="61"/>
        <v>5976.6880257072826</v>
      </c>
      <c r="DW42" s="2">
        <f t="shared" si="24"/>
        <v>12687.070158972147</v>
      </c>
      <c r="DX42" s="2">
        <f t="shared" si="25"/>
        <v>12687.070158972147</v>
      </c>
      <c r="DY42" s="1">
        <v>11369.214909829079</v>
      </c>
      <c r="DZ42" s="2">
        <f t="shared" si="26"/>
        <v>129193.65299315966</v>
      </c>
      <c r="EA42" s="1">
        <f t="shared" si="33"/>
        <v>0</v>
      </c>
      <c r="EB42" s="1">
        <f t="shared" si="34"/>
        <v>1.4978964578473244E-2</v>
      </c>
      <c r="EC42" s="1">
        <f t="shared" si="35"/>
        <v>8.1212724550217788E-2</v>
      </c>
      <c r="EG42" s="879"/>
      <c r="EH42" s="2"/>
      <c r="EM42" s="1809">
        <v>41</v>
      </c>
      <c r="EN42" s="833">
        <v>144291.28928148947</v>
      </c>
      <c r="EO42"/>
      <c r="EQ42" s="891">
        <v>3115</v>
      </c>
      <c r="ER42" s="1">
        <f t="shared" si="27"/>
        <v>3115</v>
      </c>
      <c r="ES42" s="2">
        <f t="shared" si="28"/>
        <v>7439.4442184815352</v>
      </c>
      <c r="ET42" s="2">
        <f t="shared" si="29"/>
        <v>151730.73349997101</v>
      </c>
      <c r="EU42" s="114">
        <v>157818.55731756683</v>
      </c>
      <c r="EV42">
        <v>6</v>
      </c>
      <c r="EW42" s="2">
        <f t="shared" si="30"/>
        <v>339194.13658070914</v>
      </c>
      <c r="EX42" s="2">
        <f t="shared" si="31"/>
        <v>497012.69389827596</v>
      </c>
      <c r="EY42" s="1">
        <f t="shared" si="73"/>
        <v>0</v>
      </c>
      <c r="EZ42" s="1">
        <f t="shared" si="37"/>
        <v>1.7599538891663849E-3</v>
      </c>
      <c r="FA42" s="1">
        <f t="shared" si="38"/>
        <v>0.18735937220526769</v>
      </c>
      <c r="FL42" s="1809">
        <v>41</v>
      </c>
      <c r="FM42" s="2"/>
      <c r="FP42" s="1">
        <v>0</v>
      </c>
      <c r="FR42" s="1">
        <f t="shared" si="72"/>
        <v>0</v>
      </c>
      <c r="FT42" s="2">
        <v>35236.434882593196</v>
      </c>
      <c r="FU42" s="2">
        <f t="shared" si="65"/>
        <v>118696.9570281896</v>
      </c>
      <c r="FV42" s="1">
        <f t="shared" si="39"/>
        <v>118696.9570281896</v>
      </c>
      <c r="FW42" s="1">
        <f t="shared" si="40"/>
        <v>151249.56203157813</v>
      </c>
      <c r="FY42" s="1">
        <f t="shared" si="76"/>
        <v>0</v>
      </c>
      <c r="FZ42" s="1">
        <f t="shared" si="66"/>
        <v>0.12827403868714124</v>
      </c>
      <c r="GL42" s="1809">
        <v>41</v>
      </c>
      <c r="GP42" s="1135">
        <v>0</v>
      </c>
      <c r="GQ42" s="2">
        <f t="shared" si="57"/>
        <v>0</v>
      </c>
      <c r="GR42" s="2">
        <f>GM42+GN42+GQ42</f>
        <v>0</v>
      </c>
      <c r="GS42" s="1135">
        <v>180350.6845791449</v>
      </c>
      <c r="GW42" s="1">
        <f t="shared" si="71"/>
        <v>0</v>
      </c>
      <c r="GX42" s="1">
        <f t="shared" si="74"/>
        <v>0</v>
      </c>
      <c r="GY42" s="2">
        <f t="shared" si="70"/>
        <v>1.5035027433754233</v>
      </c>
      <c r="HI42" s="1809">
        <v>41</v>
      </c>
      <c r="HM42" s="57">
        <v>128286.58214947234</v>
      </c>
      <c r="HN42" s="2">
        <f t="shared" si="46"/>
        <v>491030.51947127504</v>
      </c>
      <c r="HO42" s="2">
        <f t="shared" si="60"/>
        <v>491030.51947127504</v>
      </c>
      <c r="HP42">
        <v>0</v>
      </c>
      <c r="HQ42" s="2">
        <f t="shared" si="62"/>
        <v>0</v>
      </c>
      <c r="HR42" s="2">
        <v>13236.345891861714</v>
      </c>
      <c r="HS42" s="2">
        <f t="shared" si="69"/>
        <v>130765.18733963933</v>
      </c>
      <c r="HT42" s="2">
        <f t="shared" si="64"/>
        <v>130765.18733963933</v>
      </c>
      <c r="HU42" s="1">
        <f t="shared" si="75"/>
        <v>0</v>
      </c>
      <c r="HV42" s="1">
        <f t="shared" si="48"/>
        <v>8.1691995744189852E-2</v>
      </c>
      <c r="HW42" s="1">
        <f t="shared" si="49"/>
        <v>0.11551995712715808</v>
      </c>
      <c r="HX42" s="2">
        <f t="shared" si="50"/>
        <v>621795.70681091433</v>
      </c>
      <c r="IF42" s="1809">
        <v>41</v>
      </c>
      <c r="II42" s="1" t="s">
        <v>18</v>
      </c>
      <c r="IJ42" s="57">
        <v>4259.136710468264</v>
      </c>
      <c r="IK42" s="57">
        <f t="shared" si="51"/>
        <v>36751.389871603096</v>
      </c>
      <c r="IL42" s="2">
        <f t="shared" si="52"/>
        <v>36751.389871603096</v>
      </c>
      <c r="IN42" s="57">
        <f t="shared" si="53"/>
        <v>0</v>
      </c>
      <c r="IR42" s="1">
        <f t="shared" si="54"/>
        <v>0</v>
      </c>
      <c r="IS42" s="1">
        <f>(IK42/$IK$51)*100</f>
        <v>3.5964087143357137E-2</v>
      </c>
    </row>
    <row r="43" spans="1:253" ht="15.6" thickTop="1" thickBot="1">
      <c r="A43" s="1119">
        <v>44</v>
      </c>
      <c r="B43" s="2">
        <v>0</v>
      </c>
      <c r="C43" s="2">
        <v>0</v>
      </c>
      <c r="D43" s="2">
        <v>0</v>
      </c>
      <c r="E43" s="2">
        <v>2277.268903247787</v>
      </c>
      <c r="F43" s="2"/>
      <c r="G43" s="13">
        <f t="shared" si="21"/>
        <v>2277.268903247787</v>
      </c>
      <c r="H43" s="243">
        <v>0</v>
      </c>
      <c r="I43" s="244">
        <v>2277.268903247787</v>
      </c>
      <c r="J43" s="245">
        <v>0</v>
      </c>
      <c r="K43" s="246">
        <f t="shared" si="32"/>
        <v>2277.268903247787</v>
      </c>
      <c r="L43" s="241">
        <f t="shared" si="0"/>
        <v>0</v>
      </c>
      <c r="M43" s="242">
        <f t="shared" si="1"/>
        <v>6.2193471316805832E-3</v>
      </c>
      <c r="N43" s="240"/>
      <c r="O43" s="240"/>
      <c r="P43" s="240">
        <f t="shared" si="2"/>
        <v>0</v>
      </c>
      <c r="Q43" s="242">
        <f t="shared" si="3"/>
        <v>1.8131945978945407E-3</v>
      </c>
      <c r="R43" s="358"/>
      <c r="S43" s="1154">
        <v>44</v>
      </c>
      <c r="T43" s="1811"/>
      <c r="U43" s="1811"/>
      <c r="V43" s="1811"/>
      <c r="W43" s="1119"/>
      <c r="X43" s="1146">
        <v>730.85791360601877</v>
      </c>
      <c r="Y43" s="1119">
        <f t="shared" si="4"/>
        <v>730.85791360601877</v>
      </c>
      <c r="Z43" s="1146">
        <v>0</v>
      </c>
      <c r="AA43" s="57">
        <f>T43+U43+V43</f>
        <v>0</v>
      </c>
      <c r="AB43" s="29">
        <f t="shared" si="5"/>
        <v>0</v>
      </c>
      <c r="AC43" s="57">
        <f t="shared" si="6"/>
        <v>730.85791360601877</v>
      </c>
      <c r="AD43" s="1">
        <f t="shared" si="7"/>
        <v>3.2453154958658032E-4</v>
      </c>
      <c r="AE43" s="1">
        <f t="shared" si="8"/>
        <v>0</v>
      </c>
      <c r="AU43" s="137">
        <v>48</v>
      </c>
      <c r="AY43" s="431"/>
      <c r="AZ43" s="57">
        <v>0</v>
      </c>
      <c r="BA43" s="435">
        <v>0</v>
      </c>
      <c r="BB43" s="2">
        <v>0</v>
      </c>
      <c r="BC43" s="1">
        <v>0</v>
      </c>
      <c r="BD43" s="1">
        <f t="shared" si="9"/>
        <v>0</v>
      </c>
      <c r="BE43" s="1">
        <f t="shared" si="10"/>
        <v>0</v>
      </c>
      <c r="BF43" s="1">
        <f t="shared" si="11"/>
        <v>0</v>
      </c>
      <c r="BG43" s="2"/>
      <c r="BN43" s="137">
        <v>48</v>
      </c>
      <c r="BO43" s="1119"/>
      <c r="BP43" s="1119"/>
      <c r="BQ43" s="1119"/>
      <c r="BR43" s="1807"/>
      <c r="BS43" s="57"/>
      <c r="BT43" s="470">
        <f t="shared" si="12"/>
        <v>0</v>
      </c>
      <c r="BU43" s="467">
        <f t="shared" si="13"/>
        <v>0</v>
      </c>
      <c r="BV43" s="470">
        <f t="shared" si="14"/>
        <v>0</v>
      </c>
      <c r="BW43" s="1">
        <f t="shared" si="15"/>
        <v>0</v>
      </c>
      <c r="BX43" s="1">
        <f t="shared" si="16"/>
        <v>0</v>
      </c>
      <c r="BY43" s="1">
        <f t="shared" si="17"/>
        <v>0</v>
      </c>
      <c r="CH43" s="1">
        <v>43</v>
      </c>
      <c r="CI43" s="1">
        <v>0</v>
      </c>
      <c r="CJ43" s="1">
        <v>0</v>
      </c>
      <c r="CK43" s="1">
        <v>0</v>
      </c>
      <c r="CL43" s="1">
        <f t="shared" si="18"/>
        <v>0</v>
      </c>
      <c r="CM43" s="1">
        <f t="shared" si="19"/>
        <v>0</v>
      </c>
      <c r="CN43" s="1">
        <f t="shared" si="20"/>
        <v>0</v>
      </c>
      <c r="CX43" s="1">
        <v>43</v>
      </c>
      <c r="CZ43" s="2">
        <f t="shared" si="23"/>
        <v>0</v>
      </c>
      <c r="DE43" s="1">
        <v>0</v>
      </c>
      <c r="DF43" s="1">
        <f t="shared" si="56"/>
        <v>0</v>
      </c>
      <c r="DG43" s="1">
        <f t="shared" si="68"/>
        <v>0</v>
      </c>
      <c r="DQ43" s="1809">
        <v>42</v>
      </c>
      <c r="DR43" s="1810"/>
      <c r="DS43" s="947"/>
      <c r="DT43" s="833"/>
      <c r="DU43" s="1">
        <v>1427.3817354051141</v>
      </c>
      <c r="DV43" s="2">
        <f t="shared" si="61"/>
        <v>1427.3817354051141</v>
      </c>
      <c r="DW43" s="2">
        <f t="shared" si="24"/>
        <v>3029.987870008832</v>
      </c>
      <c r="DX43" s="2">
        <f t="shared" si="25"/>
        <v>3029.987870008832</v>
      </c>
      <c r="DY43" s="1">
        <v>5976.6880257072826</v>
      </c>
      <c r="DZ43" s="2">
        <f t="shared" si="26"/>
        <v>67915.873256476902</v>
      </c>
      <c r="EA43" s="1">
        <f t="shared" si="33"/>
        <v>0</v>
      </c>
      <c r="EB43" s="1">
        <f t="shared" si="34"/>
        <v>3.5773492547425839E-3</v>
      </c>
      <c r="EC43" s="1">
        <f t="shared" si="35"/>
        <v>4.269275602616325E-2</v>
      </c>
      <c r="EG43" s="879"/>
      <c r="EH43" s="2"/>
      <c r="EM43" s="1809">
        <v>42</v>
      </c>
      <c r="EN43" s="833">
        <v>138631.15062273209</v>
      </c>
      <c r="EO43"/>
      <c r="EQ43" s="891">
        <v>2260</v>
      </c>
      <c r="ER43" s="1">
        <f t="shared" si="27"/>
        <v>2260</v>
      </c>
      <c r="ES43" s="2">
        <f t="shared" si="28"/>
        <v>5397.477988368626</v>
      </c>
      <c r="ET43" s="2">
        <f t="shared" si="29"/>
        <v>144028.62861110072</v>
      </c>
      <c r="EU43" s="114">
        <v>69625.752547687487</v>
      </c>
      <c r="EV43">
        <v>1</v>
      </c>
      <c r="EW43" s="2">
        <f t="shared" si="30"/>
        <v>56532.356096784861</v>
      </c>
      <c r="EX43" s="2">
        <f t="shared" si="31"/>
        <v>126158.10864447235</v>
      </c>
      <c r="EY43" s="1">
        <f t="shared" si="73"/>
        <v>0</v>
      </c>
      <c r="EZ43" s="1">
        <f t="shared" si="37"/>
        <v>1.2768846836327544E-3</v>
      </c>
      <c r="FA43" s="1">
        <f t="shared" si="38"/>
        <v>4.755794836714991E-2</v>
      </c>
      <c r="FL43" s="1809">
        <v>42</v>
      </c>
      <c r="FM43" s="2"/>
      <c r="FP43" s="1">
        <v>0</v>
      </c>
      <c r="FR43" s="1">
        <f t="shared" si="72"/>
        <v>0</v>
      </c>
      <c r="FT43" s="2">
        <v>27474.568887587673</v>
      </c>
      <c r="FU43" s="2">
        <f t="shared" si="65"/>
        <v>92550.444830303662</v>
      </c>
      <c r="FV43" s="1">
        <f t="shared" si="39"/>
        <v>92550.444830303662</v>
      </c>
      <c r="FW43" s="1">
        <f t="shared" si="40"/>
        <v>117932.37667488557</v>
      </c>
      <c r="FY43" s="1">
        <f t="shared" si="76"/>
        <v>0</v>
      </c>
      <c r="FZ43" s="1">
        <f t="shared" si="66"/>
        <v>0.10001789125777705</v>
      </c>
      <c r="GL43" s="1809">
        <v>42</v>
      </c>
      <c r="GP43" s="1135">
        <v>0</v>
      </c>
      <c r="GQ43" s="2">
        <f t="shared" si="57"/>
        <v>0</v>
      </c>
      <c r="GR43" s="2">
        <f t="shared" si="58"/>
        <v>0</v>
      </c>
      <c r="GS43" s="1135">
        <v>60098.134854212825</v>
      </c>
      <c r="GW43" s="1">
        <f t="shared" si="71"/>
        <v>0</v>
      </c>
      <c r="GX43" s="1">
        <f t="shared" si="74"/>
        <v>0</v>
      </c>
      <c r="GY43" s="2">
        <f t="shared" si="70"/>
        <v>0.50101118737590733</v>
      </c>
      <c r="HI43" s="1809">
        <v>42</v>
      </c>
      <c r="HM43" s="57">
        <v>64734.561635250517</v>
      </c>
      <c r="HN43" s="2">
        <f>HM43*$HM$54</f>
        <v>247778.41060935208</v>
      </c>
      <c r="HO43" s="2">
        <f t="shared" si="60"/>
        <v>247778.41060935208</v>
      </c>
      <c r="HP43">
        <v>0</v>
      </c>
      <c r="HQ43" s="2">
        <f t="shared" si="62"/>
        <v>0</v>
      </c>
      <c r="HR43" s="2">
        <v>10196.180047813725</v>
      </c>
      <c r="HS43" s="2">
        <f t="shared" si="69"/>
        <v>100730.62497715696</v>
      </c>
      <c r="HT43" s="2">
        <f t="shared" si="64"/>
        <v>100730.62497715696</v>
      </c>
      <c r="HU43" s="1">
        <f t="shared" si="75"/>
        <v>0</v>
      </c>
      <c r="HV43" s="1">
        <f t="shared" si="48"/>
        <v>4.1222514818013117E-2</v>
      </c>
      <c r="HW43" s="1">
        <f t="shared" si="49"/>
        <v>8.8986967521635055E-2</v>
      </c>
      <c r="HX43" s="2">
        <f t="shared" si="50"/>
        <v>348509.03558650904</v>
      </c>
      <c r="IF43" s="1809">
        <v>42</v>
      </c>
      <c r="II43" s="1" t="s">
        <v>18</v>
      </c>
      <c r="IJ43" s="57">
        <v>0</v>
      </c>
      <c r="IK43" s="57">
        <f t="shared" si="51"/>
        <v>0</v>
      </c>
      <c r="IL43" s="2">
        <f t="shared" si="52"/>
        <v>0</v>
      </c>
      <c r="IN43" s="57">
        <f t="shared" si="53"/>
        <v>0</v>
      </c>
      <c r="IR43" s="1">
        <f t="shared" si="54"/>
        <v>0</v>
      </c>
      <c r="IS43" s="1">
        <f t="shared" si="63"/>
        <v>0</v>
      </c>
    </row>
    <row r="44" spans="1:253" ht="15.6" thickTop="1" thickBot="1">
      <c r="A44" s="1119">
        <v>45</v>
      </c>
      <c r="B44" s="2">
        <v>0</v>
      </c>
      <c r="C44" s="2">
        <v>0</v>
      </c>
      <c r="D44" s="2">
        <v>0</v>
      </c>
      <c r="E44" s="2">
        <v>0</v>
      </c>
      <c r="F44" s="2"/>
      <c r="G44" s="13">
        <f t="shared" si="21"/>
        <v>0</v>
      </c>
      <c r="H44" s="243">
        <v>0</v>
      </c>
      <c r="I44" s="244">
        <v>0</v>
      </c>
      <c r="J44" s="245">
        <v>0</v>
      </c>
      <c r="K44" s="246">
        <f t="shared" si="32"/>
        <v>0</v>
      </c>
      <c r="L44" s="241">
        <f t="shared" si="0"/>
        <v>0</v>
      </c>
      <c r="M44" s="242">
        <f t="shared" si="1"/>
        <v>0</v>
      </c>
      <c r="N44" s="240"/>
      <c r="O44" s="240"/>
      <c r="P44" s="240">
        <f t="shared" si="2"/>
        <v>0</v>
      </c>
      <c r="Q44" s="242">
        <f t="shared" si="3"/>
        <v>0</v>
      </c>
      <c r="R44" s="358"/>
      <c r="S44" s="1154">
        <v>45</v>
      </c>
      <c r="T44" s="1811"/>
      <c r="U44" s="1811"/>
      <c r="V44" s="1811"/>
      <c r="W44" s="1119"/>
      <c r="X44" s="1119"/>
      <c r="Y44" s="1119">
        <f t="shared" si="4"/>
        <v>0</v>
      </c>
      <c r="Z44" s="1146">
        <v>0</v>
      </c>
      <c r="AA44" s="57">
        <f>T44+U44+V44</f>
        <v>0</v>
      </c>
      <c r="AB44" s="29">
        <f t="shared" si="5"/>
        <v>0</v>
      </c>
      <c r="AC44" s="57">
        <f t="shared" si="6"/>
        <v>0</v>
      </c>
      <c r="AD44" s="1">
        <f t="shared" si="7"/>
        <v>0</v>
      </c>
      <c r="AE44" s="1">
        <f t="shared" si="8"/>
        <v>0</v>
      </c>
      <c r="AU44" s="137">
        <v>49</v>
      </c>
      <c r="AY44" s="431"/>
      <c r="AZ44" s="57">
        <v>0</v>
      </c>
      <c r="BA44" s="435">
        <v>0</v>
      </c>
      <c r="BB44" s="2">
        <v>0</v>
      </c>
      <c r="BC44" s="1">
        <v>0</v>
      </c>
      <c r="BD44" s="1">
        <f t="shared" si="9"/>
        <v>0</v>
      </c>
      <c r="BE44" s="1">
        <f t="shared" si="10"/>
        <v>0</v>
      </c>
      <c r="BF44" s="1">
        <f t="shared" si="11"/>
        <v>0</v>
      </c>
      <c r="BG44" s="2"/>
      <c r="BN44" s="137">
        <v>49</v>
      </c>
      <c r="BO44" s="1119"/>
      <c r="BP44" s="1119"/>
      <c r="BQ44" s="1119"/>
      <c r="BR44" s="1807"/>
      <c r="BS44" s="57"/>
      <c r="BT44" s="470">
        <f t="shared" si="12"/>
        <v>0</v>
      </c>
      <c r="BU44" s="467">
        <f t="shared" si="13"/>
        <v>0</v>
      </c>
      <c r="BV44" s="470">
        <f t="shared" si="14"/>
        <v>0</v>
      </c>
      <c r="BW44" s="1">
        <f t="shared" si="15"/>
        <v>0</v>
      </c>
      <c r="BX44" s="1">
        <f t="shared" si="16"/>
        <v>0</v>
      </c>
      <c r="BY44" s="1">
        <f t="shared" si="17"/>
        <v>0</v>
      </c>
      <c r="CH44" s="1">
        <v>44</v>
      </c>
      <c r="CI44" s="1">
        <v>0</v>
      </c>
      <c r="CJ44" s="1">
        <v>0</v>
      </c>
      <c r="CK44" s="1">
        <v>0</v>
      </c>
      <c r="CL44" s="1">
        <f t="shared" si="18"/>
        <v>0</v>
      </c>
      <c r="CM44" s="1">
        <f t="shared" si="19"/>
        <v>0</v>
      </c>
      <c r="CN44" s="1">
        <f t="shared" si="20"/>
        <v>0</v>
      </c>
      <c r="CX44" s="1">
        <v>44</v>
      </c>
      <c r="DE44" s="1">
        <v>0</v>
      </c>
      <c r="DF44" s="1">
        <f t="shared" si="56"/>
        <v>0</v>
      </c>
      <c r="DG44" s="1">
        <f t="shared" si="68"/>
        <v>0</v>
      </c>
      <c r="DQ44" s="1809">
        <v>43</v>
      </c>
      <c r="DR44" s="1810"/>
      <c r="DS44" s="947"/>
      <c r="DT44" s="833"/>
      <c r="DU44" s="1">
        <v>0</v>
      </c>
      <c r="DV44" s="2">
        <f t="shared" si="61"/>
        <v>0</v>
      </c>
      <c r="DW44" s="2">
        <f t="shared" si="24"/>
        <v>0</v>
      </c>
      <c r="DX44" s="2">
        <f t="shared" si="25"/>
        <v>0</v>
      </c>
      <c r="DY44" s="1">
        <v>1427.3817354051141</v>
      </c>
      <c r="DZ44" s="2">
        <f t="shared" si="26"/>
        <v>16219.999540449771</v>
      </c>
      <c r="EA44" s="1">
        <f t="shared" si="33"/>
        <v>0</v>
      </c>
      <c r="EB44" s="1">
        <f t="shared" si="34"/>
        <v>0</v>
      </c>
      <c r="EC44" s="1">
        <f t="shared" si="35"/>
        <v>1.019609186956693E-2</v>
      </c>
      <c r="EG44" s="879"/>
      <c r="EH44" s="2"/>
      <c r="EM44" s="1809">
        <v>43</v>
      </c>
      <c r="EN44" s="833">
        <v>117004.2488519091</v>
      </c>
      <c r="ER44" s="1">
        <f t="shared" si="27"/>
        <v>0</v>
      </c>
      <c r="ES44" s="2">
        <f t="shared" si="28"/>
        <v>0</v>
      </c>
      <c r="ET44" s="2">
        <f t="shared" si="29"/>
        <v>117004.2488519091</v>
      </c>
      <c r="EU44" s="114">
        <v>34114.16981942227</v>
      </c>
      <c r="EV44">
        <v>1</v>
      </c>
      <c r="EW44" s="2">
        <f t="shared" si="30"/>
        <v>56532.356096784861</v>
      </c>
      <c r="EX44" s="2">
        <f t="shared" si="31"/>
        <v>90646.525916207131</v>
      </c>
      <c r="EY44" s="1">
        <f t="shared" si="73"/>
        <v>0</v>
      </c>
      <c r="EZ44" s="1">
        <f t="shared" si="37"/>
        <v>0</v>
      </c>
      <c r="FA44" s="1">
        <f t="shared" si="38"/>
        <v>3.4171111516369271E-2</v>
      </c>
      <c r="FL44" s="1809">
        <v>43</v>
      </c>
      <c r="FM44" s="2"/>
      <c r="FT44" s="2">
        <v>9977.0497248565225</v>
      </c>
      <c r="FU44" s="2">
        <f t="shared" si="65"/>
        <v>33608.548833197172</v>
      </c>
      <c r="FV44" s="1">
        <f t="shared" si="39"/>
        <v>33608.548833197172</v>
      </c>
      <c r="FW44" s="1">
        <f t="shared" si="40"/>
        <v>42825.683309899337</v>
      </c>
      <c r="FY44" s="1">
        <f t="shared" si="76"/>
        <v>0</v>
      </c>
      <c r="FZ44" s="1">
        <f t="shared" si="66"/>
        <v>3.6320259602142586E-2</v>
      </c>
      <c r="GL44" s="1809">
        <v>43</v>
      </c>
      <c r="GR44" s="2">
        <f t="shared" si="58"/>
        <v>0</v>
      </c>
      <c r="GS44" s="1135">
        <v>30020.927418853171</v>
      </c>
      <c r="GW44" s="1">
        <f t="shared" si="71"/>
        <v>0</v>
      </c>
      <c r="GX44" s="1">
        <f t="shared" si="74"/>
        <v>0</v>
      </c>
      <c r="GY44" s="2">
        <f t="shared" si="70"/>
        <v>0.25027100306410277</v>
      </c>
      <c r="HI44" s="1809">
        <v>43</v>
      </c>
      <c r="HM44" s="57">
        <v>35168.425072336293</v>
      </c>
      <c r="HN44" s="2">
        <f t="shared" si="46"/>
        <v>134610.88247043092</v>
      </c>
      <c r="HO44" s="2">
        <f t="shared" si="60"/>
        <v>134610.88247043092</v>
      </c>
      <c r="HP44">
        <v>0</v>
      </c>
      <c r="HQ44" s="2">
        <f t="shared" si="62"/>
        <v>0</v>
      </c>
      <c r="HR44" s="2">
        <v>5635.9312817417394</v>
      </c>
      <c r="HS44" s="2">
        <f t="shared" si="69"/>
        <v>55678.781433433382</v>
      </c>
      <c r="HT44" s="2">
        <f t="shared" si="64"/>
        <v>55678.781433433382</v>
      </c>
      <c r="HU44" s="1">
        <f t="shared" si="75"/>
        <v>0</v>
      </c>
      <c r="HV44" s="1">
        <f t="shared" si="48"/>
        <v>2.2395006423912067E-2</v>
      </c>
      <c r="HW44" s="1">
        <f t="shared" si="49"/>
        <v>4.9187483113350534E-2</v>
      </c>
      <c r="HX44" s="2">
        <f t="shared" si="50"/>
        <v>190289.6639038643</v>
      </c>
      <c r="IF44" s="1809">
        <v>43</v>
      </c>
      <c r="II44" s="1" t="s">
        <v>18</v>
      </c>
      <c r="IJ44" s="57">
        <v>0</v>
      </c>
      <c r="IK44" s="57">
        <f t="shared" si="51"/>
        <v>0</v>
      </c>
      <c r="IL44" s="2">
        <f t="shared" si="52"/>
        <v>0</v>
      </c>
      <c r="IN44" s="57">
        <f t="shared" si="53"/>
        <v>0</v>
      </c>
      <c r="IR44" s="1">
        <f t="shared" si="54"/>
        <v>0</v>
      </c>
      <c r="IS44" s="1">
        <f t="shared" si="63"/>
        <v>0</v>
      </c>
    </row>
    <row r="45" spans="1:253" ht="15.6" thickTop="1" thickBot="1">
      <c r="A45" s="1119">
        <v>46</v>
      </c>
      <c r="B45" s="2">
        <v>0</v>
      </c>
      <c r="C45" s="2">
        <v>0</v>
      </c>
      <c r="D45" s="2">
        <v>0</v>
      </c>
      <c r="E45" s="2">
        <v>0</v>
      </c>
      <c r="F45" s="2"/>
      <c r="G45" s="13">
        <f t="shared" si="21"/>
        <v>0</v>
      </c>
      <c r="H45" s="243">
        <v>0</v>
      </c>
      <c r="I45" s="244">
        <v>0</v>
      </c>
      <c r="J45" s="245">
        <v>0</v>
      </c>
      <c r="K45" s="246">
        <f t="shared" si="32"/>
        <v>0</v>
      </c>
      <c r="L45" s="241">
        <f t="shared" si="0"/>
        <v>0</v>
      </c>
      <c r="M45" s="242">
        <f t="shared" si="1"/>
        <v>0</v>
      </c>
      <c r="N45" s="240"/>
      <c r="O45" s="240"/>
      <c r="P45" s="240">
        <f t="shared" si="2"/>
        <v>0</v>
      </c>
      <c r="Q45" s="242">
        <f t="shared" si="3"/>
        <v>0</v>
      </c>
      <c r="R45" s="240"/>
      <c r="S45" s="1154" t="s">
        <v>370</v>
      </c>
      <c r="T45" s="1155">
        <v>199940.93295218423</v>
      </c>
      <c r="U45" s="1155">
        <f>SUM(U5:U44)</f>
        <v>40292.776084170539</v>
      </c>
      <c r="V45" s="1155">
        <f>SUM(V5:V44)</f>
        <v>15520.775483601876</v>
      </c>
      <c r="W45" s="1155">
        <f>SUM(W5:W44)</f>
        <v>330435.68599229399</v>
      </c>
      <c r="X45" s="1155">
        <f>SUM(X5:X44)</f>
        <v>224873528.16191593</v>
      </c>
      <c r="Y45" s="1119">
        <f t="shared" si="4"/>
        <v>225459718.33242819</v>
      </c>
      <c r="Z45" s="1155">
        <v>368774760.77173197</v>
      </c>
      <c r="AA45" s="57">
        <f>T45+U45+V45</f>
        <v>255754.48451995663</v>
      </c>
      <c r="AB45" s="29">
        <f t="shared" si="5"/>
        <v>100</v>
      </c>
      <c r="AC45" s="57">
        <f t="shared" si="6"/>
        <v>225203963.84790823</v>
      </c>
      <c r="AD45" s="1">
        <f t="shared" si="7"/>
        <v>100</v>
      </c>
      <c r="AE45" s="1">
        <f t="shared" si="8"/>
        <v>100</v>
      </c>
      <c r="AU45" s="137">
        <v>50</v>
      </c>
      <c r="AV45" s="431"/>
      <c r="AX45" s="431"/>
      <c r="AY45" s="431"/>
      <c r="AZ45" s="57">
        <v>0</v>
      </c>
      <c r="BA45" s="435">
        <v>0</v>
      </c>
      <c r="BB45" s="2">
        <v>0</v>
      </c>
      <c r="BC45" s="1">
        <v>0</v>
      </c>
      <c r="BD45" s="1">
        <f t="shared" si="9"/>
        <v>0</v>
      </c>
      <c r="BE45" s="1">
        <f t="shared" si="10"/>
        <v>0</v>
      </c>
      <c r="BF45" s="1">
        <f t="shared" si="11"/>
        <v>0</v>
      </c>
      <c r="BN45" s="137">
        <v>50</v>
      </c>
      <c r="BO45" s="1807"/>
      <c r="BP45" s="1119"/>
      <c r="BQ45" s="1807"/>
      <c r="BR45" s="1807"/>
      <c r="BS45" s="57"/>
      <c r="BT45" s="470">
        <f t="shared" si="12"/>
        <v>0</v>
      </c>
      <c r="BU45" s="467">
        <f t="shared" si="13"/>
        <v>0</v>
      </c>
      <c r="BV45" s="470">
        <f t="shared" si="14"/>
        <v>0</v>
      </c>
      <c r="BW45" s="1">
        <f t="shared" si="15"/>
        <v>0</v>
      </c>
      <c r="BX45" s="1">
        <f t="shared" si="16"/>
        <v>0</v>
      </c>
      <c r="BY45" s="1">
        <f t="shared" si="17"/>
        <v>0</v>
      </c>
      <c r="CH45" s="1">
        <v>45</v>
      </c>
      <c r="CI45" s="1">
        <v>0</v>
      </c>
      <c r="CJ45" s="1">
        <v>0</v>
      </c>
      <c r="CK45" s="1">
        <v>0</v>
      </c>
      <c r="CL45" s="1">
        <f t="shared" si="18"/>
        <v>0</v>
      </c>
      <c r="CM45" s="1">
        <f t="shared" si="19"/>
        <v>0</v>
      </c>
      <c r="CN45" s="1">
        <f t="shared" si="20"/>
        <v>0</v>
      </c>
      <c r="CX45" s="1">
        <v>45</v>
      </c>
      <c r="DE45" s="1">
        <v>0</v>
      </c>
      <c r="DF45" s="1">
        <f t="shared" si="56"/>
        <v>0</v>
      </c>
      <c r="DG45" s="1">
        <f t="shared" si="68"/>
        <v>0</v>
      </c>
      <c r="DQ45" s="1809">
        <v>44</v>
      </c>
      <c r="DR45" s="1810"/>
      <c r="DS45" s="947"/>
      <c r="DT45" s="833"/>
      <c r="DU45" s="1">
        <v>0</v>
      </c>
      <c r="DV45" s="2">
        <f t="shared" si="61"/>
        <v>0</v>
      </c>
      <c r="DW45" s="2">
        <f t="shared" si="24"/>
        <v>0</v>
      </c>
      <c r="DX45" s="2">
        <f t="shared" si="25"/>
        <v>0</v>
      </c>
      <c r="DY45" s="1">
        <v>0</v>
      </c>
      <c r="DZ45" s="2">
        <f t="shared" si="26"/>
        <v>0</v>
      </c>
      <c r="EA45" s="1">
        <f t="shared" si="33"/>
        <v>0</v>
      </c>
      <c r="EB45" s="1">
        <f t="shared" si="34"/>
        <v>0</v>
      </c>
      <c r="EC45" s="1">
        <f t="shared" si="35"/>
        <v>0</v>
      </c>
      <c r="EG45" s="879"/>
      <c r="EH45" s="2"/>
      <c r="EM45" s="1809">
        <v>44</v>
      </c>
      <c r="EN45" s="833">
        <v>43253.803541646033</v>
      </c>
      <c r="EO45" s="2"/>
      <c r="ER45" s="1">
        <f t="shared" si="27"/>
        <v>0</v>
      </c>
      <c r="ES45" s="2">
        <f t="shared" si="28"/>
        <v>0</v>
      </c>
      <c r="ET45" s="2">
        <f t="shared" si="29"/>
        <v>43253.803541646033</v>
      </c>
      <c r="EU45" s="114">
        <v>1741.9043506491125</v>
      </c>
      <c r="EV45">
        <v>1</v>
      </c>
      <c r="EW45" s="2">
        <f t="shared" si="30"/>
        <v>56532.356096784861</v>
      </c>
      <c r="EX45" s="2">
        <f t="shared" si="31"/>
        <v>58274.260447433975</v>
      </c>
      <c r="EY45" s="1">
        <f t="shared" si="73"/>
        <v>0</v>
      </c>
      <c r="EZ45" s="1">
        <f t="shared" si="37"/>
        <v>0</v>
      </c>
      <c r="FA45" s="1">
        <f t="shared" si="38"/>
        <v>2.1967706232050754E-2</v>
      </c>
      <c r="FL45" s="1809">
        <v>44</v>
      </c>
      <c r="FT45" s="2">
        <v>1511.2309531088476</v>
      </c>
      <c r="FU45" s="2">
        <f t="shared" si="65"/>
        <v>5090.7112509683529</v>
      </c>
      <c r="FV45" s="1">
        <f t="shared" si="39"/>
        <v>5090.7112509683529</v>
      </c>
      <c r="FW45" s="1">
        <f t="shared" si="40"/>
        <v>6486.8372906588429</v>
      </c>
      <c r="FY45" s="1">
        <f t="shared" si="76"/>
        <v>0</v>
      </c>
      <c r="FZ45" s="1">
        <f t="shared" si="66"/>
        <v>5.5014560465665163E-3</v>
      </c>
      <c r="GL45" s="1809">
        <v>44</v>
      </c>
      <c r="GR45" s="2">
        <f t="shared" si="58"/>
        <v>0</v>
      </c>
      <c r="GS45" s="1135">
        <v>626.10351983254759</v>
      </c>
      <c r="GW45" s="1">
        <f t="shared" si="71"/>
        <v>0</v>
      </c>
      <c r="GX45" s="1">
        <f t="shared" si="74"/>
        <v>0</v>
      </c>
      <c r="HI45" s="1809">
        <v>44</v>
      </c>
      <c r="HM45" s="57">
        <v>2455.3085439238216</v>
      </c>
      <c r="HN45" s="2">
        <f t="shared" si="46"/>
        <v>9397.9542488741336</v>
      </c>
      <c r="HO45" s="2">
        <f t="shared" si="60"/>
        <v>9397.9542488741336</v>
      </c>
      <c r="HP45">
        <v>0</v>
      </c>
      <c r="HQ45" s="2">
        <f t="shared" si="62"/>
        <v>0</v>
      </c>
      <c r="HR45" s="2">
        <v>0</v>
      </c>
      <c r="HS45" s="2">
        <f t="shared" si="69"/>
        <v>0</v>
      </c>
      <c r="HT45" s="2">
        <f>HQ45+HS45</f>
        <v>0</v>
      </c>
      <c r="HU45" s="1">
        <f t="shared" si="75"/>
        <v>0</v>
      </c>
      <c r="HV45" s="1">
        <f t="shared" si="48"/>
        <v>1.5635232598775945E-3</v>
      </c>
      <c r="HW45" s="1">
        <f t="shared" si="49"/>
        <v>0</v>
      </c>
      <c r="HX45" s="2">
        <f t="shared" si="50"/>
        <v>9397.9542488741336</v>
      </c>
      <c r="IF45" s="1809">
        <v>44</v>
      </c>
      <c r="II45" s="1" t="s">
        <v>18</v>
      </c>
      <c r="IJ45" s="57">
        <v>0</v>
      </c>
      <c r="IK45" s="57">
        <f t="shared" ref="IK45:IK46" si="77">IJ45*$HM$54</f>
        <v>0</v>
      </c>
      <c r="IL45" s="2">
        <f t="shared" si="52"/>
        <v>0</v>
      </c>
      <c r="IN45" s="57">
        <f t="shared" si="53"/>
        <v>0</v>
      </c>
      <c r="IR45" s="1">
        <f t="shared" si="54"/>
        <v>0</v>
      </c>
    </row>
    <row r="46" spans="1:253" ht="15.6" thickTop="1" thickBot="1">
      <c r="A46" s="1119">
        <v>47</v>
      </c>
      <c r="B46" s="2">
        <v>0</v>
      </c>
      <c r="C46" s="2">
        <v>0</v>
      </c>
      <c r="D46" s="2">
        <v>0</v>
      </c>
      <c r="E46" s="2">
        <v>0</v>
      </c>
      <c r="F46" s="2"/>
      <c r="G46" s="13">
        <f t="shared" si="21"/>
        <v>0</v>
      </c>
      <c r="H46" s="243">
        <v>0</v>
      </c>
      <c r="I46" s="244">
        <v>0</v>
      </c>
      <c r="J46" s="245">
        <v>0</v>
      </c>
      <c r="K46" s="246">
        <f t="shared" si="32"/>
        <v>0</v>
      </c>
      <c r="L46" s="241">
        <f t="shared" si="0"/>
        <v>0</v>
      </c>
      <c r="M46" s="242">
        <f t="shared" si="1"/>
        <v>0</v>
      </c>
      <c r="N46" s="240"/>
      <c r="O46" s="240"/>
      <c r="P46" s="240">
        <f t="shared" si="2"/>
        <v>0</v>
      </c>
      <c r="Q46" s="242">
        <f t="shared" si="3"/>
        <v>0</v>
      </c>
      <c r="R46" s="240"/>
      <c r="S46" s="1154" t="s">
        <v>371</v>
      </c>
      <c r="T46" s="1155">
        <v>6106</v>
      </c>
      <c r="U46" s="1155">
        <v>810.94319999999993</v>
      </c>
      <c r="V46" s="1155">
        <v>4069.6887999999999</v>
      </c>
      <c r="W46" s="1155">
        <v>23410.976999999999</v>
      </c>
      <c r="X46" s="1147">
        <v>24121</v>
      </c>
      <c r="Y46" s="1119">
        <f t="shared" si="4"/>
        <v>58518.608999999997</v>
      </c>
      <c r="Z46" s="1147">
        <v>52949</v>
      </c>
      <c r="AA46" s="57">
        <f>T46+U46+V46</f>
        <v>10986.632</v>
      </c>
      <c r="AB46" s="29"/>
      <c r="AC46" s="57">
        <f t="shared" si="6"/>
        <v>47531.976999999999</v>
      </c>
      <c r="AU46" s="430" t="s">
        <v>45</v>
      </c>
      <c r="AV46" s="431">
        <v>35606244.799999997</v>
      </c>
      <c r="AW46" s="431">
        <v>63033176.587855212</v>
      </c>
      <c r="AX46" s="431">
        <v>50249423.076923072</v>
      </c>
      <c r="AY46" s="431">
        <v>49850763.963689744</v>
      </c>
      <c r="AZ46" s="57">
        <v>273107514.08678848</v>
      </c>
      <c r="BA46" s="435">
        <v>98639421.387855202</v>
      </c>
      <c r="BB46" s="2">
        <v>50249423.076923072</v>
      </c>
      <c r="BC46" s="1">
        <v>273107514.08678848</v>
      </c>
      <c r="BD46" s="1">
        <f t="shared" si="9"/>
        <v>1</v>
      </c>
      <c r="BE46" s="1">
        <f t="shared" si="10"/>
        <v>1</v>
      </c>
      <c r="BF46" s="1">
        <f t="shared" si="11"/>
        <v>1</v>
      </c>
      <c r="BN46" s="430" t="s">
        <v>45</v>
      </c>
      <c r="BO46" s="1807">
        <f>SUM(BO5:BO45)</f>
        <v>26823021.582733814</v>
      </c>
      <c r="BP46" s="1807">
        <f>SUM(BP5:BP45)</f>
        <v>76244936.370394975</v>
      </c>
      <c r="BQ46" s="1807">
        <f>SUM(BQ5:BQ45)</f>
        <v>171007813.32153386</v>
      </c>
      <c r="BR46" s="1807">
        <f>SUM(BR5:BR45)</f>
        <v>326675694.07499158</v>
      </c>
      <c r="BS46" s="57"/>
      <c r="BT46" s="470">
        <f t="shared" si="12"/>
        <v>103067957.95312878</v>
      </c>
      <c r="BU46" s="467">
        <f t="shared" si="13"/>
        <v>171007813.32153386</v>
      </c>
      <c r="BV46" s="470">
        <f t="shared" si="14"/>
        <v>326675694.07499158</v>
      </c>
      <c r="BW46" s="1">
        <f t="shared" si="15"/>
        <v>1</v>
      </c>
      <c r="BX46" s="1">
        <f t="shared" si="16"/>
        <v>1</v>
      </c>
      <c r="BY46" s="1">
        <f t="shared" si="17"/>
        <v>1</v>
      </c>
      <c r="CH46" s="1">
        <v>46</v>
      </c>
      <c r="CI46" s="1">
        <v>0</v>
      </c>
      <c r="CJ46" s="1">
        <v>0</v>
      </c>
      <c r="CK46" s="1">
        <v>0</v>
      </c>
      <c r="CL46" s="1">
        <f t="shared" si="18"/>
        <v>0</v>
      </c>
      <c r="CM46" s="1">
        <f t="shared" si="19"/>
        <v>0</v>
      </c>
      <c r="CN46" s="1">
        <f t="shared" si="20"/>
        <v>0</v>
      </c>
      <c r="CX46" s="1">
        <v>46</v>
      </c>
      <c r="DE46" s="1">
        <v>0</v>
      </c>
      <c r="DG46" s="1">
        <f t="shared" si="68"/>
        <v>0</v>
      </c>
      <c r="DQ46" s="1809">
        <v>45</v>
      </c>
      <c r="DR46" s="1810"/>
      <c r="DS46" s="947"/>
      <c r="DT46" s="833"/>
      <c r="DU46" s="1">
        <v>0</v>
      </c>
      <c r="DV46" s="2">
        <f t="shared" si="61"/>
        <v>0</v>
      </c>
      <c r="DW46" s="2">
        <f t="shared" si="24"/>
        <v>0</v>
      </c>
      <c r="DX46" s="2">
        <f t="shared" si="25"/>
        <v>0</v>
      </c>
      <c r="DY46" s="1">
        <v>0</v>
      </c>
      <c r="DZ46" s="2">
        <f t="shared" si="26"/>
        <v>0</v>
      </c>
      <c r="EA46" s="1">
        <f t="shared" si="33"/>
        <v>0</v>
      </c>
      <c r="EB46" s="1">
        <f t="shared" si="34"/>
        <v>0</v>
      </c>
      <c r="EC46" s="1">
        <f t="shared" si="35"/>
        <v>0</v>
      </c>
      <c r="EG46" s="879"/>
      <c r="EH46" s="2"/>
      <c r="EM46" s="1809">
        <v>45</v>
      </c>
      <c r="EN46" s="833">
        <v>16220.176328117257</v>
      </c>
      <c r="ER46" s="1">
        <f t="shared" si="27"/>
        <v>0</v>
      </c>
      <c r="ES46" s="2">
        <f t="shared" si="28"/>
        <v>0</v>
      </c>
      <c r="ET46" s="2">
        <f t="shared" si="29"/>
        <v>16220.176328117257</v>
      </c>
      <c r="EU46" s="114">
        <v>2407.1357310088902</v>
      </c>
      <c r="EV46">
        <v>1</v>
      </c>
      <c r="EW46" s="2">
        <f t="shared" si="30"/>
        <v>56532.356096784861</v>
      </c>
      <c r="EX46" s="2">
        <f t="shared" si="31"/>
        <v>58939.491827793754</v>
      </c>
      <c r="EY46" s="1">
        <f t="shared" si="73"/>
        <v>0</v>
      </c>
      <c r="EZ46" s="1">
        <f t="shared" si="37"/>
        <v>0</v>
      </c>
      <c r="FA46" s="1">
        <f t="shared" si="38"/>
        <v>2.2218479170701216E-2</v>
      </c>
      <c r="FL46" s="1809">
        <v>45</v>
      </c>
      <c r="FT46" s="2"/>
      <c r="FV46" s="1">
        <f t="shared" si="39"/>
        <v>0</v>
      </c>
      <c r="FY46" s="1">
        <f t="shared" si="76"/>
        <v>0</v>
      </c>
      <c r="FZ46" s="1">
        <f t="shared" si="66"/>
        <v>0</v>
      </c>
      <c r="GL46" s="1809">
        <v>45</v>
      </c>
      <c r="GR46" s="2">
        <f t="shared" si="58"/>
        <v>0</v>
      </c>
      <c r="GS46" s="1135">
        <v>626.10351983254748</v>
      </c>
      <c r="GW46" s="1">
        <f t="shared" si="71"/>
        <v>0</v>
      </c>
      <c r="GX46" s="1">
        <f t="shared" si="74"/>
        <v>0</v>
      </c>
      <c r="HI46" s="1809">
        <v>45</v>
      </c>
      <c r="HM46" s="57">
        <v>1710.8204682900964</v>
      </c>
      <c r="HN46" s="2">
        <f t="shared" si="46"/>
        <v>6548.3470616418745</v>
      </c>
      <c r="HO46" s="2">
        <f t="shared" si="60"/>
        <v>6548.3470616418745</v>
      </c>
      <c r="HP46">
        <v>0</v>
      </c>
      <c r="HQ46" s="2">
        <f t="shared" si="62"/>
        <v>0</v>
      </c>
      <c r="HR46" s="2">
        <v>0</v>
      </c>
      <c r="HS46" s="2">
        <f t="shared" si="69"/>
        <v>0</v>
      </c>
      <c r="HT46" s="2">
        <f t="shared" si="64"/>
        <v>0</v>
      </c>
      <c r="HU46" s="1">
        <f t="shared" si="75"/>
        <v>0</v>
      </c>
      <c r="HV46" s="1">
        <f t="shared" si="48"/>
        <v>1.0894384749590299E-3</v>
      </c>
      <c r="HW46" s="1">
        <f t="shared" si="49"/>
        <v>0</v>
      </c>
      <c r="HX46" s="2">
        <f t="shared" si="50"/>
        <v>6548.3470616418745</v>
      </c>
      <c r="IF46" s="1809">
        <v>45</v>
      </c>
      <c r="II46" s="1" t="s">
        <v>18</v>
      </c>
      <c r="IJ46" s="57">
        <v>0</v>
      </c>
      <c r="IK46" s="57">
        <f t="shared" si="77"/>
        <v>0</v>
      </c>
      <c r="IL46" s="2">
        <f t="shared" si="52"/>
        <v>0</v>
      </c>
      <c r="IN46" s="57">
        <f t="shared" si="53"/>
        <v>0</v>
      </c>
      <c r="IR46" s="1">
        <f t="shared" si="54"/>
        <v>0</v>
      </c>
    </row>
    <row r="47" spans="1:253" ht="15.6" thickTop="1" thickBot="1">
      <c r="A47" s="1783" t="s">
        <v>372</v>
      </c>
      <c r="B47" s="2">
        <f t="shared" ref="B47:G47" si="78">SUM(B6:B46)</f>
        <v>24329694.456137963</v>
      </c>
      <c r="C47" s="2">
        <f t="shared" si="78"/>
        <v>57146901.441496596</v>
      </c>
      <c r="D47" s="2">
        <f t="shared" si="78"/>
        <v>7501811.7502997313</v>
      </c>
      <c r="E47" s="2">
        <f t="shared" si="78"/>
        <v>36615883.549057126</v>
      </c>
      <c r="F47" s="2">
        <f t="shared" si="78"/>
        <v>0</v>
      </c>
      <c r="G47" s="2">
        <f t="shared" si="78"/>
        <v>125594291.19699143</v>
      </c>
      <c r="H47" s="243">
        <v>64648713.191796325</v>
      </c>
      <c r="I47" s="244">
        <v>36615883.549057126</v>
      </c>
      <c r="J47" s="245">
        <f>SUM(J6:J46)</f>
        <v>24329694.456137963</v>
      </c>
      <c r="K47" s="246">
        <f t="shared" si="32"/>
        <v>125594291.19699141</v>
      </c>
      <c r="L47" s="247">
        <f t="shared" si="0"/>
        <v>100</v>
      </c>
      <c r="M47" s="248">
        <f t="shared" si="1"/>
        <v>100</v>
      </c>
      <c r="N47" s="249"/>
      <c r="O47" s="249"/>
      <c r="P47" s="249">
        <f t="shared" si="2"/>
        <v>100</v>
      </c>
      <c r="Q47" s="248">
        <f t="shared" si="3"/>
        <v>100</v>
      </c>
      <c r="R47" s="240"/>
      <c r="S47" s="1154" t="s">
        <v>373</v>
      </c>
      <c r="T47" s="1813">
        <v>6106</v>
      </c>
      <c r="U47" s="1813">
        <v>811</v>
      </c>
      <c r="V47" s="1813">
        <v>4070</v>
      </c>
      <c r="W47" s="1813">
        <v>23451</v>
      </c>
      <c r="X47" s="1814">
        <v>24121</v>
      </c>
      <c r="Y47" s="1814"/>
      <c r="Z47" s="1814">
        <v>52949</v>
      </c>
      <c r="AA47" s="57">
        <f>T47+U47+V47</f>
        <v>10987</v>
      </c>
      <c r="AB47" s="1814"/>
      <c r="AC47" s="1147">
        <v>24121</v>
      </c>
      <c r="AV47" s="432">
        <v>10731.174439999999</v>
      </c>
      <c r="AW47" s="432">
        <v>16459.554059999995</v>
      </c>
      <c r="AX47" s="57">
        <v>61918.570975999995</v>
      </c>
      <c r="AY47" s="431">
        <v>12978</v>
      </c>
      <c r="AZ47" s="57">
        <v>71100</v>
      </c>
      <c r="BA47" s="435">
        <v>27190.728499999994</v>
      </c>
      <c r="BB47" s="2">
        <v>61918.570975999995</v>
      </c>
      <c r="BC47" s="1">
        <v>71100</v>
      </c>
      <c r="BF47" s="431"/>
      <c r="BN47" s="1" t="s">
        <v>374</v>
      </c>
      <c r="BO47" s="1146">
        <v>3152.6905000000002</v>
      </c>
      <c r="BP47" s="1146">
        <v>7586.451</v>
      </c>
      <c r="BQ47" s="1146">
        <v>11124</v>
      </c>
      <c r="BR47" s="1147">
        <v>420</v>
      </c>
      <c r="BS47" s="57"/>
      <c r="BT47" s="470">
        <f t="shared" si="12"/>
        <v>10739.1415</v>
      </c>
      <c r="BU47" s="467">
        <f t="shared" si="13"/>
        <v>11124</v>
      </c>
      <c r="BV47" s="470">
        <f t="shared" si="14"/>
        <v>420</v>
      </c>
      <c r="CH47" s="1">
        <v>47</v>
      </c>
      <c r="CI47" s="1">
        <v>0</v>
      </c>
      <c r="CJ47" s="1">
        <v>0</v>
      </c>
      <c r="CK47" s="1">
        <v>0</v>
      </c>
      <c r="CL47" s="1">
        <f t="shared" si="18"/>
        <v>0</v>
      </c>
      <c r="CM47" s="1">
        <f t="shared" si="19"/>
        <v>0</v>
      </c>
      <c r="CN47" s="1">
        <f t="shared" si="20"/>
        <v>0</v>
      </c>
      <c r="CX47" s="1">
        <v>47</v>
      </c>
      <c r="DE47" s="1">
        <v>0</v>
      </c>
      <c r="DQ47" s="1809">
        <v>46</v>
      </c>
      <c r="DR47" s="1810"/>
      <c r="DS47" s="947"/>
      <c r="DT47" s="833"/>
      <c r="DU47" s="1">
        <v>176.26725753225449</v>
      </c>
      <c r="DV47" s="2">
        <f t="shared" si="61"/>
        <v>176.26725753225449</v>
      </c>
      <c r="DW47" s="2">
        <f t="shared" si="24"/>
        <v>374.17296225306632</v>
      </c>
      <c r="DX47" s="2">
        <f t="shared" si="25"/>
        <v>374.17296225306632</v>
      </c>
      <c r="DY47" s="1">
        <v>0</v>
      </c>
      <c r="DZ47" s="2">
        <f t="shared" si="26"/>
        <v>0</v>
      </c>
      <c r="EA47" s="1">
        <f t="shared" si="33"/>
        <v>0</v>
      </c>
      <c r="EB47" s="1">
        <f t="shared" si="34"/>
        <v>4.4176657633184847E-4</v>
      </c>
      <c r="EC47" s="1">
        <f t="shared" si="35"/>
        <v>0</v>
      </c>
      <c r="EG47" s="879"/>
      <c r="EH47" s="2"/>
      <c r="EM47" s="1809">
        <v>46</v>
      </c>
      <c r="EN47" s="833"/>
      <c r="EO47" s="2"/>
      <c r="ER47" s="1">
        <f t="shared" si="27"/>
        <v>0</v>
      </c>
      <c r="ES47" s="2">
        <f t="shared" si="28"/>
        <v>0</v>
      </c>
      <c r="ET47" s="2">
        <f t="shared" si="29"/>
        <v>0</v>
      </c>
      <c r="EU47" s="114">
        <v>3630.3162643117403</v>
      </c>
      <c r="EW47" s="2">
        <f t="shared" si="30"/>
        <v>0</v>
      </c>
      <c r="EX47" s="2">
        <f t="shared" si="31"/>
        <v>3630.3162643117403</v>
      </c>
      <c r="EY47" s="1">
        <f t="shared" si="73"/>
        <v>0</v>
      </c>
      <c r="EZ47" s="1">
        <f t="shared" si="37"/>
        <v>0</v>
      </c>
      <c r="FA47" s="1">
        <f t="shared" si="38"/>
        <v>1.3685239522820559E-3</v>
      </c>
      <c r="FL47" s="1809">
        <v>46</v>
      </c>
      <c r="FT47" s="2"/>
      <c r="FV47" s="1">
        <f t="shared" si="39"/>
        <v>0</v>
      </c>
      <c r="FY47" s="1">
        <f t="shared" si="76"/>
        <v>0</v>
      </c>
      <c r="GL47" s="1809">
        <v>46</v>
      </c>
      <c r="GR47" s="2">
        <f t="shared" si="58"/>
        <v>0</v>
      </c>
      <c r="GS47" s="1135"/>
      <c r="GW47" s="1">
        <f t="shared" si="71"/>
        <v>0</v>
      </c>
      <c r="GX47" s="1">
        <f t="shared" si="74"/>
        <v>0</v>
      </c>
      <c r="HI47" s="1809">
        <v>46</v>
      </c>
      <c r="HM47" s="57" t="s">
        <v>18</v>
      </c>
      <c r="HO47" s="2">
        <f t="shared" si="60"/>
        <v>0</v>
      </c>
      <c r="HP47">
        <v>0</v>
      </c>
      <c r="HQ47" s="2">
        <f t="shared" si="62"/>
        <v>0</v>
      </c>
      <c r="HR47" s="2">
        <v>0</v>
      </c>
      <c r="HS47" s="2">
        <f>HR47*$HR$54</f>
        <v>0</v>
      </c>
      <c r="HT47" s="2">
        <f t="shared" si="64"/>
        <v>0</v>
      </c>
      <c r="HU47" s="1">
        <f t="shared" si="75"/>
        <v>0</v>
      </c>
      <c r="HW47" s="1">
        <f t="shared" si="49"/>
        <v>0</v>
      </c>
      <c r="HX47" s="2">
        <f>HO47+HT47</f>
        <v>0</v>
      </c>
      <c r="IF47" s="1809">
        <v>46</v>
      </c>
      <c r="IJ47" s="57"/>
      <c r="IK47" s="29"/>
    </row>
    <row r="48" spans="1:253" ht="15.6" thickTop="1" thickBot="1">
      <c r="A48" s="1783" t="s">
        <v>375</v>
      </c>
      <c r="B48" s="2"/>
      <c r="C48" s="2"/>
      <c r="D48" s="2">
        <v>1284</v>
      </c>
      <c r="E48" s="2">
        <v>8920</v>
      </c>
      <c r="F48" s="2"/>
      <c r="G48" s="13">
        <f>SUM(B48:F48)</f>
        <v>10204</v>
      </c>
      <c r="H48" s="243"/>
      <c r="I48" s="244"/>
      <c r="J48" s="245"/>
      <c r="K48" s="246">
        <f>SUM(F48:J48)</f>
        <v>10204</v>
      </c>
      <c r="L48" s="233"/>
      <c r="M48" s="233"/>
      <c r="N48" s="233"/>
      <c r="O48" s="233"/>
      <c r="AU48" s="430"/>
      <c r="AV48" s="431"/>
      <c r="AX48" s="431"/>
      <c r="AY48" s="29">
        <v>71100</v>
      </c>
      <c r="AZ48" s="431"/>
      <c r="BA48" s="431"/>
      <c r="BN48" s="1" t="s">
        <v>376</v>
      </c>
      <c r="BO48" s="1146">
        <v>9321</v>
      </c>
      <c r="BP48" s="1146">
        <v>18733.725700000003</v>
      </c>
      <c r="BQ48" s="1146">
        <v>23816.930409600001</v>
      </c>
      <c r="BR48" s="1146">
        <v>63159.221839999998</v>
      </c>
      <c r="BT48" s="470">
        <f t="shared" si="12"/>
        <v>28054.725700000003</v>
      </c>
      <c r="BU48" s="467">
        <f t="shared" si="13"/>
        <v>23816.930409600001</v>
      </c>
      <c r="BV48" s="470">
        <f t="shared" si="14"/>
        <v>63159.221839999998</v>
      </c>
      <c r="CH48" s="1">
        <v>48</v>
      </c>
      <c r="CI48" s="1">
        <v>0</v>
      </c>
      <c r="CJ48" s="1">
        <v>0</v>
      </c>
      <c r="CK48" s="1">
        <v>0</v>
      </c>
      <c r="CL48" s="1">
        <f t="shared" si="18"/>
        <v>0</v>
      </c>
      <c r="CM48" s="1">
        <f t="shared" si="19"/>
        <v>0</v>
      </c>
      <c r="CN48" s="1">
        <f t="shared" si="20"/>
        <v>0</v>
      </c>
      <c r="CX48" s="1">
        <v>48</v>
      </c>
      <c r="DE48" s="1">
        <v>0</v>
      </c>
      <c r="DQ48" s="1809">
        <v>47</v>
      </c>
      <c r="DR48" s="1810"/>
      <c r="DS48" s="947"/>
      <c r="DT48" s="833"/>
      <c r="DU48" s="20">
        <v>176.26725753225449</v>
      </c>
      <c r="DV48" s="2">
        <f t="shared" si="61"/>
        <v>176.26725753225449</v>
      </c>
      <c r="DW48" s="2">
        <f t="shared" si="24"/>
        <v>374.17296225306632</v>
      </c>
      <c r="DX48" s="2">
        <f t="shared" si="25"/>
        <v>374.17296225306632</v>
      </c>
      <c r="DY48" s="1">
        <v>176.26725753225449</v>
      </c>
      <c r="DZ48" s="2">
        <f t="shared" si="26"/>
        <v>2003.0064594865109</v>
      </c>
      <c r="EA48" s="1">
        <f t="shared" si="33"/>
        <v>0</v>
      </c>
      <c r="EB48" s="1">
        <f>(DU48/DU$51)*100</f>
        <v>4.4176657633184847E-4</v>
      </c>
      <c r="EC48" s="1">
        <f t="shared" si="35"/>
        <v>1.2591145779831596E-3</v>
      </c>
      <c r="EG48" s="879"/>
      <c r="EH48" s="2"/>
      <c r="EM48" s="1809">
        <v>47</v>
      </c>
      <c r="EN48" s="833"/>
      <c r="ER48" s="1">
        <f t="shared" si="27"/>
        <v>0</v>
      </c>
      <c r="ES48" s="2">
        <f t="shared" si="28"/>
        <v>0</v>
      </c>
      <c r="ET48" s="2">
        <f t="shared" si="29"/>
        <v>0</v>
      </c>
      <c r="EU48" s="894"/>
      <c r="EW48" s="2">
        <f t="shared" si="30"/>
        <v>0</v>
      </c>
      <c r="EX48" s="2">
        <f t="shared" si="31"/>
        <v>0</v>
      </c>
      <c r="EY48" s="1">
        <f t="shared" si="73"/>
        <v>0</v>
      </c>
      <c r="EZ48" s="1">
        <f t="shared" si="37"/>
        <v>0</v>
      </c>
      <c r="FA48" s="1">
        <f t="shared" si="38"/>
        <v>0</v>
      </c>
      <c r="FL48" s="1809">
        <v>47</v>
      </c>
      <c r="FT48" s="2"/>
      <c r="FV48" s="1">
        <f t="shared" si="39"/>
        <v>0</v>
      </c>
      <c r="FY48" s="1">
        <f t="shared" si="76"/>
        <v>0</v>
      </c>
      <c r="GL48" s="1809">
        <v>47</v>
      </c>
      <c r="GR48" s="2">
        <f t="shared" si="58"/>
        <v>0</v>
      </c>
      <c r="GS48" s="1135"/>
      <c r="GW48" s="1">
        <f t="shared" si="71"/>
        <v>0</v>
      </c>
      <c r="HI48" s="1809">
        <v>47</v>
      </c>
      <c r="HM48" s="57" t="s">
        <v>18</v>
      </c>
      <c r="HP48">
        <v>0</v>
      </c>
      <c r="HQ48" s="2">
        <f t="shared" si="62"/>
        <v>0</v>
      </c>
      <c r="HR48" s="2">
        <v>33.040997949781897</v>
      </c>
      <c r="HS48" s="2">
        <f t="shared" si="69"/>
        <v>326.42032189929176</v>
      </c>
      <c r="HT48" s="2">
        <f t="shared" si="64"/>
        <v>326.42032189929176</v>
      </c>
      <c r="HU48" s="1">
        <f t="shared" si="75"/>
        <v>0</v>
      </c>
      <c r="HW48" s="1">
        <f t="shared" si="49"/>
        <v>2.8836468144460598E-4</v>
      </c>
      <c r="HX48" s="2">
        <f t="shared" si="50"/>
        <v>326.42032189929176</v>
      </c>
      <c r="IF48" s="1809">
        <v>47</v>
      </c>
      <c r="IJ48" s="57"/>
      <c r="IK48" s="29"/>
    </row>
    <row r="49" spans="1:252" ht="15.6" thickTop="1" thickBot="1">
      <c r="A49" s="1783" t="s">
        <v>377</v>
      </c>
      <c r="B49" s="92">
        <f>B50/B47*1000</f>
        <v>0.38783570615780838</v>
      </c>
      <c r="C49" s="92">
        <f>C50/C47*1000</f>
        <v>0.24267282477593621</v>
      </c>
      <c r="D49" s="92">
        <f>D48/D47*1000</f>
        <v>0.17115865376769795</v>
      </c>
      <c r="E49" s="92">
        <f>E48/E47*1000</f>
        <v>0.24361012586379863</v>
      </c>
      <c r="F49" s="92"/>
      <c r="G49" s="92">
        <f>G50/G47*1000</f>
        <v>0.36187890227202241</v>
      </c>
      <c r="H49" s="243"/>
      <c r="I49" s="244"/>
      <c r="J49" s="250"/>
      <c r="K49" s="251">
        <f>K50/K47*1000</f>
        <v>0.72375780454404481</v>
      </c>
      <c r="L49" s="233"/>
      <c r="M49" s="233"/>
      <c r="N49" s="233"/>
      <c r="O49" s="233"/>
      <c r="Z49" s="154"/>
      <c r="AA49" s="154"/>
      <c r="AB49" s="154"/>
      <c r="AC49" s="154"/>
      <c r="AU49" s="430"/>
      <c r="AV49" s="431"/>
      <c r="AX49" s="431"/>
      <c r="AY49" s="131">
        <f>AY48/AY47</f>
        <v>5.4785020804438282</v>
      </c>
      <c r="AZ49" s="431"/>
      <c r="BA49" s="431"/>
      <c r="BB49" s="2"/>
      <c r="BF49" s="431"/>
      <c r="BN49" s="1" t="s">
        <v>378</v>
      </c>
      <c r="BO49" s="1119">
        <f>BO48/BO47</f>
        <v>2.9565223735092294</v>
      </c>
      <c r="BP49" s="1119">
        <f>BP48/BP47</f>
        <v>2.4693662029847689</v>
      </c>
      <c r="BQ49" s="1290">
        <f>BQ48/BQ47</f>
        <v>2.1410401303128372</v>
      </c>
      <c r="BR49" s="1814">
        <f>BR48/BR47</f>
        <v>150.37909961904762</v>
      </c>
      <c r="CH49" s="1">
        <v>49</v>
      </c>
      <c r="CI49" s="1">
        <v>0</v>
      </c>
      <c r="CJ49" s="1">
        <v>0</v>
      </c>
      <c r="CK49" s="1">
        <v>0</v>
      </c>
      <c r="CL49" s="1">
        <f t="shared" si="18"/>
        <v>0</v>
      </c>
      <c r="CM49" s="1">
        <f t="shared" si="19"/>
        <v>0</v>
      </c>
      <c r="CN49" s="1">
        <f t="shared" si="20"/>
        <v>0</v>
      </c>
      <c r="CX49" s="1">
        <v>49</v>
      </c>
      <c r="DQ49" s="1809">
        <v>48</v>
      </c>
      <c r="DR49" s="1810"/>
      <c r="DS49" s="947"/>
      <c r="DT49" s="833"/>
      <c r="DU49" s="1">
        <v>176</v>
      </c>
      <c r="DV49" s="2">
        <f t="shared" si="61"/>
        <v>176</v>
      </c>
      <c r="DW49" s="2">
        <f t="shared" si="24"/>
        <v>373.60563883788348</v>
      </c>
      <c r="DX49" s="2">
        <f t="shared" si="25"/>
        <v>373.60563883788348</v>
      </c>
      <c r="DY49" s="1">
        <v>176.26725753225449</v>
      </c>
      <c r="DZ49" s="2">
        <f t="shared" si="26"/>
        <v>2003.0064594865109</v>
      </c>
      <c r="EA49" s="1">
        <f t="shared" si="33"/>
        <v>0</v>
      </c>
      <c r="EB49" s="1">
        <f t="shared" si="34"/>
        <v>4.4109676705089701E-4</v>
      </c>
      <c r="EC49" s="1">
        <f t="shared" si="35"/>
        <v>1.2591145779831596E-3</v>
      </c>
      <c r="EM49" s="1809">
        <v>48</v>
      </c>
      <c r="EN49" s="833"/>
      <c r="EO49" s="2"/>
      <c r="ER49" s="1">
        <f t="shared" si="27"/>
        <v>0</v>
      </c>
      <c r="ES49" s="2">
        <f t="shared" si="28"/>
        <v>0</v>
      </c>
      <c r="EU49" s="894"/>
      <c r="EW49" s="2">
        <f t="shared" si="30"/>
        <v>0</v>
      </c>
      <c r="EX49" s="2">
        <f t="shared" si="31"/>
        <v>0</v>
      </c>
      <c r="EY49" s="1">
        <f t="shared" si="73"/>
        <v>0</v>
      </c>
      <c r="EZ49" s="1">
        <f t="shared" si="37"/>
        <v>0</v>
      </c>
      <c r="FA49" s="1">
        <f>EX49:EX91/EX$51</f>
        <v>0</v>
      </c>
      <c r="FL49" s="1809">
        <v>48</v>
      </c>
      <c r="FT49" s="2"/>
      <c r="FV49" s="1">
        <f t="shared" si="39"/>
        <v>0</v>
      </c>
      <c r="FY49" s="1">
        <f t="shared" si="76"/>
        <v>0</v>
      </c>
      <c r="GL49" s="1809">
        <v>48</v>
      </c>
      <c r="GR49" s="2">
        <f t="shared" si="58"/>
        <v>0</v>
      </c>
      <c r="GS49" s="1135"/>
      <c r="GW49" s="1">
        <f t="shared" si="71"/>
        <v>0</v>
      </c>
      <c r="HI49" s="1809">
        <v>48</v>
      </c>
      <c r="HP49">
        <v>0</v>
      </c>
      <c r="HQ49" s="2">
        <f t="shared" si="62"/>
        <v>0</v>
      </c>
      <c r="HR49" s="2"/>
      <c r="HU49" s="1">
        <f t="shared" si="75"/>
        <v>0</v>
      </c>
      <c r="IF49" s="1809">
        <v>48</v>
      </c>
      <c r="IJ49" s="57"/>
      <c r="IK49" s="29"/>
    </row>
    <row r="50" spans="1:252" ht="15.6" thickTop="1" thickBot="1">
      <c r="A50" s="1783" t="s">
        <v>379</v>
      </c>
      <c r="B50" s="13">
        <v>9435.9242299999823</v>
      </c>
      <c r="C50" s="13">
        <v>13868</v>
      </c>
      <c r="D50" s="13">
        <v>4795</v>
      </c>
      <c r="E50" s="13">
        <v>17351</v>
      </c>
      <c r="F50" s="2"/>
      <c r="G50" s="13">
        <f>SUM(B50:F50)</f>
        <v>45449.924229999982</v>
      </c>
      <c r="H50" s="243">
        <v>18663</v>
      </c>
      <c r="I50" s="244">
        <v>17351</v>
      </c>
      <c r="J50" s="252">
        <v>9435.9242299999823</v>
      </c>
      <c r="K50" s="253">
        <f>SUM(F50:J50)</f>
        <v>90899.84845999995</v>
      </c>
      <c r="L50" s="233"/>
      <c r="M50" s="233"/>
      <c r="N50" s="233"/>
      <c r="O50" s="233"/>
      <c r="Z50" s="154"/>
      <c r="AA50" s="154"/>
      <c r="AB50" s="154"/>
      <c r="AC50" s="154"/>
      <c r="AU50" s="430"/>
      <c r="AV50" s="431"/>
      <c r="AX50" s="431"/>
      <c r="BF50" s="431"/>
      <c r="CH50" s="1">
        <v>50</v>
      </c>
      <c r="CI50" s="1">
        <v>0</v>
      </c>
      <c r="CJ50" s="1">
        <v>0</v>
      </c>
      <c r="CK50" s="1">
        <v>0</v>
      </c>
      <c r="CL50" s="1">
        <f t="shared" si="18"/>
        <v>0</v>
      </c>
      <c r="CM50" s="1">
        <f t="shared" si="19"/>
        <v>0</v>
      </c>
      <c r="CN50" s="1">
        <f t="shared" si="20"/>
        <v>0</v>
      </c>
      <c r="CX50" s="1">
        <v>50</v>
      </c>
      <c r="DQ50" s="1809">
        <v>49</v>
      </c>
      <c r="DR50" s="1810"/>
      <c r="DS50" s="947"/>
      <c r="DT50" s="833"/>
      <c r="DV50" s="2">
        <f t="shared" si="61"/>
        <v>0</v>
      </c>
      <c r="DW50" s="2">
        <f t="shared" si="24"/>
        <v>0</v>
      </c>
      <c r="DX50" s="2">
        <f t="shared" si="25"/>
        <v>0</v>
      </c>
      <c r="DY50" s="1">
        <v>0</v>
      </c>
      <c r="DZ50" s="2">
        <f t="shared" si="26"/>
        <v>0</v>
      </c>
      <c r="EA50" s="1">
        <f>DS50/DS$51</f>
        <v>0</v>
      </c>
      <c r="EB50" s="1">
        <f>DU50/DU$51</f>
        <v>0</v>
      </c>
      <c r="EC50" s="1">
        <f>DY50/DY$51</f>
        <v>0</v>
      </c>
      <c r="EM50" s="1809">
        <v>49</v>
      </c>
      <c r="EN50" s="833"/>
      <c r="ER50" s="1">
        <f t="shared" si="27"/>
        <v>0</v>
      </c>
      <c r="ES50" s="2">
        <f t="shared" si="28"/>
        <v>0</v>
      </c>
      <c r="EX50" s="2">
        <f t="shared" si="31"/>
        <v>0</v>
      </c>
      <c r="FL50" s="1809">
        <v>49</v>
      </c>
      <c r="FT50" s="2"/>
      <c r="FV50" s="1">
        <f t="shared" si="39"/>
        <v>0</v>
      </c>
      <c r="FY50" s="1">
        <f t="shared" si="76"/>
        <v>0</v>
      </c>
      <c r="GL50" s="1809">
        <v>49</v>
      </c>
      <c r="GR50" s="2">
        <f t="shared" si="58"/>
        <v>0</v>
      </c>
      <c r="GS50" s="1138"/>
      <c r="GW50" s="1">
        <f t="shared" si="71"/>
        <v>0</v>
      </c>
      <c r="HI50" s="1809">
        <v>49</v>
      </c>
      <c r="HP50">
        <v>0</v>
      </c>
      <c r="IF50" s="1809">
        <v>49</v>
      </c>
    </row>
    <row r="51" spans="1:252" ht="15.6" thickTop="1" thickBot="1">
      <c r="A51" s="153"/>
      <c r="B51" s="193"/>
      <c r="C51" s="2"/>
      <c r="D51" s="2"/>
      <c r="E51" s="2"/>
      <c r="G51" s="148"/>
      <c r="H51" s="128"/>
      <c r="J51" s="233"/>
      <c r="K51" s="233"/>
      <c r="Z51" s="154"/>
      <c r="AA51" s="154"/>
      <c r="AB51" s="154"/>
      <c r="AC51" s="154"/>
      <c r="AU51" s="430"/>
      <c r="AV51" s="431"/>
      <c r="AX51" s="431"/>
      <c r="AZ51" s="431"/>
      <c r="BA51" s="431"/>
      <c r="CH51" s="1" t="s">
        <v>380</v>
      </c>
      <c r="CI51" s="1">
        <v>231816622.95269081</v>
      </c>
      <c r="CJ51" s="1">
        <v>418018942.87906313</v>
      </c>
      <c r="CK51" s="1">
        <v>326230504.10825253</v>
      </c>
      <c r="CL51" s="1">
        <f t="shared" si="18"/>
        <v>1</v>
      </c>
      <c r="CM51" s="1">
        <f t="shared" si="19"/>
        <v>1</v>
      </c>
      <c r="CN51" s="1">
        <f t="shared" si="20"/>
        <v>1</v>
      </c>
      <c r="CX51" s="1" t="s">
        <v>380</v>
      </c>
      <c r="CY51" s="1">
        <f>SUM(CY6:CY50)</f>
        <v>384429249.144665</v>
      </c>
      <c r="DA51" s="1">
        <f t="shared" ref="DA51:DG51" si="79">SUM(DA6:DA50)</f>
        <v>94382854.418431297</v>
      </c>
      <c r="DB51" s="1">
        <f t="shared" si="79"/>
        <v>215622456.78403553</v>
      </c>
      <c r="DC51" s="1">
        <f t="shared" si="79"/>
        <v>7650968.4043128323</v>
      </c>
      <c r="DD51" s="1">
        <f t="shared" si="79"/>
        <v>23348221.874611937</v>
      </c>
      <c r="DE51" s="1">
        <f t="shared" si="79"/>
        <v>1.0000000000000002</v>
      </c>
      <c r="DF51" s="1">
        <f t="shared" si="79"/>
        <v>1</v>
      </c>
      <c r="DG51" s="1">
        <f t="shared" si="79"/>
        <v>1.0000000000000002</v>
      </c>
      <c r="DQ51" s="1" t="s">
        <v>380</v>
      </c>
      <c r="DR51" s="1">
        <f>SUM(DR6:DR50)</f>
        <v>32011610.44178763</v>
      </c>
      <c r="DS51" s="1">
        <f>SUM(DS6:DS50)</f>
        <v>273791745.82755065</v>
      </c>
      <c r="DT51" s="1">
        <f>SUM(DT6:DT50)</f>
        <v>99276555.375165254</v>
      </c>
      <c r="DU51" s="1">
        <f>SUM(DU6:DU50)</f>
        <v>39900541.819135986</v>
      </c>
      <c r="DV51" s="2">
        <f t="shared" si="61"/>
        <v>139177097.19430125</v>
      </c>
      <c r="DW51" s="1">
        <f>SUM(DW6:DW50)</f>
        <v>295439479.02772224</v>
      </c>
      <c r="DX51" s="1">
        <f>SUM(DX6:DX50)</f>
        <v>601242835.29706073</v>
      </c>
      <c r="DY51" s="1">
        <f>SUM(DY6:DY50)</f>
        <v>13999302.415718043</v>
      </c>
      <c r="DZ51" s="1">
        <f>SUM(DZ6:DZ50)</f>
        <v>159080555.05916801</v>
      </c>
      <c r="EM51" s="1" t="s">
        <v>380</v>
      </c>
      <c r="EN51" s="2">
        <f>SUM(EN6:EN50)</f>
        <v>95408786.74764958</v>
      </c>
      <c r="EO51" s="2">
        <f>SUM(EO6:EO50)</f>
        <v>148884069.88720602</v>
      </c>
      <c r="EP51" s="2">
        <f>SUM(EP6:EP50)</f>
        <v>140636510.47010455</v>
      </c>
      <c r="EQ51" s="2">
        <f>SUM(EQ6:EQ50)</f>
        <v>36356763</v>
      </c>
      <c r="ER51" s="1">
        <f t="shared" si="27"/>
        <v>176993273.47010455</v>
      </c>
      <c r="ES51" s="2">
        <f t="shared" ref="ES51:FA51" si="80">SUM(ES8:ES50)</f>
        <v>422706768.86911416</v>
      </c>
      <c r="ET51" s="2">
        <f t="shared" si="80"/>
        <v>666999625.50396967</v>
      </c>
      <c r="EU51" s="2">
        <f t="shared" si="80"/>
        <v>33207073.218640678</v>
      </c>
      <c r="EV51" s="2">
        <f t="shared" si="80"/>
        <v>4105</v>
      </c>
      <c r="EW51" s="2">
        <f t="shared" si="80"/>
        <v>232065321.77730179</v>
      </c>
      <c r="EX51" s="2">
        <f t="shared" si="80"/>
        <v>265272394.99594259</v>
      </c>
      <c r="EY51" s="2">
        <f t="shared" si="80"/>
        <v>99.999999999999957</v>
      </c>
      <c r="EZ51" s="2">
        <f t="shared" si="80"/>
        <v>100</v>
      </c>
      <c r="FA51" s="2">
        <f t="shared" si="80"/>
        <v>99.999999999999972</v>
      </c>
      <c r="FL51" s="1" t="s">
        <v>380</v>
      </c>
      <c r="FM51" s="1">
        <f>SUM(FM11:FM50)</f>
        <v>32505308.071393903</v>
      </c>
      <c r="FN51" s="1">
        <f t="shared" ref="FN51:FU51" si="81">SUM(FN11:FN50)</f>
        <v>30126222</v>
      </c>
      <c r="FO51" s="1">
        <f t="shared" si="81"/>
        <v>205991155.39373159</v>
      </c>
      <c r="FP51" s="1">
        <f t="shared" si="81"/>
        <v>44456530.396857679</v>
      </c>
      <c r="FQ51" s="1">
        <f t="shared" si="81"/>
        <v>250447685.7905893</v>
      </c>
      <c r="FR51" s="1">
        <f t="shared" si="81"/>
        <v>191600744.57480904</v>
      </c>
      <c r="FT51" s="1">
        <f t="shared" si="81"/>
        <v>27469654.220940541</v>
      </c>
      <c r="FU51" s="1">
        <f t="shared" si="81"/>
        <v>92533889.353628278</v>
      </c>
      <c r="FV51" s="1">
        <f t="shared" si="39"/>
        <v>346766163.9998312</v>
      </c>
      <c r="FW51" s="1">
        <f>SUM(FW8:FW45)</f>
        <v>442312796.97248733</v>
      </c>
      <c r="FY51" s="1">
        <f t="shared" si="76"/>
        <v>1</v>
      </c>
      <c r="GL51" s="1" t="s">
        <v>380</v>
      </c>
      <c r="GM51" s="1112">
        <f>SUM(GM22:GM50)</f>
        <v>33385632.50805727</v>
      </c>
      <c r="GN51">
        <v>153496968.29326665</v>
      </c>
      <c r="GP51" s="1136">
        <v>135426115.74618337</v>
      </c>
      <c r="GQ51" s="1112">
        <f>SUM(GQ22:GQ50)</f>
        <v>271774293.50700754</v>
      </c>
      <c r="GR51" s="2">
        <f t="shared" si="58"/>
        <v>458656894.30833149</v>
      </c>
      <c r="GS51" s="1138">
        <v>11995367.841780618</v>
      </c>
      <c r="HI51" s="1" t="s">
        <v>380</v>
      </c>
      <c r="HJ51" s="1274">
        <f>SUM(HJ20:HJ50)</f>
        <v>35541781.698921576</v>
      </c>
      <c r="HK51" s="1274">
        <f>SUM(HK10:HK50)</f>
        <v>178914730.58080584</v>
      </c>
      <c r="HL51" s="1274">
        <f>SUM(HL21:HL50)</f>
        <v>3331955.4921064749</v>
      </c>
      <c r="HM51" s="1274">
        <f t="shared" ref="HM51:HR51" si="82">SUM(HM11:HM50)</f>
        <v>101008019.52620646</v>
      </c>
      <c r="HN51" s="1274">
        <f t="shared" si="82"/>
        <v>386618923.56699485</v>
      </c>
      <c r="HO51" s="1274">
        <f t="shared" si="82"/>
        <v>601075435.84672236</v>
      </c>
      <c r="HP51" s="1274">
        <f t="shared" si="82"/>
        <v>373</v>
      </c>
      <c r="HQ51" s="1274">
        <f t="shared" si="82"/>
        <v>2164094.7149501843</v>
      </c>
      <c r="HR51" s="1274">
        <f t="shared" si="82"/>
        <v>11239005.380275059</v>
      </c>
      <c r="HS51" s="1274">
        <f>SUM(HS19:HS50)</f>
        <v>111032958.49698976</v>
      </c>
      <c r="HT51" s="1274">
        <f>SUM(HT15:HT50)</f>
        <v>113197053.21193995</v>
      </c>
      <c r="HU51" s="1274">
        <f>SUM(HU11:HU50)</f>
        <v>99.999260695424766</v>
      </c>
      <c r="HV51" s="1274">
        <f>SUM(HV11:HV50)</f>
        <v>99.999999999999957</v>
      </c>
      <c r="HW51" s="1274">
        <f>SUM(HW11:HW50)</f>
        <v>100</v>
      </c>
      <c r="HX51" s="1274">
        <f>SUM(HX11:HX50)</f>
        <v>714272489.0586623</v>
      </c>
      <c r="IF51" s="1" t="s">
        <v>380</v>
      </c>
      <c r="IG51" s="2">
        <f>SUM(IG8:IG50)</f>
        <v>41929261.691581026</v>
      </c>
      <c r="IH51" s="2">
        <f>SUM(IH8:IH50)</f>
        <v>189462082.08057761</v>
      </c>
      <c r="II51" s="2">
        <f>SUM(II8:II50)</f>
        <v>11977748.129441319</v>
      </c>
      <c r="IJ51" s="2">
        <f t="shared" ref="IJ51" si="83">SUM(IJ8:IJ50)</f>
        <v>11842749.389108192</v>
      </c>
      <c r="IK51" s="2">
        <f>SUM(IK8:IK50)</f>
        <v>102189135.85963596</v>
      </c>
      <c r="IL51" s="2">
        <f>SUM(IL8:IL50)</f>
        <v>333580479.63179463</v>
      </c>
      <c r="IM51" s="2">
        <f>SUM(IM8:IM50)</f>
        <v>400</v>
      </c>
      <c r="IN51" s="2">
        <f>SUM(IN8:IN50)</f>
        <v>38661.589411278859</v>
      </c>
      <c r="IR51" s="2">
        <f>SUM(IR8:IR50)</f>
        <v>99.999999999999986</v>
      </c>
    </row>
    <row r="52" spans="1:252" ht="15.6" thickTop="1" thickBot="1">
      <c r="A52" s="153"/>
      <c r="C52" s="2"/>
      <c r="D52" s="2"/>
      <c r="E52" s="2"/>
      <c r="G52" s="148"/>
      <c r="H52" s="128"/>
      <c r="J52" s="233"/>
      <c r="K52" s="233"/>
      <c r="L52" s="1815" t="s">
        <v>18</v>
      </c>
      <c r="Z52" s="154"/>
      <c r="AA52" s="154"/>
      <c r="AB52" s="154"/>
      <c r="AC52" s="154"/>
      <c r="AU52" s="430"/>
      <c r="AV52" s="431"/>
      <c r="AX52" s="431"/>
      <c r="AZ52" s="431"/>
      <c r="BA52" s="431"/>
      <c r="BB52" s="2"/>
      <c r="BF52" s="431"/>
      <c r="BQ52" s="1">
        <v>57799.649879999997</v>
      </c>
      <c r="CH52" s="1" t="s">
        <v>381</v>
      </c>
      <c r="CI52" s="1">
        <v>12904.6185</v>
      </c>
      <c r="CJ52" s="1">
        <v>20175.999999999996</v>
      </c>
      <c r="CK52" s="1">
        <v>66154.474960000007</v>
      </c>
      <c r="CX52" s="1" t="s">
        <v>382</v>
      </c>
      <c r="CY52" s="20">
        <v>9701.2267800000045</v>
      </c>
      <c r="CZ52" s="20">
        <v>15929.634350000006</v>
      </c>
      <c r="DA52" s="20">
        <v>13133</v>
      </c>
      <c r="DB52" s="20">
        <v>30003.010000000002</v>
      </c>
      <c r="DC52" s="20">
        <v>9793.33</v>
      </c>
      <c r="DD52" s="20">
        <v>29886</v>
      </c>
      <c r="DQ52" s="1" t="s">
        <v>383</v>
      </c>
      <c r="DR52" s="2">
        <v>7776.3375000000005</v>
      </c>
      <c r="DS52" s="947">
        <v>12116.23675</v>
      </c>
      <c r="DT52" s="2">
        <v>9722.3794999999991</v>
      </c>
      <c r="DU52" s="509">
        <v>3478</v>
      </c>
      <c r="DV52" s="2">
        <f t="shared" si="61"/>
        <v>13200.379499999999</v>
      </c>
      <c r="DW52" s="1">
        <v>28021.228500000001</v>
      </c>
      <c r="DX52" s="2">
        <f>DR52+DS52+DW52</f>
        <v>47913.802750000003</v>
      </c>
      <c r="DY52" s="1">
        <v>2974</v>
      </c>
      <c r="DZ52" s="1">
        <v>33794.938968871429</v>
      </c>
      <c r="EM52" s="1" t="s">
        <v>383</v>
      </c>
      <c r="EN52">
        <v>5981.6875</v>
      </c>
      <c r="EO52" s="148">
        <v>10090.806769999999</v>
      </c>
      <c r="EP52" s="1">
        <v>8550.7180000000008</v>
      </c>
      <c r="EQ52" s="892">
        <v>5710.6664580523548</v>
      </c>
      <c r="ER52" s="1">
        <f t="shared" si="27"/>
        <v>14261.384458052355</v>
      </c>
      <c r="ES52" s="1">
        <v>34059.959600000002</v>
      </c>
      <c r="ET52" s="2">
        <f>EN52+EO52+ES52</f>
        <v>50132.453869999998</v>
      </c>
      <c r="EU52" s="894">
        <v>6875.9212026431724</v>
      </c>
      <c r="EV52">
        <v>0.72648000000000001</v>
      </c>
      <c r="EW52" s="1">
        <v>41069.626057192268</v>
      </c>
      <c r="EX52" s="2">
        <f>EU52+EW52</f>
        <v>47945.547259835439</v>
      </c>
      <c r="FL52" s="1" t="s">
        <v>383</v>
      </c>
      <c r="FM52" s="2">
        <v>6147.0695000000005</v>
      </c>
      <c r="FN52" s="2">
        <v>3178</v>
      </c>
      <c r="FO52" s="211">
        <v>12505.820448999999</v>
      </c>
      <c r="FP52" s="1024">
        <v>3840.9520925951711</v>
      </c>
      <c r="FQ52" s="2">
        <f>FO52+FP52</f>
        <v>16346.77254159517</v>
      </c>
      <c r="FR52" s="2">
        <v>12505.820448999999</v>
      </c>
      <c r="FT52" s="2">
        <v>6519</v>
      </c>
      <c r="FU52" s="1">
        <v>21959.811355632297</v>
      </c>
      <c r="FV52" s="1">
        <f t="shared" si="39"/>
        <v>43790.701304632297</v>
      </c>
      <c r="FW52" s="1">
        <v>55800.288054632299</v>
      </c>
      <c r="GL52" s="1" t="s">
        <v>383</v>
      </c>
      <c r="GM52" s="1112">
        <v>5537.8906500000003</v>
      </c>
      <c r="GN52">
        <v>14182.399670000001</v>
      </c>
      <c r="GP52" s="1137">
        <v>13281</v>
      </c>
      <c r="GQ52" s="211">
        <v>45003.822505436052</v>
      </c>
      <c r="GR52" s="2">
        <f t="shared" si="58"/>
        <v>64724.112825436052</v>
      </c>
      <c r="GS52" s="1138">
        <v>9590</v>
      </c>
      <c r="HI52" s="1" t="s">
        <v>383</v>
      </c>
      <c r="HJ52" s="1">
        <v>4462</v>
      </c>
      <c r="HK52">
        <v>12898</v>
      </c>
      <c r="HL52">
        <v>371.65</v>
      </c>
      <c r="HM52" s="1">
        <v>12475</v>
      </c>
      <c r="HN52" s="2">
        <v>47749.387564686571</v>
      </c>
      <c r="HO52" s="2">
        <f>HJ52+HK52+HN52</f>
        <v>65109.387564686571</v>
      </c>
      <c r="HP52" s="73">
        <v>5.6599999999999998E-2</v>
      </c>
      <c r="HQ52" s="1274">
        <v>328.38541787179736</v>
      </c>
      <c r="HR52" s="2">
        <v>2430</v>
      </c>
      <c r="HS52" s="2">
        <v>24006.580655367732</v>
      </c>
      <c r="HT52" s="2">
        <f>HQ52+HS52</f>
        <v>24334.966073239528</v>
      </c>
      <c r="HX52" s="2">
        <f>HO52+HT52</f>
        <v>89444.353637926106</v>
      </c>
      <c r="IF52" s="1" t="s">
        <v>383</v>
      </c>
      <c r="IG52" s="1">
        <v>3883.4259999999999</v>
      </c>
      <c r="IH52" s="1">
        <v>10171.624</v>
      </c>
      <c r="II52" s="2">
        <v>1201</v>
      </c>
      <c r="IJ52" s="1">
        <v>1753.58</v>
      </c>
      <c r="IK52" s="2">
        <v>15131.353284022734</v>
      </c>
      <c r="IL52" s="2">
        <f t="shared" ref="IL52" si="84">IG52+IH52+IK52</f>
        <v>29186.403284022734</v>
      </c>
      <c r="IM52" s="1961">
        <v>6.4399999999999999E-2</v>
      </c>
      <c r="IN52" s="1456">
        <v>6.2245158952158963</v>
      </c>
    </row>
    <row r="53" spans="1:252" ht="14.4" thickBot="1">
      <c r="C53"/>
      <c r="E53" s="2"/>
      <c r="G53" s="148"/>
      <c r="H53" s="254"/>
      <c r="I53" s="254"/>
      <c r="K53" s="2096" t="s">
        <v>384</v>
      </c>
      <c r="L53" s="2097"/>
      <c r="M53" s="2098"/>
      <c r="N53" s="310" t="s">
        <v>385</v>
      </c>
      <c r="O53" s="308"/>
      <c r="P53" s="313"/>
      <c r="Q53" s="313"/>
      <c r="R53" s="313"/>
      <c r="S53" s="313"/>
      <c r="T53" s="313"/>
      <c r="U53" s="313"/>
      <c r="V53" s="313"/>
      <c r="W53" s="313"/>
      <c r="X53" s="313"/>
      <c r="Y53" s="313"/>
      <c r="AU53" s="430"/>
      <c r="AX53" s="431"/>
      <c r="BF53" s="431"/>
      <c r="BQ53" s="1">
        <v>4936.8919599999999</v>
      </c>
      <c r="CX53" s="1" t="s">
        <v>386</v>
      </c>
      <c r="CY53" s="1">
        <f>CY52*1000/CY51</f>
        <v>2.5235402357091007E-2</v>
      </c>
      <c r="DA53" s="1">
        <f>DA52*1000/DA51</f>
        <v>0.13914603537817308</v>
      </c>
      <c r="DB53" s="1">
        <f>DB52*1000/DB51</f>
        <v>0.13914603537817308</v>
      </c>
      <c r="DC53" s="1">
        <f>DC52*1000/DC51</f>
        <v>1.2800118210499372</v>
      </c>
      <c r="DD53" s="1">
        <f>DD52*1000/DD51</f>
        <v>1.2800118210499372</v>
      </c>
      <c r="DQ53" s="1" t="s">
        <v>387</v>
      </c>
      <c r="DR53" s="2">
        <f t="shared" ref="DR53:DZ53" si="85">DR52*1000*1000/DR51</f>
        <v>242.92240823500867</v>
      </c>
      <c r="DS53" s="2">
        <f t="shared" si="85"/>
        <v>44.253477084847852</v>
      </c>
      <c r="DT53" s="2">
        <f t="shared" si="85"/>
        <v>97.932280821581799</v>
      </c>
      <c r="DU53" s="2">
        <f t="shared" si="85"/>
        <v>87.166736125171582</v>
      </c>
      <c r="DV53" s="2">
        <f t="shared" si="85"/>
        <v>94.845917655340372</v>
      </c>
      <c r="DW53" s="2">
        <f t="shared" si="85"/>
        <v>94.845917655340358</v>
      </c>
      <c r="DX53" s="2">
        <f t="shared" si="85"/>
        <v>79.691266052803527</v>
      </c>
      <c r="DY53" s="2">
        <f t="shared" si="85"/>
        <v>212.43915672975763</v>
      </c>
      <c r="DZ53" s="2">
        <f t="shared" si="85"/>
        <v>212.43915672975763</v>
      </c>
      <c r="EM53" s="1" t="s">
        <v>387</v>
      </c>
      <c r="EN53" s="2">
        <f t="shared" ref="EN53:EX53" si="86">EN52*1000*1000/EN51</f>
        <v>62.695352324531683</v>
      </c>
      <c r="EO53" s="2">
        <f t="shared" si="86"/>
        <v>67.776268996708353</v>
      </c>
      <c r="EP53" s="2">
        <f t="shared" si="86"/>
        <v>60.80012915150968</v>
      </c>
      <c r="EQ53" s="2">
        <f t="shared" si="86"/>
        <v>157.07301714545804</v>
      </c>
      <c r="ER53" s="2">
        <f t="shared" si="86"/>
        <v>80.575855672058665</v>
      </c>
      <c r="ES53" s="2">
        <f t="shared" si="86"/>
        <v>80.575855672058651</v>
      </c>
      <c r="ET53" s="2">
        <f t="shared" si="86"/>
        <v>75.16114245509668</v>
      </c>
      <c r="EU53" s="2">
        <f t="shared" si="86"/>
        <v>207.06194603092567</v>
      </c>
      <c r="EV53" s="2">
        <f t="shared" si="86"/>
        <v>176.97442143727162</v>
      </c>
      <c r="EW53" s="2">
        <f t="shared" si="86"/>
        <v>176.97442143727167</v>
      </c>
      <c r="EX53" s="2">
        <f t="shared" si="86"/>
        <v>180.74080893554256</v>
      </c>
      <c r="FL53" s="1" t="s">
        <v>387</v>
      </c>
      <c r="FM53" s="2">
        <f t="shared" ref="FM53:FR53" si="87">FM52*1000000/FM51</f>
        <v>189.10971360427411</v>
      </c>
      <c r="FN53" s="2">
        <f t="shared" si="87"/>
        <v>105.48949682439438</v>
      </c>
      <c r="FO53" s="2">
        <f t="shared" si="87"/>
        <v>60.710472860334058</v>
      </c>
      <c r="FP53" s="2">
        <f t="shared" si="87"/>
        <v>86.397927555468002</v>
      </c>
      <c r="FQ53" s="2">
        <f t="shared" si="87"/>
        <v>65.270207987721037</v>
      </c>
      <c r="FR53" s="2">
        <f t="shared" si="87"/>
        <v>65.270207987721037</v>
      </c>
      <c r="FT53" s="2">
        <f>FT52*1000000/FT51</f>
        <v>237.31642006001175</v>
      </c>
      <c r="FU53" s="2">
        <f>FU52*1000000/FU51</f>
        <v>237.31642006001175</v>
      </c>
      <c r="FW53" s="2">
        <f>FW52*1000000/FW51</f>
        <v>126.15571703231363</v>
      </c>
      <c r="GL53" s="1" t="s">
        <v>387</v>
      </c>
      <c r="GM53" s="2">
        <f>GM52*1000000/GM51</f>
        <v>165.87646343568565</v>
      </c>
      <c r="GN53" s="2">
        <f>GN52*1000000/GN51</f>
        <v>92.395308048713616</v>
      </c>
      <c r="GO53" s="2" t="s">
        <v>18</v>
      </c>
      <c r="GP53" s="2">
        <f>GP52*1000000/GP51</f>
        <v>98.068233935700775</v>
      </c>
      <c r="GQ53" s="2">
        <f>GQ52*1000000/GQ51</f>
        <v>165.5926391149855</v>
      </c>
      <c r="GR53" s="2">
        <f>GR52*1000000/GR51</f>
        <v>141.11662471146755</v>
      </c>
      <c r="GS53" s="2">
        <f>GS52*1000000/GS51</f>
        <v>799.47527466372719</v>
      </c>
      <c r="HI53" s="1" t="s">
        <v>387</v>
      </c>
      <c r="HJ53" s="2">
        <f>HJ52*1000000/HJ51</f>
        <v>125.54238382864717</v>
      </c>
      <c r="HK53" s="2">
        <f t="shared" ref="HK53:HX53" si="88">HK52*1000000/HK51</f>
        <v>72.090207207252234</v>
      </c>
      <c r="HL53" s="2">
        <f t="shared" si="88"/>
        <v>111.54110578021</v>
      </c>
      <c r="HM53" s="2">
        <f>HM52*1000000/HM51</f>
        <v>123.50504503024504</v>
      </c>
      <c r="HN53" s="2">
        <f t="shared" si="88"/>
        <v>123.50504503024506</v>
      </c>
      <c r="HO53" s="2">
        <f>HO52*1000000/HO51</f>
        <v>108.32149125004308</v>
      </c>
      <c r="HP53" s="2">
        <f>HP52*1000000/HP51</f>
        <v>151.74262734584451</v>
      </c>
      <c r="HQ53" s="2">
        <f>HQ52*1000000/HQ51</f>
        <v>151.74262734584448</v>
      </c>
      <c r="HR53" s="2">
        <f>HR52*1000000/HR51</f>
        <v>216.21130320524227</v>
      </c>
      <c r="HS53" s="2">
        <f t="shared" si="88"/>
        <v>216.21130320524227</v>
      </c>
      <c r="HT53" s="2">
        <f t="shared" si="88"/>
        <v>214.97879478962173</v>
      </c>
      <c r="HU53" s="2">
        <f t="shared" si="88"/>
        <v>0</v>
      </c>
      <c r="HV53" s="2">
        <f t="shared" si="88"/>
        <v>0</v>
      </c>
      <c r="HX53" s="2">
        <f t="shared" si="88"/>
        <v>125.22441366292094</v>
      </c>
      <c r="IA53" s="2">
        <v>13444533.355998205</v>
      </c>
      <c r="IF53" s="1" t="s">
        <v>387</v>
      </c>
      <c r="IG53" s="2">
        <f>IG52*1000000/IG51</f>
        <v>92.61851612282868</v>
      </c>
      <c r="IH53" s="2">
        <f>IH52*1000000/IH51</f>
        <v>53.686858543410501</v>
      </c>
      <c r="II53" s="2">
        <f>II52*1000000/II51</f>
        <v>100.26926489194915</v>
      </c>
      <c r="IJ53" s="2">
        <f>IJ52*1000000/IJ51</f>
        <v>148.07203482772101</v>
      </c>
      <c r="IK53" s="2">
        <f t="shared" ref="IK53:IL53" si="89">IK52*1000000/IK51</f>
        <v>148.07203482772104</v>
      </c>
      <c r="IL53" s="2">
        <f t="shared" si="89"/>
        <v>87.494338146640416</v>
      </c>
      <c r="IM53" s="2">
        <f>IM52*1000000/IM51</f>
        <v>161</v>
      </c>
    </row>
    <row r="54" spans="1:252" ht="15" thickBot="1">
      <c r="A54" s="1816" t="s">
        <v>388</v>
      </c>
      <c r="B54" s="1804" t="s">
        <v>389</v>
      </c>
      <c r="C54" s="1804" t="s">
        <v>390</v>
      </c>
      <c r="D54" s="1804" t="s">
        <v>391</v>
      </c>
      <c r="E54" s="1804" t="s">
        <v>310</v>
      </c>
      <c r="F54" s="1817" t="s">
        <v>29</v>
      </c>
      <c r="G54" s="1804" t="s">
        <v>45</v>
      </c>
      <c r="H54" s="255" t="s">
        <v>311</v>
      </c>
      <c r="I54" s="235" t="s">
        <v>312</v>
      </c>
      <c r="J54" s="194" t="s">
        <v>45</v>
      </c>
      <c r="K54" s="159" t="s">
        <v>311</v>
      </c>
      <c r="L54" s="160" t="s">
        <v>312</v>
      </c>
      <c r="M54" s="194" t="s">
        <v>392</v>
      </c>
      <c r="N54" s="309"/>
      <c r="O54" s="309"/>
      <c r="AU54" s="430"/>
      <c r="AV54" s="431"/>
      <c r="AX54" s="431"/>
      <c r="AZ54" s="431"/>
      <c r="BA54" s="431"/>
      <c r="BQ54" s="1">
        <v>422.68</v>
      </c>
      <c r="DQ54" s="881"/>
      <c r="DR54" s="882"/>
      <c r="DS54" s="882"/>
      <c r="DT54" s="833"/>
      <c r="DV54" s="880">
        <v>28021.228500000001</v>
      </c>
      <c r="DW54" s="211"/>
      <c r="EM54" s="1" t="s">
        <v>18</v>
      </c>
      <c r="ER54" s="13" t="s">
        <v>18</v>
      </c>
      <c r="FP54" s="1" t="s">
        <v>393</v>
      </c>
      <c r="FQ54" s="35">
        <f>FR52/FQ52</f>
        <v>0.76503300068428315</v>
      </c>
      <c r="FT54" s="35">
        <f>FU52/FT52</f>
        <v>3.3685858806001376</v>
      </c>
      <c r="FV54" s="35">
        <f>FW52/FV52</f>
        <v>1.2742497012426151</v>
      </c>
      <c r="GP54" s="35">
        <f>GQ52/GP52</f>
        <v>3.3885868914566712</v>
      </c>
      <c r="GR54" s="2">
        <f t="shared" si="58"/>
        <v>0</v>
      </c>
      <c r="HM54" s="35">
        <f>HN52/HM52</f>
        <v>3.8276062176101457</v>
      </c>
      <c r="HP54" s="35">
        <f>HQ52/HP52</f>
        <v>5801.8625065688584</v>
      </c>
      <c r="HR54" s="35">
        <f>HS52/HR52</f>
        <v>9.8792512985052401</v>
      </c>
      <c r="IA54" s="1">
        <v>62416043.541852407</v>
      </c>
      <c r="IJ54" s="35">
        <f>IK52/IJ52</f>
        <v>8.6288354589027794</v>
      </c>
      <c r="IM54" s="35">
        <f>IN52/IM52</f>
        <v>96.653973528197156</v>
      </c>
    </row>
    <row r="55" spans="1:252" ht="14.4">
      <c r="A55" s="187">
        <v>13</v>
      </c>
      <c r="B55" s="2">
        <v>0</v>
      </c>
      <c r="C55" s="2">
        <v>126.01881338868094</v>
      </c>
      <c r="D55" s="2">
        <v>16167.368421052632</v>
      </c>
      <c r="E55" s="2"/>
      <c r="G55" s="13">
        <f t="shared" ref="G55:G95" si="90">SUM(B55:F55)</f>
        <v>16293.387234441312</v>
      </c>
      <c r="H55" s="192">
        <f t="shared" ref="H55:H95" si="91">SUM(B55:C55)</f>
        <v>126.01881338868094</v>
      </c>
      <c r="I55" s="192">
        <f t="shared" ref="I55:I95" si="92">SUM(D55:E55)</f>
        <v>16167.368421052632</v>
      </c>
      <c r="J55" s="256">
        <f t="shared" ref="J55:J95" si="93">SUM(H55:I55)</f>
        <v>16293.387234441312</v>
      </c>
      <c r="K55" s="239">
        <f t="shared" ref="K55:K93" si="94">+H55/H$93*100</f>
        <v>1.1342860547773301E-4</v>
      </c>
      <c r="L55" s="239">
        <f t="shared" ref="L55:L93" si="95">+I55/I$93*100</f>
        <v>8.6241418862849743E-3</v>
      </c>
      <c r="M55" s="239">
        <f t="shared" ref="M55:M93" si="96">+J55/J$93*100</f>
        <v>5.457213150883997E-3</v>
      </c>
      <c r="N55" s="240"/>
      <c r="O55" s="240"/>
      <c r="AU55" s="430"/>
      <c r="AV55" s="431"/>
      <c r="AX55" s="431"/>
      <c r="AZ55" s="431"/>
      <c r="BA55" s="431"/>
      <c r="BB55" s="2"/>
      <c r="BF55" s="431"/>
      <c r="CX55" s="1" t="s">
        <v>393</v>
      </c>
      <c r="CY55" s="1">
        <f>CZ52/CY52</f>
        <v>1.6420226751981979</v>
      </c>
      <c r="DA55" s="1">
        <f>DB52/DA52</f>
        <v>2.2845511307393589</v>
      </c>
      <c r="DB55" s="1" t="s">
        <v>18</v>
      </c>
      <c r="DC55" s="1">
        <f>DD52/DC52</f>
        <v>3.0516688399145133</v>
      </c>
      <c r="DQ55" s="881"/>
      <c r="DR55" s="882"/>
      <c r="DS55" s="882"/>
      <c r="DT55" s="833"/>
      <c r="DU55" s="1" t="s">
        <v>393</v>
      </c>
      <c r="DV55" s="1">
        <f>DV54/DV52</f>
        <v>2.1227593115788834</v>
      </c>
      <c r="DW55" s="355"/>
      <c r="DZ55" s="1">
        <f>DZ52/DY52</f>
        <v>11.363463002310501</v>
      </c>
      <c r="EM55" s="1" t="s">
        <v>394</v>
      </c>
      <c r="ER55" s="1">
        <f>ES52/ER52</f>
        <v>2.3882645966232858</v>
      </c>
      <c r="EU55" s="1">
        <f>EW52/EU52</f>
        <v>5.9729634541775578</v>
      </c>
      <c r="EV55" s="1">
        <f>EW52/EV52</f>
        <v>56532.356096784861</v>
      </c>
      <c r="EW55" s="1" t="s">
        <v>18</v>
      </c>
      <c r="GR55" s="2">
        <f t="shared" si="58"/>
        <v>0</v>
      </c>
      <c r="IF55" s="1" t="s">
        <v>395</v>
      </c>
      <c r="IG55" s="2">
        <v>20.978450741809322</v>
      </c>
      <c r="II55" s="2">
        <v>23.301016697452681</v>
      </c>
    </row>
    <row r="56" spans="1:252" ht="14.4">
      <c r="A56" s="187">
        <v>14</v>
      </c>
      <c r="B56" s="2">
        <v>9317133.3369903322</v>
      </c>
      <c r="C56" s="2">
        <v>191762.42717838674</v>
      </c>
      <c r="D56" s="2">
        <v>16167.368421052632</v>
      </c>
      <c r="E56" s="2"/>
      <c r="G56" s="13">
        <f t="shared" si="90"/>
        <v>9525063.1325897723</v>
      </c>
      <c r="H56" s="192">
        <f t="shared" si="91"/>
        <v>9508895.7641687188</v>
      </c>
      <c r="I56" s="192">
        <f t="shared" si="92"/>
        <v>16167.368421052632</v>
      </c>
      <c r="J56" s="256">
        <f t="shared" si="93"/>
        <v>9525063.1325897723</v>
      </c>
      <c r="K56" s="242">
        <f t="shared" si="94"/>
        <v>8.5588870197984157</v>
      </c>
      <c r="L56" s="242">
        <f t="shared" si="95"/>
        <v>8.6241418862849743E-3</v>
      </c>
      <c r="M56" s="242">
        <f t="shared" si="96"/>
        <v>3.1902697114012093</v>
      </c>
      <c r="N56" s="240"/>
      <c r="O56" s="240"/>
      <c r="AU56" s="430"/>
      <c r="AX56" s="431"/>
      <c r="BF56" s="431"/>
      <c r="BQ56" s="1">
        <f>SUM(BQ52:BQ55)</f>
        <v>63159.221839999998</v>
      </c>
      <c r="DQ56" s="881"/>
      <c r="DR56" s="882"/>
      <c r="DS56" s="882"/>
      <c r="DT56" s="833"/>
      <c r="ER56" s="1" t="s">
        <v>18</v>
      </c>
      <c r="GR56" s="2">
        <f t="shared" si="58"/>
        <v>0</v>
      </c>
    </row>
    <row r="57" spans="1:252" ht="14.4">
      <c r="A57" s="188">
        <v>15</v>
      </c>
      <c r="B57" s="2">
        <v>9317133.3369903322</v>
      </c>
      <c r="C57" s="2">
        <v>238722.81671906993</v>
      </c>
      <c r="D57" s="2">
        <v>16167.368421052632</v>
      </c>
      <c r="E57" s="2"/>
      <c r="G57" s="13">
        <f t="shared" si="90"/>
        <v>9572023.5221304558</v>
      </c>
      <c r="H57" s="192">
        <f t="shared" si="91"/>
        <v>9555856.1537094023</v>
      </c>
      <c r="I57" s="192">
        <f t="shared" si="92"/>
        <v>16167.368421052632</v>
      </c>
      <c r="J57" s="256">
        <f t="shared" si="93"/>
        <v>9572023.5221304558</v>
      </c>
      <c r="K57" s="242">
        <f t="shared" si="94"/>
        <v>8.6011557204396585</v>
      </c>
      <c r="L57" s="242">
        <f t="shared" si="95"/>
        <v>8.6241418862849743E-3</v>
      </c>
      <c r="M57" s="242">
        <f t="shared" si="96"/>
        <v>3.2059983534376753</v>
      </c>
      <c r="N57" s="240"/>
      <c r="O57" s="240"/>
      <c r="AU57" s="430"/>
      <c r="AX57" s="431"/>
      <c r="AZ57" s="431"/>
      <c r="BA57" s="431"/>
      <c r="DQ57" s="881"/>
      <c r="DR57" s="882"/>
      <c r="DS57" s="882"/>
      <c r="DT57" s="833"/>
      <c r="GR57" s="2">
        <f t="shared" si="58"/>
        <v>0</v>
      </c>
      <c r="HZ57" s="78" t="s">
        <v>396</v>
      </c>
    </row>
    <row r="58" spans="1:252" ht="14.4">
      <c r="A58" s="188">
        <v>16</v>
      </c>
      <c r="B58" s="2">
        <v>0</v>
      </c>
      <c r="C58" s="2">
        <v>129022.59825973026</v>
      </c>
      <c r="D58" s="2">
        <v>129338.94736842105</v>
      </c>
      <c r="E58" s="2"/>
      <c r="G58" s="13">
        <f t="shared" si="90"/>
        <v>258361.54562815133</v>
      </c>
      <c r="H58" s="192">
        <f t="shared" si="91"/>
        <v>129022.59825973026</v>
      </c>
      <c r="I58" s="192">
        <f t="shared" si="92"/>
        <v>129338.94736842105</v>
      </c>
      <c r="J58" s="256">
        <f t="shared" si="93"/>
        <v>258361.54562815133</v>
      </c>
      <c r="K58" s="242">
        <f t="shared" si="94"/>
        <v>0.11613229010954561</v>
      </c>
      <c r="L58" s="242">
        <f t="shared" si="95"/>
        <v>6.8993135090279795E-2</v>
      </c>
      <c r="M58" s="242">
        <f t="shared" si="96"/>
        <v>8.6534126035150913E-2</v>
      </c>
      <c r="N58" s="240"/>
      <c r="O58" s="240"/>
      <c r="AU58" s="430"/>
      <c r="AX58" s="431"/>
      <c r="AZ58" s="431"/>
      <c r="BA58" s="431"/>
      <c r="BB58" s="2"/>
      <c r="CW58" s="637"/>
      <c r="DQ58" s="881"/>
      <c r="DR58" s="882"/>
      <c r="DS58" s="882"/>
      <c r="DT58" s="833"/>
      <c r="ER58" s="1" t="s">
        <v>18</v>
      </c>
      <c r="GR58" s="2">
        <f>GM58+GN58+GQ58</f>
        <v>0</v>
      </c>
      <c r="HZ58" s="78" t="s">
        <v>397</v>
      </c>
    </row>
    <row r="59" spans="1:252" ht="14.4">
      <c r="A59" s="188">
        <v>17</v>
      </c>
      <c r="B59" s="2">
        <v>876589.0000181729</v>
      </c>
      <c r="C59" s="2">
        <v>18131.339921769646</v>
      </c>
      <c r="D59" s="2">
        <v>177841.05263157896</v>
      </c>
      <c r="E59" s="2"/>
      <c r="G59" s="13">
        <f t="shared" si="90"/>
        <v>1072561.3925715215</v>
      </c>
      <c r="H59" s="192">
        <f t="shared" si="91"/>
        <v>894720.33993994258</v>
      </c>
      <c r="I59" s="192">
        <f t="shared" si="92"/>
        <v>177841.05263157896</v>
      </c>
      <c r="J59" s="256">
        <f t="shared" si="93"/>
        <v>1072561.3925715215</v>
      </c>
      <c r="K59" s="242">
        <f t="shared" si="94"/>
        <v>0.80533118605818022</v>
      </c>
      <c r="L59" s="242">
        <f t="shared" si="95"/>
        <v>9.4865560749134714E-2</v>
      </c>
      <c r="M59" s="242">
        <f t="shared" si="96"/>
        <v>0.35923752700722344</v>
      </c>
      <c r="N59" s="240"/>
      <c r="O59" s="240"/>
      <c r="AU59" s="430"/>
      <c r="AX59" s="431"/>
      <c r="DQ59" s="881"/>
      <c r="DR59" s="882"/>
      <c r="DS59" s="882"/>
      <c r="DT59" s="833"/>
      <c r="ER59" s="1" t="s">
        <v>18</v>
      </c>
      <c r="GR59" s="2">
        <f t="shared" si="58"/>
        <v>0</v>
      </c>
    </row>
    <row r="60" spans="1:252" ht="14.4">
      <c r="A60" s="188">
        <v>18</v>
      </c>
      <c r="B60" s="2">
        <v>0</v>
      </c>
      <c r="C60" s="2">
        <v>0</v>
      </c>
      <c r="D60" s="2">
        <v>404184.21052631579</v>
      </c>
      <c r="E60" s="2">
        <v>525.69250581690471</v>
      </c>
      <c r="G60" s="13">
        <f t="shared" si="90"/>
        <v>404709.90303213272</v>
      </c>
      <c r="H60" s="192">
        <f t="shared" si="91"/>
        <v>0</v>
      </c>
      <c r="I60" s="192">
        <f t="shared" si="92"/>
        <v>404709.90303213272</v>
      </c>
      <c r="J60" s="256">
        <f t="shared" si="93"/>
        <v>404709.90303213272</v>
      </c>
      <c r="K60" s="242">
        <f t="shared" si="94"/>
        <v>0</v>
      </c>
      <c r="L60" s="242">
        <f t="shared" si="95"/>
        <v>0.21588396674308602</v>
      </c>
      <c r="M60" s="242">
        <f t="shared" si="96"/>
        <v>0.13555120082406072</v>
      </c>
      <c r="N60" s="240"/>
      <c r="O60" s="240"/>
      <c r="AU60" s="430"/>
      <c r="AX60" s="431"/>
      <c r="AZ60" s="431"/>
      <c r="BA60" s="431"/>
      <c r="DQ60" s="881"/>
      <c r="DR60" s="882"/>
      <c r="DS60" s="882"/>
      <c r="DT60" s="833"/>
      <c r="GR60" s="2">
        <f t="shared" si="58"/>
        <v>0</v>
      </c>
    </row>
    <row r="61" spans="1:252" ht="14.4">
      <c r="A61" s="188">
        <v>19</v>
      </c>
      <c r="B61" s="2">
        <v>0</v>
      </c>
      <c r="C61" s="2">
        <v>0</v>
      </c>
      <c r="D61" s="2">
        <v>662862.10526315786</v>
      </c>
      <c r="E61" s="2">
        <v>665.46660572224573</v>
      </c>
      <c r="G61" s="13">
        <f t="shared" si="90"/>
        <v>663527.57186888007</v>
      </c>
      <c r="H61" s="192">
        <f t="shared" si="91"/>
        <v>0</v>
      </c>
      <c r="I61" s="192">
        <f t="shared" si="92"/>
        <v>663527.57186888007</v>
      </c>
      <c r="J61" s="256">
        <f t="shared" si="93"/>
        <v>663527.57186888007</v>
      </c>
      <c r="K61" s="242">
        <f t="shared" si="94"/>
        <v>0</v>
      </c>
      <c r="L61" s="242">
        <f t="shared" si="95"/>
        <v>0.35394479647089022</v>
      </c>
      <c r="M61" s="242">
        <f t="shared" si="96"/>
        <v>0.22223809813608353</v>
      </c>
      <c r="N61" s="240"/>
      <c r="O61" s="240"/>
      <c r="AU61" s="430"/>
      <c r="AX61" s="431"/>
      <c r="AZ61" s="431"/>
      <c r="BA61" s="431"/>
      <c r="BB61" s="2"/>
      <c r="DQ61" s="881"/>
      <c r="DR61" s="882"/>
      <c r="DS61" s="882"/>
      <c r="DT61" s="833"/>
      <c r="GR61" s="2">
        <f t="shared" si="58"/>
        <v>0</v>
      </c>
    </row>
    <row r="62" spans="1:252" ht="14.4">
      <c r="A62" s="188">
        <v>20</v>
      </c>
      <c r="B62" s="2">
        <v>0</v>
      </c>
      <c r="C62" s="2">
        <v>55088.679253877111</v>
      </c>
      <c r="D62" s="2">
        <v>937707.36842105258</v>
      </c>
      <c r="E62" s="2">
        <v>2191.7840135204524</v>
      </c>
      <c r="G62" s="13">
        <f t="shared" si="90"/>
        <v>994987.83168845018</v>
      </c>
      <c r="H62" s="192">
        <f t="shared" si="91"/>
        <v>55088.679253877111</v>
      </c>
      <c r="I62" s="192">
        <f t="shared" si="92"/>
        <v>939899.15243457304</v>
      </c>
      <c r="J62" s="256">
        <f t="shared" si="93"/>
        <v>994987.83168845018</v>
      </c>
      <c r="K62" s="242">
        <f t="shared" si="94"/>
        <v>4.9584914326281503E-2</v>
      </c>
      <c r="L62" s="242">
        <f t="shared" si="95"/>
        <v>0.50136939038511685</v>
      </c>
      <c r="M62" s="242">
        <f t="shared" si="96"/>
        <v>0.33325548591774751</v>
      </c>
      <c r="N62" s="240"/>
      <c r="O62" s="240"/>
      <c r="AU62" s="430"/>
      <c r="AX62" s="431"/>
      <c r="DQ62" s="881"/>
      <c r="DR62" s="882"/>
      <c r="DS62" s="882"/>
      <c r="DT62" s="833"/>
      <c r="GR62" s="2">
        <f t="shared" si="58"/>
        <v>0</v>
      </c>
    </row>
    <row r="63" spans="1:252" ht="14.4">
      <c r="A63" s="188">
        <v>21</v>
      </c>
      <c r="B63" s="2">
        <v>18634266.673980664</v>
      </c>
      <c r="C63" s="2">
        <v>975043.75263565651</v>
      </c>
      <c r="D63" s="2">
        <v>1325724.2105263157</v>
      </c>
      <c r="E63" s="2">
        <v>65684.436882138092</v>
      </c>
      <c r="G63" s="13">
        <f t="shared" si="90"/>
        <v>21000719.074024778</v>
      </c>
      <c r="H63" s="192">
        <f t="shared" si="91"/>
        <v>19609310.426616322</v>
      </c>
      <c r="I63" s="192">
        <f t="shared" si="92"/>
        <v>1391408.6474084537</v>
      </c>
      <c r="J63" s="256">
        <f t="shared" si="93"/>
        <v>21000719.074024774</v>
      </c>
      <c r="K63" s="242">
        <f t="shared" si="94"/>
        <v>17.650195841876119</v>
      </c>
      <c r="L63" s="242">
        <f t="shared" si="95"/>
        <v>0.74221761294365818</v>
      </c>
      <c r="M63" s="242">
        <f t="shared" si="96"/>
        <v>7.0338597284751838</v>
      </c>
      <c r="N63" s="240"/>
      <c r="O63" s="240"/>
      <c r="S63" s="240" t="s">
        <v>398</v>
      </c>
      <c r="T63" s="240" t="e">
        <f>#REF!/#REF!</f>
        <v>#REF!</v>
      </c>
      <c r="U63" s="240"/>
      <c r="V63" s="240"/>
      <c r="W63" s="240"/>
      <c r="AU63" s="430"/>
      <c r="AX63" s="431"/>
      <c r="AZ63" s="431"/>
      <c r="BA63" s="431"/>
      <c r="DQ63" s="881"/>
      <c r="DR63" s="882"/>
      <c r="DS63" s="882"/>
      <c r="DT63" s="833"/>
      <c r="GR63" s="2">
        <f t="shared" si="58"/>
        <v>0</v>
      </c>
    </row>
    <row r="64" spans="1:252" ht="14.4">
      <c r="A64" s="188">
        <v>22</v>
      </c>
      <c r="B64" s="2">
        <v>28827989.010989167</v>
      </c>
      <c r="C64" s="2">
        <v>4096095.0245939344</v>
      </c>
      <c r="D64" s="2">
        <v>2085590.5263157894</v>
      </c>
      <c r="E64" s="2">
        <v>161461.86714359483</v>
      </c>
      <c r="G64" s="13">
        <f t="shared" si="90"/>
        <v>35171136.429042481</v>
      </c>
      <c r="H64" s="192">
        <f t="shared" si="91"/>
        <v>32924084.035583101</v>
      </c>
      <c r="I64" s="192">
        <f t="shared" si="92"/>
        <v>2247052.3934593843</v>
      </c>
      <c r="J64" s="256">
        <f t="shared" si="93"/>
        <v>35171136.429042488</v>
      </c>
      <c r="K64" s="242">
        <f t="shared" si="94"/>
        <v>29.634725469675942</v>
      </c>
      <c r="L64" s="242">
        <f t="shared" si="95"/>
        <v>1.1986427328442266</v>
      </c>
      <c r="M64" s="242">
        <f t="shared" si="96"/>
        <v>11.78001759182318</v>
      </c>
      <c r="N64" s="240"/>
      <c r="O64" s="240"/>
      <c r="S64" s="240"/>
      <c r="T64" s="240" t="s">
        <v>6</v>
      </c>
      <c r="U64" s="240"/>
      <c r="V64" s="356">
        <v>6106</v>
      </c>
      <c r="W64" s="240"/>
      <c r="AU64" s="430"/>
      <c r="AV64" s="431"/>
      <c r="AX64" s="431"/>
      <c r="AZ64" s="431"/>
      <c r="BA64" s="431"/>
      <c r="BB64" s="2"/>
      <c r="DQ64" s="881"/>
      <c r="DR64" s="882"/>
      <c r="DS64" s="882"/>
      <c r="DT64" s="833"/>
      <c r="GR64" s="2">
        <f t="shared" si="58"/>
        <v>0</v>
      </c>
    </row>
    <row r="65" spans="1:200" ht="14.4">
      <c r="A65" s="188">
        <v>23</v>
      </c>
      <c r="B65" s="2">
        <v>10193722.337008504</v>
      </c>
      <c r="C65" s="2">
        <v>4692898.0336327935</v>
      </c>
      <c r="D65" s="2">
        <v>4284352.6315789474</v>
      </c>
      <c r="E65" s="2">
        <v>566053.90006533184</v>
      </c>
      <c r="G65" s="13">
        <f t="shared" si="90"/>
        <v>19737026.90228558</v>
      </c>
      <c r="H65" s="192">
        <f t="shared" si="91"/>
        <v>14886620.370641299</v>
      </c>
      <c r="I65" s="192">
        <f t="shared" si="92"/>
        <v>4850406.5316442791</v>
      </c>
      <c r="J65" s="256">
        <f t="shared" si="93"/>
        <v>19737026.902285576</v>
      </c>
      <c r="K65" s="242">
        <f t="shared" si="94"/>
        <v>13.39933731727967</v>
      </c>
      <c r="L65" s="242">
        <f t="shared" si="95"/>
        <v>2.5873471207963061</v>
      </c>
      <c r="M65" s="242">
        <f t="shared" si="96"/>
        <v>6.6106059606087397</v>
      </c>
      <c r="N65" s="240"/>
      <c r="O65" s="240"/>
      <c r="T65" s="154" t="s">
        <v>15</v>
      </c>
      <c r="V65" s="357">
        <v>4880.6319999999996</v>
      </c>
      <c r="AU65" s="430"/>
      <c r="AV65" s="431"/>
      <c r="AX65" s="431"/>
      <c r="DQ65" s="881"/>
      <c r="DR65" s="882"/>
      <c r="DS65" s="882"/>
      <c r="DT65" s="833"/>
      <c r="GR65" s="2">
        <f t="shared" si="58"/>
        <v>0</v>
      </c>
    </row>
    <row r="66" spans="1:200" ht="14.4">
      <c r="A66" s="188">
        <v>24</v>
      </c>
      <c r="B66" s="2">
        <v>2191472.5000454322</v>
      </c>
      <c r="C66" s="2">
        <v>2155675.4803485344</v>
      </c>
      <c r="D66" s="2">
        <v>8245357.8947368423</v>
      </c>
      <c r="E66" s="2">
        <v>2091920.0481424364</v>
      </c>
      <c r="G66" s="13">
        <f t="shared" si="90"/>
        <v>14684425.923273247</v>
      </c>
      <c r="H66" s="192">
        <f t="shared" si="91"/>
        <v>4347147.9803939667</v>
      </c>
      <c r="I66" s="192">
        <f t="shared" si="92"/>
        <v>10337277.942879278</v>
      </c>
      <c r="J66" s="256">
        <f t="shared" si="93"/>
        <v>14684425.923273245</v>
      </c>
      <c r="K66" s="242">
        <f t="shared" si="94"/>
        <v>3.9128358692014213</v>
      </c>
      <c r="L66" s="242">
        <f t="shared" si="95"/>
        <v>5.5142030153321961</v>
      </c>
      <c r="M66" s="242">
        <f t="shared" si="96"/>
        <v>4.9183169287399826</v>
      </c>
      <c r="N66" s="240"/>
      <c r="O66" s="240"/>
      <c r="T66" s="154" t="s">
        <v>16</v>
      </c>
      <c r="V66" s="357">
        <v>5598.5693000000001</v>
      </c>
      <c r="AU66" s="430"/>
      <c r="AV66" s="431"/>
      <c r="AX66" s="431"/>
      <c r="AZ66" s="431"/>
      <c r="BA66" s="431"/>
      <c r="DQ66" s="881"/>
      <c r="DR66" s="882"/>
      <c r="DS66" s="882"/>
      <c r="DT66" s="833"/>
      <c r="GR66" s="2">
        <f t="shared" si="58"/>
        <v>0</v>
      </c>
    </row>
    <row r="67" spans="1:200" ht="14.4">
      <c r="A67" s="188">
        <v>25</v>
      </c>
      <c r="B67" s="2">
        <v>1314883.5000272593</v>
      </c>
      <c r="C67" s="2">
        <v>1185058.5467020778</v>
      </c>
      <c r="D67" s="2">
        <v>11317157.894736841</v>
      </c>
      <c r="E67" s="2">
        <v>3525339.2819375754</v>
      </c>
      <c r="G67" s="13">
        <f t="shared" si="90"/>
        <v>17342439.223403756</v>
      </c>
      <c r="H67" s="192">
        <f t="shared" si="91"/>
        <v>2499942.0467293374</v>
      </c>
      <c r="I67" s="192">
        <f t="shared" si="92"/>
        <v>14842497.176674416</v>
      </c>
      <c r="J67" s="256">
        <f t="shared" si="93"/>
        <v>17342439.223403752</v>
      </c>
      <c r="K67" s="242">
        <f t="shared" si="94"/>
        <v>2.2501794177434165</v>
      </c>
      <c r="L67" s="242">
        <f t="shared" si="95"/>
        <v>7.9174172484213212</v>
      </c>
      <c r="M67" s="242">
        <f t="shared" si="96"/>
        <v>5.8085765738329975</v>
      </c>
      <c r="N67" s="240"/>
      <c r="O67" s="240"/>
      <c r="AU67" s="430"/>
      <c r="AV67" s="431"/>
      <c r="AX67" s="431"/>
      <c r="AZ67" s="431"/>
      <c r="BA67" s="431"/>
      <c r="BB67" s="2"/>
      <c r="DQ67" s="881"/>
      <c r="DR67" s="882"/>
      <c r="DS67" s="882"/>
      <c r="DT67" s="833"/>
      <c r="GR67" s="2">
        <f t="shared" si="58"/>
        <v>0</v>
      </c>
    </row>
    <row r="68" spans="1:200" ht="27">
      <c r="A68" s="188">
        <v>26</v>
      </c>
      <c r="B68" s="2">
        <v>876589.0000181729</v>
      </c>
      <c r="C68" s="2">
        <v>1070970.8328031229</v>
      </c>
      <c r="D68" s="2">
        <v>10864471.578947369</v>
      </c>
      <c r="E68" s="2">
        <v>3714056.2659711088</v>
      </c>
      <c r="G68" s="13">
        <f t="shared" si="90"/>
        <v>16526087.677739775</v>
      </c>
      <c r="H68" s="192">
        <f t="shared" si="91"/>
        <v>1947559.8328212958</v>
      </c>
      <c r="I68" s="192">
        <f t="shared" si="92"/>
        <v>14578527.844918478</v>
      </c>
      <c r="J68" s="256">
        <f t="shared" si="93"/>
        <v>16526087.677739775</v>
      </c>
      <c r="K68" s="242">
        <f t="shared" si="94"/>
        <v>1.7529842567237546</v>
      </c>
      <c r="L68" s="242">
        <f t="shared" si="95"/>
        <v>7.7766083727030786</v>
      </c>
      <c r="M68" s="242">
        <f t="shared" si="96"/>
        <v>5.5351524953010118</v>
      </c>
      <c r="N68" s="240"/>
      <c r="O68" s="240"/>
      <c r="T68" s="354" t="s">
        <v>314</v>
      </c>
      <c r="U68" s="354"/>
      <c r="V68" s="354" t="s">
        <v>314</v>
      </c>
      <c r="W68" s="353" t="s">
        <v>315</v>
      </c>
      <c r="X68" s="353" t="s">
        <v>316</v>
      </c>
      <c r="Y68" s="353"/>
      <c r="AU68" s="430"/>
      <c r="AV68" s="431"/>
      <c r="AX68" s="431"/>
      <c r="DQ68" s="881"/>
      <c r="DR68" s="882"/>
      <c r="DS68" s="882"/>
      <c r="DT68" s="833"/>
      <c r="GR68" s="2">
        <f t="shared" si="58"/>
        <v>0</v>
      </c>
    </row>
    <row r="69" spans="1:200" ht="14.4">
      <c r="A69" s="188">
        <v>27</v>
      </c>
      <c r="B69" s="2">
        <v>1314883.5000272593</v>
      </c>
      <c r="C69" s="2">
        <v>1595870.316600498</v>
      </c>
      <c r="D69" s="2">
        <v>7711834.7368421052</v>
      </c>
      <c r="E69" s="2">
        <v>4545617.6910877414</v>
      </c>
      <c r="G69" s="13">
        <f t="shared" si="90"/>
        <v>15168206.244557604</v>
      </c>
      <c r="H69" s="192">
        <f t="shared" si="91"/>
        <v>2910753.8166277576</v>
      </c>
      <c r="I69" s="192">
        <f t="shared" si="92"/>
        <v>12257452.427929847</v>
      </c>
      <c r="J69" s="256">
        <f t="shared" si="93"/>
        <v>15168206.244557604</v>
      </c>
      <c r="K69" s="242">
        <f t="shared" si="94"/>
        <v>2.619948065141287</v>
      </c>
      <c r="L69" s="242">
        <f t="shared" si="95"/>
        <v>6.5384796183158063</v>
      </c>
      <c r="M69" s="242">
        <f t="shared" si="96"/>
        <v>5.0803515194278663</v>
      </c>
      <c r="N69" s="240"/>
      <c r="O69" s="240"/>
      <c r="T69" s="1" t="s">
        <v>399</v>
      </c>
      <c r="U69" s="1"/>
      <c r="V69" s="355" t="s">
        <v>325</v>
      </c>
      <c r="W69" s="355" t="s">
        <v>325</v>
      </c>
      <c r="X69" s="355" t="s">
        <v>326</v>
      </c>
      <c r="Y69" s="355"/>
      <c r="AU69" s="430"/>
      <c r="AV69" s="431"/>
      <c r="AX69" s="431"/>
      <c r="AZ69" s="431"/>
      <c r="BA69" s="431"/>
      <c r="DQ69" s="881"/>
      <c r="DR69" s="882"/>
      <c r="DS69" s="882"/>
      <c r="DT69" s="833"/>
    </row>
    <row r="70" spans="1:200" ht="14.4">
      <c r="A70" s="188">
        <v>28</v>
      </c>
      <c r="B70" s="2">
        <v>438294.50000908645</v>
      </c>
      <c r="C70" s="2">
        <v>2170418.4691851307</v>
      </c>
      <c r="D70" s="2">
        <v>8439366.3157894742</v>
      </c>
      <c r="E70" s="2">
        <v>4681463.1463586912</v>
      </c>
      <c r="G70" s="13">
        <f t="shared" si="90"/>
        <v>15729542.431342382</v>
      </c>
      <c r="H70" s="192">
        <f t="shared" si="91"/>
        <v>2608712.9691942171</v>
      </c>
      <c r="I70" s="192">
        <f t="shared" si="92"/>
        <v>13120829.462148165</v>
      </c>
      <c r="J70" s="256">
        <f t="shared" si="93"/>
        <v>15729542.431342382</v>
      </c>
      <c r="K70" s="242">
        <f t="shared" si="94"/>
        <v>2.3480833236758154</v>
      </c>
      <c r="L70" s="242">
        <f t="shared" si="95"/>
        <v>6.999029897776432</v>
      </c>
      <c r="M70" s="242">
        <f t="shared" si="96"/>
        <v>5.2683622244158155</v>
      </c>
      <c r="N70" s="240"/>
      <c r="O70" s="240"/>
      <c r="AU70" s="430"/>
      <c r="AV70" s="431"/>
      <c r="AX70" s="431"/>
      <c r="AZ70" s="431"/>
      <c r="BA70" s="431"/>
      <c r="BB70" s="2"/>
      <c r="DQ70" s="881"/>
      <c r="DR70" s="882"/>
      <c r="DS70" s="882"/>
      <c r="DT70" s="833"/>
    </row>
    <row r="71" spans="1:200" ht="14.4">
      <c r="A71" s="188">
        <v>29</v>
      </c>
      <c r="B71" s="2">
        <v>0</v>
      </c>
      <c r="C71" s="2">
        <v>2545196.5899958443</v>
      </c>
      <c r="D71" s="2">
        <v>10039935.789473685</v>
      </c>
      <c r="E71" s="2">
        <v>5329433.5382833071</v>
      </c>
      <c r="G71" s="13">
        <f t="shared" si="90"/>
        <v>17914565.917752836</v>
      </c>
      <c r="H71" s="192">
        <f t="shared" si="91"/>
        <v>2545196.5899958443</v>
      </c>
      <c r="I71" s="192">
        <f t="shared" si="92"/>
        <v>15369369.327756992</v>
      </c>
      <c r="J71" s="256">
        <f t="shared" si="93"/>
        <v>17914565.917752836</v>
      </c>
      <c r="K71" s="242">
        <f t="shared" si="94"/>
        <v>2.2909126987212289</v>
      </c>
      <c r="L71" s="242">
        <f t="shared" si="95"/>
        <v>8.1984660912838034</v>
      </c>
      <c r="M71" s="242">
        <f t="shared" si="96"/>
        <v>6.0002013891920649</v>
      </c>
      <c r="N71" s="240"/>
      <c r="O71" s="240"/>
      <c r="AU71" s="430"/>
      <c r="AV71" s="431"/>
      <c r="AX71" s="431"/>
      <c r="DQ71" s="881"/>
      <c r="DR71" s="882"/>
      <c r="DS71" s="882"/>
      <c r="DT71" s="833"/>
    </row>
    <row r="72" spans="1:200" ht="14.4">
      <c r="A72" s="188">
        <v>30</v>
      </c>
      <c r="B72" s="2">
        <v>0</v>
      </c>
      <c r="C72" s="2">
        <v>2353375.6078977613</v>
      </c>
      <c r="D72" s="2">
        <v>9393241.0526315793</v>
      </c>
      <c r="E72" s="2">
        <v>4784065.9676974267</v>
      </c>
      <c r="G72" s="13">
        <f t="shared" si="90"/>
        <v>16530682.628226768</v>
      </c>
      <c r="H72" s="192">
        <f t="shared" si="91"/>
        <v>2353375.6078977613</v>
      </c>
      <c r="I72" s="192">
        <f t="shared" si="92"/>
        <v>14177307.020329006</v>
      </c>
      <c r="J72" s="256">
        <f t="shared" si="93"/>
        <v>16530682.628226768</v>
      </c>
      <c r="K72" s="242">
        <f t="shared" si="94"/>
        <v>2.1182560459907638</v>
      </c>
      <c r="L72" s="242">
        <f t="shared" si="95"/>
        <v>7.5625855813076566</v>
      </c>
      <c r="M72" s="242">
        <f t="shared" si="96"/>
        <v>5.5366915015165077</v>
      </c>
      <c r="N72" s="240"/>
      <c r="O72" s="240"/>
      <c r="AU72" s="430"/>
      <c r="AV72" s="431"/>
      <c r="AX72" s="431"/>
      <c r="AZ72" s="431"/>
      <c r="BA72" s="431"/>
      <c r="DQ72" s="881"/>
      <c r="DR72" s="882"/>
      <c r="DS72" s="882"/>
      <c r="DT72" s="833"/>
    </row>
    <row r="73" spans="1:200" ht="14.4">
      <c r="A73" s="188">
        <v>31</v>
      </c>
      <c r="B73" s="2">
        <v>0</v>
      </c>
      <c r="C73" s="2">
        <v>1377656.9115214434</v>
      </c>
      <c r="D73" s="2">
        <v>7339985.2631578948</v>
      </c>
      <c r="E73" s="2">
        <v>4575117.150373606</v>
      </c>
      <c r="G73" s="13">
        <f t="shared" si="90"/>
        <v>13292759.325052945</v>
      </c>
      <c r="H73" s="192">
        <f t="shared" si="91"/>
        <v>1377656.9115214434</v>
      </c>
      <c r="I73" s="192">
        <f t="shared" si="92"/>
        <v>11915102.413531501</v>
      </c>
      <c r="J73" s="256">
        <f t="shared" si="93"/>
        <v>13292759.325052945</v>
      </c>
      <c r="K73" s="242">
        <f t="shared" si="94"/>
        <v>1.2400188360658992</v>
      </c>
      <c r="L73" s="242">
        <f t="shared" si="95"/>
        <v>6.3558602196573073</v>
      </c>
      <c r="M73" s="242">
        <f t="shared" si="96"/>
        <v>4.4522001445393267</v>
      </c>
      <c r="N73" s="240"/>
      <c r="O73" s="240"/>
      <c r="AU73" s="430"/>
      <c r="AV73" s="431"/>
      <c r="AX73" s="431"/>
      <c r="AZ73" s="431"/>
      <c r="BA73" s="431"/>
      <c r="BB73" s="2"/>
      <c r="DQ73" s="881"/>
      <c r="DR73" s="882"/>
      <c r="DS73" s="882"/>
      <c r="DT73" s="833"/>
    </row>
    <row r="74" spans="1:200" ht="14.4">
      <c r="A74" s="188">
        <v>32</v>
      </c>
      <c r="B74" s="2">
        <v>0</v>
      </c>
      <c r="C74" s="2">
        <v>872925.99938562931</v>
      </c>
      <c r="D74" s="2">
        <v>7679500</v>
      </c>
      <c r="E74" s="2">
        <v>5364842.3661342831</v>
      </c>
      <c r="G74" s="13">
        <f t="shared" si="90"/>
        <v>13917268.365519911</v>
      </c>
      <c r="H74" s="192">
        <f t="shared" si="91"/>
        <v>872925.99938562931</v>
      </c>
      <c r="I74" s="192">
        <f t="shared" si="92"/>
        <v>13044342.366134282</v>
      </c>
      <c r="J74" s="256">
        <f t="shared" si="93"/>
        <v>13917268.365519911</v>
      </c>
      <c r="K74" s="242">
        <f t="shared" si="94"/>
        <v>0.78571426069674377</v>
      </c>
      <c r="L74" s="242">
        <f t="shared" si="95"/>
        <v>6.9582294687075512</v>
      </c>
      <c r="M74" s="242">
        <f t="shared" si="96"/>
        <v>4.6613696008005876</v>
      </c>
      <c r="N74" s="240"/>
      <c r="O74" s="240"/>
      <c r="AU74" s="430"/>
      <c r="AV74" s="431"/>
      <c r="AX74" s="431"/>
      <c r="DQ74" s="881"/>
      <c r="DR74" s="882"/>
      <c r="DS74" s="882"/>
      <c r="DT74" s="833"/>
    </row>
    <row r="75" spans="1:200" ht="14.4">
      <c r="A75" s="188">
        <v>33</v>
      </c>
      <c r="B75" s="2">
        <v>0</v>
      </c>
      <c r="C75" s="2">
        <v>498303.20089587441</v>
      </c>
      <c r="D75" s="2">
        <v>6903466.3157894742</v>
      </c>
      <c r="E75" s="2">
        <v>5930930.9496440515</v>
      </c>
      <c r="G75" s="13">
        <f t="shared" si="90"/>
        <v>13332700.466329399</v>
      </c>
      <c r="H75" s="192">
        <f t="shared" si="91"/>
        <v>498303.20089587441</v>
      </c>
      <c r="I75" s="192">
        <f t="shared" si="92"/>
        <v>12834397.265433526</v>
      </c>
      <c r="J75" s="256">
        <f t="shared" si="93"/>
        <v>13332700.466329399</v>
      </c>
      <c r="K75" s="242">
        <f t="shared" si="94"/>
        <v>0.44851903983874908</v>
      </c>
      <c r="L75" s="242">
        <f t="shared" si="95"/>
        <v>6.846238680248991</v>
      </c>
      <c r="M75" s="242">
        <f t="shared" si="96"/>
        <v>4.4655778000445263</v>
      </c>
      <c r="N75" s="240"/>
      <c r="O75" s="240"/>
      <c r="AU75" s="430"/>
      <c r="AV75" s="431"/>
      <c r="AX75" s="431"/>
      <c r="AZ75" s="431"/>
      <c r="BA75" s="431"/>
      <c r="DQ75" s="881"/>
      <c r="DR75" s="882"/>
      <c r="DS75" s="882"/>
      <c r="DT75" s="833"/>
    </row>
    <row r="76" spans="1:200" ht="14.4">
      <c r="A76" s="188">
        <v>34</v>
      </c>
      <c r="B76" s="2">
        <v>0</v>
      </c>
      <c r="C76" s="2">
        <v>608351.95988547197</v>
      </c>
      <c r="D76" s="2">
        <v>5771750.5263157897</v>
      </c>
      <c r="E76" s="2">
        <v>6163674.4169254582</v>
      </c>
      <c r="G76" s="13">
        <f t="shared" si="90"/>
        <v>12543776.90312672</v>
      </c>
      <c r="H76" s="192">
        <f t="shared" si="91"/>
        <v>608351.95988547197</v>
      </c>
      <c r="I76" s="192">
        <f t="shared" si="92"/>
        <v>11935424.943241248</v>
      </c>
      <c r="J76" s="256">
        <f t="shared" si="93"/>
        <v>12543776.90312672</v>
      </c>
      <c r="K76" s="242">
        <f t="shared" si="94"/>
        <v>0.54757311701248623</v>
      </c>
      <c r="L76" s="242">
        <f t="shared" si="95"/>
        <v>6.3667008447448685</v>
      </c>
      <c r="M76" s="242">
        <f t="shared" si="96"/>
        <v>4.2013402917717695</v>
      </c>
      <c r="N76" s="240"/>
      <c r="O76" s="240"/>
      <c r="AU76" s="430"/>
      <c r="AV76" s="431"/>
      <c r="AX76" s="431"/>
      <c r="AZ76" s="431"/>
      <c r="BA76" s="431"/>
      <c r="BB76" s="2"/>
      <c r="DQ76" s="881"/>
      <c r="DR76" s="882"/>
      <c r="DS76" s="882"/>
      <c r="DT76" s="833"/>
    </row>
    <row r="77" spans="1:200" ht="14.4">
      <c r="A77" s="188">
        <v>35</v>
      </c>
      <c r="B77" s="2">
        <v>0</v>
      </c>
      <c r="C77" s="2">
        <v>551551.64836209198</v>
      </c>
      <c r="D77" s="2">
        <v>4203515.7894736845</v>
      </c>
      <c r="E77" s="2">
        <v>5034237.6705798879</v>
      </c>
      <c r="G77" s="13">
        <f t="shared" si="90"/>
        <v>9789305.1084156632</v>
      </c>
      <c r="H77" s="192">
        <f t="shared" si="91"/>
        <v>551551.64836209198</v>
      </c>
      <c r="I77" s="192">
        <f t="shared" si="92"/>
        <v>9237753.4600535724</v>
      </c>
      <c r="J77" s="256">
        <f t="shared" si="93"/>
        <v>9789305.1084156651</v>
      </c>
      <c r="K77" s="242">
        <f t="shared" si="94"/>
        <v>0.49644757509100912</v>
      </c>
      <c r="L77" s="242">
        <f t="shared" si="95"/>
        <v>4.9276848572511787</v>
      </c>
      <c r="M77" s="242">
        <f t="shared" si="96"/>
        <v>3.2787733948123816</v>
      </c>
      <c r="N77" s="240"/>
      <c r="O77" s="240"/>
      <c r="AU77" s="430"/>
      <c r="AV77" s="431"/>
      <c r="AX77" s="431"/>
      <c r="DQ77" s="881"/>
      <c r="DR77" s="882"/>
      <c r="DS77" s="882"/>
      <c r="DT77" s="833"/>
    </row>
    <row r="78" spans="1:200" ht="14.4">
      <c r="A78" s="188">
        <v>36</v>
      </c>
      <c r="B78" s="2">
        <v>0</v>
      </c>
      <c r="C78" s="2">
        <v>288554.14699956879</v>
      </c>
      <c r="D78" s="2">
        <v>4106511.5789473685</v>
      </c>
      <c r="E78" s="2">
        <v>3492988.9184629978</v>
      </c>
      <c r="G78" s="13">
        <f t="shared" si="90"/>
        <v>7888054.6444099359</v>
      </c>
      <c r="H78" s="192">
        <f t="shared" si="91"/>
        <v>288554.14699956879</v>
      </c>
      <c r="I78" s="192">
        <f t="shared" si="92"/>
        <v>7599500.4974103663</v>
      </c>
      <c r="J78" s="256">
        <f t="shared" si="93"/>
        <v>7888054.644409935</v>
      </c>
      <c r="K78" s="242">
        <f t="shared" si="94"/>
        <v>0.25972546176916878</v>
      </c>
      <c r="L78" s="242">
        <f t="shared" si="95"/>
        <v>4.0537933476679608</v>
      </c>
      <c r="M78" s="242">
        <f t="shared" si="96"/>
        <v>2.6419795295463335</v>
      </c>
      <c r="N78" s="240"/>
      <c r="O78" s="240"/>
      <c r="AU78" s="430"/>
      <c r="AV78" s="431"/>
      <c r="AW78" s="431"/>
      <c r="AX78" s="431"/>
      <c r="AZ78" s="431"/>
      <c r="BA78" s="431"/>
      <c r="DQ78" s="881"/>
      <c r="DR78" s="882"/>
      <c r="DS78" s="882"/>
      <c r="DT78" s="833"/>
    </row>
    <row r="79" spans="1:200" ht="13.8">
      <c r="A79" s="188">
        <v>37</v>
      </c>
      <c r="B79" s="2">
        <v>0</v>
      </c>
      <c r="C79" s="2">
        <v>72502.291860771977</v>
      </c>
      <c r="D79" s="2">
        <v>3136469.4736842103</v>
      </c>
      <c r="E79" s="2">
        <v>2246845.4475259655</v>
      </c>
      <c r="G79" s="13">
        <f t="shared" si="90"/>
        <v>5455817.2130709477</v>
      </c>
      <c r="H79" s="192">
        <f t="shared" si="91"/>
        <v>72502.291860771977</v>
      </c>
      <c r="I79" s="192">
        <f t="shared" si="92"/>
        <v>5383314.9212101754</v>
      </c>
      <c r="J79" s="256">
        <f t="shared" si="93"/>
        <v>5455817.2130709477</v>
      </c>
      <c r="K79" s="242">
        <f t="shared" si="94"/>
        <v>6.5258778737600984E-2</v>
      </c>
      <c r="L79" s="242">
        <f t="shared" si="95"/>
        <v>2.8716158678376189</v>
      </c>
      <c r="M79" s="242">
        <f t="shared" si="96"/>
        <v>1.8273399518213174</v>
      </c>
      <c r="N79" s="240"/>
      <c r="O79" s="240"/>
      <c r="AU79" s="430"/>
      <c r="AV79" s="431"/>
      <c r="AW79" s="431"/>
      <c r="AX79" s="431"/>
      <c r="AZ79" s="431"/>
      <c r="BA79" s="431"/>
      <c r="BB79" s="2"/>
    </row>
    <row r="80" spans="1:200" ht="13.8">
      <c r="A80" s="188">
        <v>38</v>
      </c>
      <c r="B80" s="2">
        <v>0</v>
      </c>
      <c r="C80" s="2">
        <v>35762.420325547202</v>
      </c>
      <c r="D80" s="2">
        <v>2166427.3684210526</v>
      </c>
      <c r="E80" s="2">
        <v>1218539.9233096668</v>
      </c>
      <c r="G80" s="13">
        <f t="shared" si="90"/>
        <v>3420729.7120562661</v>
      </c>
      <c r="H80" s="192">
        <f t="shared" si="91"/>
        <v>35762.420325547202</v>
      </c>
      <c r="I80" s="192">
        <f t="shared" si="92"/>
        <v>3384967.2917307196</v>
      </c>
      <c r="J80" s="256">
        <f t="shared" si="93"/>
        <v>3420729.7120562666</v>
      </c>
      <c r="K80" s="242">
        <f t="shared" si="94"/>
        <v>3.2189491052609036E-2</v>
      </c>
      <c r="L80" s="242">
        <f t="shared" si="95"/>
        <v>1.8056394487989798</v>
      </c>
      <c r="M80" s="242">
        <f t="shared" si="96"/>
        <v>1.1457194812624967</v>
      </c>
      <c r="N80" s="240"/>
      <c r="O80" s="240"/>
      <c r="AU80" s="430"/>
      <c r="AV80" s="431"/>
      <c r="AW80" s="431"/>
      <c r="AX80" s="431"/>
    </row>
    <row r="81" spans="1:126" ht="13.8">
      <c r="A81" s="188">
        <v>39</v>
      </c>
      <c r="B81" s="2">
        <v>0</v>
      </c>
      <c r="C81" s="2">
        <v>15697.534086762282</v>
      </c>
      <c r="D81" s="2">
        <v>1341891.5789473685</v>
      </c>
      <c r="E81" s="2">
        <v>703875.69938733696</v>
      </c>
      <c r="G81" s="13">
        <f t="shared" si="90"/>
        <v>2061464.8124214676</v>
      </c>
      <c r="H81" s="192">
        <f t="shared" si="91"/>
        <v>15697.534086762282</v>
      </c>
      <c r="I81" s="192">
        <f t="shared" si="92"/>
        <v>2045767.2783347056</v>
      </c>
      <c r="J81" s="256">
        <f t="shared" si="93"/>
        <v>2061464.8124214679</v>
      </c>
      <c r="K81" s="242">
        <f t="shared" si="94"/>
        <v>1.4129234778690231E-2</v>
      </c>
      <c r="L81" s="242">
        <f t="shared" si="95"/>
        <v>1.0912714311441933</v>
      </c>
      <c r="M81" s="242">
        <f t="shared" si="96"/>
        <v>0.69045513511462286</v>
      </c>
      <c r="N81" s="240"/>
      <c r="O81" s="240"/>
      <c r="AU81" s="430"/>
      <c r="AV81" s="431"/>
      <c r="AW81" s="431"/>
      <c r="AX81" s="431"/>
      <c r="AZ81" s="431"/>
      <c r="BA81" s="431"/>
    </row>
    <row r="82" spans="1:126" ht="13.8">
      <c r="A82" s="188">
        <v>40</v>
      </c>
      <c r="B82" s="2">
        <v>0</v>
      </c>
      <c r="C82" s="2">
        <v>1956.842581109509</v>
      </c>
      <c r="D82" s="2">
        <v>808368.42105263157</v>
      </c>
      <c r="E82" s="2">
        <v>367595.24905016139</v>
      </c>
      <c r="G82" s="13">
        <f t="shared" si="90"/>
        <v>1177920.5126839024</v>
      </c>
      <c r="H82" s="192">
        <f t="shared" si="91"/>
        <v>1956.842581109509</v>
      </c>
      <c r="I82" s="192">
        <f t="shared" si="92"/>
        <v>1175963.670102793</v>
      </c>
      <c r="J82" s="256">
        <f t="shared" si="93"/>
        <v>1177920.5126839026</v>
      </c>
      <c r="K82" s="242">
        <f t="shared" si="94"/>
        <v>1.7613395900666047E-3</v>
      </c>
      <c r="L82" s="242">
        <f t="shared" si="95"/>
        <v>0.6272930312441406</v>
      </c>
      <c r="M82" s="242">
        <f t="shared" si="96"/>
        <v>0.39452590305634083</v>
      </c>
      <c r="N82" s="240"/>
      <c r="O82" s="240"/>
      <c r="AU82" s="430"/>
      <c r="AV82" s="431"/>
      <c r="AW82" s="431"/>
      <c r="AX82" s="431"/>
      <c r="AZ82" s="431"/>
      <c r="BA82" s="431"/>
      <c r="BB82" s="2"/>
      <c r="DV82" s="1" t="s">
        <v>18</v>
      </c>
    </row>
    <row r="83" spans="1:126" ht="13.8">
      <c r="A83" s="188">
        <v>41</v>
      </c>
      <c r="B83" s="2">
        <v>0</v>
      </c>
      <c r="C83" s="2"/>
      <c r="D83" s="2">
        <v>582025.26315789472</v>
      </c>
      <c r="E83" s="2">
        <v>151365.60044519577</v>
      </c>
      <c r="G83" s="13">
        <f t="shared" si="90"/>
        <v>733390.86360309052</v>
      </c>
      <c r="H83" s="192">
        <f t="shared" si="91"/>
        <v>0</v>
      </c>
      <c r="I83" s="192">
        <f t="shared" si="92"/>
        <v>733390.86360309052</v>
      </c>
      <c r="J83" s="256">
        <f t="shared" si="93"/>
        <v>733390.86360309052</v>
      </c>
      <c r="K83" s="242">
        <f t="shared" si="94"/>
        <v>0</v>
      </c>
      <c r="L83" s="242">
        <f t="shared" si="95"/>
        <v>0.39121189677239515</v>
      </c>
      <c r="M83" s="242">
        <f t="shared" si="96"/>
        <v>0.24563770614454386</v>
      </c>
      <c r="N83" s="240"/>
      <c r="O83" s="240"/>
      <c r="AU83" s="430"/>
      <c r="AV83" s="431"/>
      <c r="AW83" s="431"/>
      <c r="AX83" s="431"/>
    </row>
    <row r="84" spans="1:126" ht="13.8">
      <c r="A84" s="188">
        <v>42</v>
      </c>
      <c r="B84" s="2">
        <v>0</v>
      </c>
      <c r="C84" s="2"/>
      <c r="D84" s="2">
        <v>646694.73684210528</v>
      </c>
      <c r="E84" s="2">
        <v>74732.73320133402</v>
      </c>
      <c r="G84" s="13">
        <f t="shared" si="90"/>
        <v>721427.4700434393</v>
      </c>
      <c r="H84" s="192">
        <f t="shared" si="91"/>
        <v>0</v>
      </c>
      <c r="I84" s="192">
        <f t="shared" si="92"/>
        <v>721427.4700434393</v>
      </c>
      <c r="J84" s="256">
        <f t="shared" si="93"/>
        <v>721427.4700434393</v>
      </c>
      <c r="K84" s="242">
        <f t="shared" si="94"/>
        <v>0</v>
      </c>
      <c r="L84" s="242">
        <f t="shared" si="95"/>
        <v>0.38483027665878716</v>
      </c>
      <c r="M84" s="242">
        <f t="shared" si="96"/>
        <v>0.2416307561025707</v>
      </c>
      <c r="N84" s="240"/>
      <c r="O84" s="240"/>
      <c r="AZ84" s="431"/>
      <c r="BA84" s="431"/>
    </row>
    <row r="85" spans="1:126" ht="13.8">
      <c r="A85" s="188">
        <v>43</v>
      </c>
      <c r="B85" s="2">
        <v>0</v>
      </c>
      <c r="C85" s="2"/>
      <c r="D85" s="2">
        <v>501188.42105263157</v>
      </c>
      <c r="E85" s="2">
        <v>47373.555985886051</v>
      </c>
      <c r="G85" s="13">
        <f t="shared" si="90"/>
        <v>548561.97703851759</v>
      </c>
      <c r="H85" s="192">
        <f t="shared" si="91"/>
        <v>0</v>
      </c>
      <c r="I85" s="192">
        <f t="shared" si="92"/>
        <v>548561.97703851759</v>
      </c>
      <c r="J85" s="256">
        <f t="shared" si="93"/>
        <v>548561.97703851759</v>
      </c>
      <c r="K85" s="242">
        <f t="shared" si="94"/>
        <v>0</v>
      </c>
      <c r="L85" s="242">
        <f t="shared" si="95"/>
        <v>0.29261882331083511</v>
      </c>
      <c r="M85" s="242">
        <f t="shared" si="96"/>
        <v>0.18373218484868178</v>
      </c>
      <c r="N85" s="240"/>
      <c r="O85" s="240"/>
      <c r="AZ85" s="431"/>
      <c r="BA85" s="431"/>
      <c r="BB85" s="2"/>
    </row>
    <row r="86" spans="1:126">
      <c r="A86" s="188">
        <v>44</v>
      </c>
      <c r="B86" s="2">
        <v>0</v>
      </c>
      <c r="C86" s="2"/>
      <c r="D86" s="2">
        <v>388016.84210526315</v>
      </c>
      <c r="E86" s="2">
        <v>32943.26462173061</v>
      </c>
      <c r="G86" s="13">
        <f t="shared" si="90"/>
        <v>420960.10672699375</v>
      </c>
      <c r="H86" s="192">
        <f t="shared" si="91"/>
        <v>0</v>
      </c>
      <c r="I86" s="192">
        <f t="shared" si="92"/>
        <v>420960.10672699375</v>
      </c>
      <c r="J86" s="256">
        <f t="shared" si="93"/>
        <v>420960.10672699375</v>
      </c>
      <c r="K86" s="242">
        <f t="shared" si="94"/>
        <v>0</v>
      </c>
      <c r="L86" s="242">
        <f t="shared" si="95"/>
        <v>0.22455229536006877</v>
      </c>
      <c r="M86" s="242">
        <f t="shared" si="96"/>
        <v>0.14099395032925166</v>
      </c>
      <c r="N86" s="240"/>
      <c r="O86" s="240"/>
    </row>
    <row r="87" spans="1:126" ht="14.4">
      <c r="A87" s="188">
        <v>45</v>
      </c>
      <c r="B87" s="2">
        <v>0</v>
      </c>
      <c r="C87" s="2"/>
      <c r="D87" s="2">
        <v>355682.10526315792</v>
      </c>
      <c r="E87" s="2">
        <v>19212.127454276571</v>
      </c>
      <c r="G87" s="13">
        <f t="shared" si="90"/>
        <v>374894.23271743447</v>
      </c>
      <c r="H87" s="192">
        <f t="shared" si="91"/>
        <v>0</v>
      </c>
      <c r="I87" s="192">
        <f t="shared" si="92"/>
        <v>374894.23271743447</v>
      </c>
      <c r="J87" s="256">
        <f t="shared" si="93"/>
        <v>374894.23271743447</v>
      </c>
      <c r="K87" s="242">
        <f t="shared" si="94"/>
        <v>0</v>
      </c>
      <c r="L87" s="242">
        <f t="shared" si="95"/>
        <v>0.19997942590922838</v>
      </c>
      <c r="M87" s="242">
        <f t="shared" si="96"/>
        <v>0.12556491216580973</v>
      </c>
      <c r="N87" s="240"/>
      <c r="O87" s="240"/>
      <c r="AN87" s="426"/>
      <c r="AO87" s="426"/>
      <c r="AP87" s="426"/>
      <c r="AZ87" s="431"/>
      <c r="BA87" s="431"/>
    </row>
    <row r="88" spans="1:126" ht="13.8">
      <c r="A88" s="188">
        <v>46</v>
      </c>
      <c r="B88" s="2">
        <v>0</v>
      </c>
      <c r="C88" s="2"/>
      <c r="D88" s="2">
        <v>97004.210526315786</v>
      </c>
      <c r="E88" s="2">
        <v>10230.828781568596</v>
      </c>
      <c r="G88" s="13">
        <f t="shared" si="90"/>
        <v>107235.03930788438</v>
      </c>
      <c r="H88" s="192">
        <f t="shared" si="91"/>
        <v>0</v>
      </c>
      <c r="I88" s="192">
        <f t="shared" si="92"/>
        <v>107235.03930788438</v>
      </c>
      <c r="J88" s="256">
        <f t="shared" si="93"/>
        <v>107235.03930788438</v>
      </c>
      <c r="K88" s="242">
        <f t="shared" si="94"/>
        <v>0</v>
      </c>
      <c r="L88" s="242">
        <f t="shared" si="95"/>
        <v>5.7202271271822001E-2</v>
      </c>
      <c r="M88" s="242">
        <f t="shared" si="96"/>
        <v>3.591668560540507E-2</v>
      </c>
      <c r="N88" s="240"/>
      <c r="O88" s="240"/>
      <c r="AN88"/>
      <c r="AO88"/>
      <c r="AP88" s="432"/>
      <c r="AZ88" s="431"/>
      <c r="BA88" s="431"/>
      <c r="BB88" s="2"/>
    </row>
    <row r="89" spans="1:126" ht="14.4">
      <c r="A89" s="188">
        <v>47</v>
      </c>
      <c r="B89" s="2">
        <v>0</v>
      </c>
      <c r="C89" s="2"/>
      <c r="D89" s="2">
        <v>210175.78947368421</v>
      </c>
      <c r="E89" s="2">
        <v>8223.8917308794989</v>
      </c>
      <c r="G89" s="13">
        <f t="shared" si="90"/>
        <v>218399.68120456371</v>
      </c>
      <c r="H89" s="192">
        <f t="shared" si="91"/>
        <v>0</v>
      </c>
      <c r="I89" s="192">
        <f t="shared" si="92"/>
        <v>218399.68120456371</v>
      </c>
      <c r="J89" s="256">
        <f t="shared" si="93"/>
        <v>218399.68120456371</v>
      </c>
      <c r="K89" s="242">
        <f t="shared" si="94"/>
        <v>0</v>
      </c>
      <c r="L89" s="242">
        <f t="shared" si="95"/>
        <v>0.11650070621109347</v>
      </c>
      <c r="M89" s="242">
        <f t="shared" si="96"/>
        <v>7.3149529638567232E-2</v>
      </c>
      <c r="N89" s="240"/>
      <c r="O89" s="240"/>
      <c r="AN89"/>
      <c r="AO89"/>
      <c r="AP89" s="433"/>
    </row>
    <row r="90" spans="1:126">
      <c r="A90" s="188">
        <v>48</v>
      </c>
      <c r="B90" s="2">
        <v>0</v>
      </c>
      <c r="C90" s="2"/>
      <c r="D90" s="2">
        <v>64669.473684210527</v>
      </c>
      <c r="E90" s="2">
        <v>2787.4491243854409</v>
      </c>
      <c r="G90" s="13">
        <f t="shared" si="90"/>
        <v>67456.922808595962</v>
      </c>
      <c r="H90" s="192">
        <f t="shared" si="91"/>
        <v>0</v>
      </c>
      <c r="I90" s="192">
        <f t="shared" si="92"/>
        <v>67456.922808595962</v>
      </c>
      <c r="J90" s="256">
        <f t="shared" si="93"/>
        <v>67456.922808595962</v>
      </c>
      <c r="K90" s="242">
        <f t="shared" si="94"/>
        <v>0</v>
      </c>
      <c r="L90" s="242">
        <f t="shared" si="95"/>
        <v>3.5983473522874496E-2</v>
      </c>
      <c r="M90" s="242">
        <f t="shared" si="96"/>
        <v>2.259363267885036E-2</v>
      </c>
      <c r="N90" s="240"/>
      <c r="O90" s="240"/>
      <c r="AN90"/>
      <c r="AO90"/>
      <c r="AP90" s="432"/>
    </row>
    <row r="91" spans="1:126">
      <c r="A91" s="188">
        <v>49</v>
      </c>
      <c r="B91" s="2">
        <v>0</v>
      </c>
      <c r="C91" s="2"/>
      <c r="D91" s="2">
        <v>113171.57894736843</v>
      </c>
      <c r="E91" s="2">
        <v>2828.6848872342039</v>
      </c>
      <c r="G91" s="13">
        <f t="shared" si="90"/>
        <v>116000.26383460264</v>
      </c>
      <c r="H91" s="192">
        <f t="shared" si="91"/>
        <v>0</v>
      </c>
      <c r="I91" s="192">
        <f t="shared" si="92"/>
        <v>116000.26383460264</v>
      </c>
      <c r="J91" s="256">
        <f t="shared" si="93"/>
        <v>116000.26383460264</v>
      </c>
      <c r="K91" s="242">
        <f t="shared" si="94"/>
        <v>0</v>
      </c>
      <c r="L91" s="242">
        <f t="shared" si="95"/>
        <v>6.1877895530197236E-2</v>
      </c>
      <c r="M91" s="242">
        <f t="shared" si="96"/>
        <v>3.885245935639934E-2</v>
      </c>
      <c r="N91" s="240"/>
      <c r="O91" s="240"/>
      <c r="AN91"/>
      <c r="AO91"/>
      <c r="AP91" s="432"/>
      <c r="AQ91" s="2"/>
    </row>
    <row r="92" spans="1:126">
      <c r="A92" s="188">
        <v>50</v>
      </c>
      <c r="B92" s="2">
        <v>0</v>
      </c>
      <c r="C92" s="2"/>
      <c r="D92" s="2">
        <v>64669.473684210527</v>
      </c>
      <c r="E92" s="2">
        <v>923.46658356504463</v>
      </c>
      <c r="G92" s="13">
        <f t="shared" si="90"/>
        <v>65592.940267775572</v>
      </c>
      <c r="H92" s="192">
        <f t="shared" si="91"/>
        <v>0</v>
      </c>
      <c r="I92" s="192">
        <f t="shared" si="92"/>
        <v>65592.940267775572</v>
      </c>
      <c r="J92" s="256">
        <f t="shared" si="93"/>
        <v>65592.940267775572</v>
      </c>
      <c r="K92" s="242">
        <f t="shared" si="94"/>
        <v>0</v>
      </c>
      <c r="L92" s="242">
        <f t="shared" si="95"/>
        <v>3.4989171328049747E-2</v>
      </c>
      <c r="M92" s="242">
        <f t="shared" si="96"/>
        <v>2.196932111683942E-2</v>
      </c>
      <c r="N92" s="240"/>
      <c r="O92" s="240"/>
      <c r="AN92"/>
      <c r="AO92"/>
      <c r="AP92" s="432"/>
    </row>
    <row r="93" spans="1:126" ht="13.8" thickBot="1">
      <c r="A93" s="190" t="s">
        <v>372</v>
      </c>
      <c r="B93" s="2">
        <v>83302956.696104378</v>
      </c>
      <c r="C93" s="2">
        <v>27796719.490445845</v>
      </c>
      <c r="D93" s="2">
        <v>122548652.63157895</v>
      </c>
      <c r="E93" s="2">
        <v>64917748.480903879</v>
      </c>
      <c r="G93" s="13">
        <f t="shared" si="90"/>
        <v>298566077.29903305</v>
      </c>
      <c r="H93" s="192">
        <f t="shared" si="91"/>
        <v>111099676.18655023</v>
      </c>
      <c r="I93" s="192">
        <f t="shared" si="92"/>
        <v>187466401.11248285</v>
      </c>
      <c r="J93" s="256">
        <f t="shared" si="93"/>
        <v>298566077.29903305</v>
      </c>
      <c r="K93" s="242">
        <f t="shared" si="94"/>
        <v>100</v>
      </c>
      <c r="L93" s="242">
        <f t="shared" si="95"/>
        <v>100</v>
      </c>
      <c r="M93" s="242">
        <f t="shared" si="96"/>
        <v>100</v>
      </c>
      <c r="N93" s="240"/>
      <c r="O93" s="240"/>
      <c r="AN93"/>
      <c r="AO93"/>
      <c r="AP93" s="432"/>
    </row>
    <row r="94" spans="1:126" ht="14.4" thickTop="1" thickBot="1">
      <c r="A94" s="189" t="s">
        <v>375</v>
      </c>
      <c r="C94" s="2">
        <v>20962</v>
      </c>
      <c r="D94" s="2">
        <v>5133</v>
      </c>
      <c r="F94" s="2">
        <v>0</v>
      </c>
      <c r="G94" s="13">
        <f t="shared" si="90"/>
        <v>26095</v>
      </c>
      <c r="H94" s="192">
        <f t="shared" si="91"/>
        <v>20962</v>
      </c>
      <c r="I94" s="192">
        <f t="shared" si="92"/>
        <v>5133</v>
      </c>
      <c r="J94" s="256">
        <f t="shared" si="93"/>
        <v>26095</v>
      </c>
      <c r="K94" s="242"/>
      <c r="L94" s="242"/>
      <c r="M94" s="242"/>
      <c r="N94" s="240"/>
      <c r="O94" s="240"/>
      <c r="AN94"/>
      <c r="AO94"/>
      <c r="AP94" s="432"/>
    </row>
    <row r="95" spans="1:126" ht="13.8" thickBot="1">
      <c r="A95" s="191" t="s">
        <v>400</v>
      </c>
      <c r="B95" s="13">
        <v>13198</v>
      </c>
      <c r="C95" s="6">
        <v>11614</v>
      </c>
      <c r="D95" s="13">
        <v>30718</v>
      </c>
      <c r="E95" s="6">
        <v>21937</v>
      </c>
      <c r="F95" s="2"/>
      <c r="G95" s="13">
        <f t="shared" si="90"/>
        <v>77467</v>
      </c>
      <c r="H95" s="192">
        <f t="shared" si="91"/>
        <v>24812</v>
      </c>
      <c r="I95" s="192">
        <f t="shared" si="92"/>
        <v>52655</v>
      </c>
      <c r="J95" s="256">
        <f t="shared" si="93"/>
        <v>77467</v>
      </c>
      <c r="K95" s="248"/>
      <c r="L95" s="248"/>
      <c r="M95" s="248"/>
      <c r="N95" s="240"/>
      <c r="O95" s="240"/>
      <c r="AP95" s="2"/>
    </row>
    <row r="96" spans="1:126" ht="13.8" thickBot="1">
      <c r="J96" s="257"/>
    </row>
    <row r="97" spans="1:57" ht="14.4" thickBot="1">
      <c r="A97" s="1816" t="s">
        <v>401</v>
      </c>
      <c r="B97" s="1804" t="s">
        <v>390</v>
      </c>
      <c r="C97" s="1804" t="s">
        <v>391</v>
      </c>
      <c r="D97" s="1804" t="s">
        <v>310</v>
      </c>
      <c r="E97" s="1804" t="s">
        <v>29</v>
      </c>
      <c r="F97" s="194" t="s">
        <v>45</v>
      </c>
      <c r="G97" s="195" t="s">
        <v>311</v>
      </c>
      <c r="H97" s="235" t="s">
        <v>312</v>
      </c>
      <c r="I97" s="194" t="s">
        <v>45</v>
      </c>
      <c r="J97" s="257"/>
    </row>
    <row r="98" spans="1:57" ht="13.8" thickBot="1">
      <c r="A98" s="1119">
        <v>10</v>
      </c>
      <c r="B98" s="2"/>
      <c r="C98" s="2">
        <v>3324.1379310344828</v>
      </c>
      <c r="D98" s="2"/>
      <c r="F98" s="13">
        <f t="shared" ref="F98:F138" si="97">SUM(B98:E98)</f>
        <v>3324.1379310344828</v>
      </c>
      <c r="G98" s="2"/>
      <c r="H98" s="192">
        <f t="shared" ref="H98:H136" si="98">SUM(C98:D98)</f>
        <v>3324.1379310344828</v>
      </c>
      <c r="I98" s="256">
        <f t="shared" ref="I98:I136" si="99">SUM(E98:H98)</f>
        <v>6648.2758620689656</v>
      </c>
      <c r="J98" s="257"/>
      <c r="K98" s="314" t="s">
        <v>402</v>
      </c>
      <c r="L98" s="314"/>
      <c r="M98" s="314"/>
      <c r="N98" s="315" t="s">
        <v>403</v>
      </c>
      <c r="O98" s="314"/>
      <c r="P98" s="314"/>
    </row>
    <row r="99" spans="1:57" ht="13.8" thickBot="1">
      <c r="A99" s="1119">
        <v>11</v>
      </c>
      <c r="B99" s="2"/>
      <c r="C99" s="2">
        <v>9972.4137931034493</v>
      </c>
      <c r="D99" s="2"/>
      <c r="F99" s="13">
        <f t="shared" si="97"/>
        <v>9972.4137931034493</v>
      </c>
      <c r="G99" s="2"/>
      <c r="H99" s="192">
        <f t="shared" si="98"/>
        <v>9972.4137931034493</v>
      </c>
      <c r="I99" s="256">
        <f t="shared" si="99"/>
        <v>19944.827586206899</v>
      </c>
      <c r="J99" s="257"/>
      <c r="K99" s="258" t="s">
        <v>311</v>
      </c>
      <c r="L99" s="258" t="s">
        <v>312</v>
      </c>
      <c r="M99" s="213" t="s">
        <v>392</v>
      </c>
      <c r="N99" s="309"/>
      <c r="O99" s="309"/>
    </row>
    <row r="100" spans="1:57">
      <c r="A100" s="1119">
        <v>12</v>
      </c>
      <c r="B100" s="2"/>
      <c r="C100" s="2">
        <v>16620.689655172413</v>
      </c>
      <c r="D100" s="2"/>
      <c r="F100" s="13">
        <f t="shared" si="97"/>
        <v>16620.689655172413</v>
      </c>
      <c r="G100" s="2"/>
      <c r="H100" s="192">
        <f t="shared" si="98"/>
        <v>16620.689655172413</v>
      </c>
      <c r="I100" s="256">
        <f t="shared" si="99"/>
        <v>33241.379310344826</v>
      </c>
      <c r="J100" s="257"/>
      <c r="K100" s="242">
        <f t="shared" ref="K100:K138" si="100">+G98/G$136*100</f>
        <v>0</v>
      </c>
      <c r="L100" s="242">
        <f t="shared" ref="L100:L138" si="101">+H98/H$136*100</f>
        <v>8.504602457697177E-3</v>
      </c>
      <c r="M100" s="238">
        <f t="shared" ref="M100:M138" si="102">+I98/I$136*100</f>
        <v>8.4278599928754895E-3</v>
      </c>
      <c r="N100" s="240"/>
      <c r="O100" s="240"/>
    </row>
    <row r="101" spans="1:57" ht="13.8">
      <c r="A101" s="1119">
        <v>13</v>
      </c>
      <c r="B101" s="2"/>
      <c r="C101" s="2">
        <v>56510.34482758621</v>
      </c>
      <c r="D101" s="2"/>
      <c r="F101" s="13">
        <f t="shared" si="97"/>
        <v>56510.34482758621</v>
      </c>
      <c r="G101" s="2"/>
      <c r="H101" s="192">
        <f t="shared" si="98"/>
        <v>56510.34482758621</v>
      </c>
      <c r="I101" s="256">
        <f t="shared" si="99"/>
        <v>113020.68965517242</v>
      </c>
      <c r="J101" s="257"/>
      <c r="K101" s="242">
        <f t="shared" si="100"/>
        <v>0</v>
      </c>
      <c r="L101" s="242">
        <f t="shared" si="101"/>
        <v>2.5513807373091533E-2</v>
      </c>
      <c r="M101" s="241">
        <f t="shared" si="102"/>
        <v>2.5283579978626469E-2</v>
      </c>
      <c r="N101" s="240"/>
      <c r="O101" s="240"/>
      <c r="BE101" s="431"/>
    </row>
    <row r="102" spans="1:57">
      <c r="A102" s="1119">
        <v>14</v>
      </c>
      <c r="B102" s="2"/>
      <c r="C102" s="2">
        <v>113020.68965517242</v>
      </c>
      <c r="D102" s="2"/>
      <c r="F102" s="13">
        <f t="shared" si="97"/>
        <v>113020.68965517242</v>
      </c>
      <c r="G102" s="2"/>
      <c r="H102" s="192">
        <f t="shared" si="98"/>
        <v>113020.68965517242</v>
      </c>
      <c r="I102" s="256">
        <f t="shared" si="99"/>
        <v>226041.37931034484</v>
      </c>
      <c r="J102" s="257"/>
      <c r="K102" s="242">
        <f t="shared" si="100"/>
        <v>0</v>
      </c>
      <c r="L102" s="242">
        <f t="shared" si="101"/>
        <v>4.252301228848588E-2</v>
      </c>
      <c r="M102" s="241">
        <f t="shared" si="102"/>
        <v>4.2139299964377444E-2</v>
      </c>
      <c r="N102" s="240"/>
      <c r="O102" s="240"/>
    </row>
    <row r="103" spans="1:57">
      <c r="A103" s="1119">
        <v>15</v>
      </c>
      <c r="B103" s="2"/>
      <c r="C103" s="2">
        <v>242662.06896551725</v>
      </c>
      <c r="D103" s="2"/>
      <c r="F103" s="13">
        <f t="shared" si="97"/>
        <v>242662.06896551725</v>
      </c>
      <c r="G103" s="2"/>
      <c r="H103" s="192">
        <f t="shared" si="98"/>
        <v>242662.06896551725</v>
      </c>
      <c r="I103" s="256">
        <f t="shared" si="99"/>
        <v>485324.13793103449</v>
      </c>
      <c r="J103" s="257"/>
      <c r="K103" s="242">
        <f t="shared" si="100"/>
        <v>0</v>
      </c>
      <c r="L103" s="242">
        <f t="shared" si="101"/>
        <v>0.14457824178085199</v>
      </c>
      <c r="M103" s="241">
        <f t="shared" si="102"/>
        <v>0.14327361987888332</v>
      </c>
      <c r="N103" s="240"/>
      <c r="O103" s="240"/>
    </row>
    <row r="104" spans="1:57">
      <c r="A104" s="1119">
        <v>16</v>
      </c>
      <c r="B104" s="2"/>
      <c r="C104" s="2">
        <v>465379.31034482759</v>
      </c>
      <c r="D104" s="2"/>
      <c r="F104" s="13">
        <f t="shared" si="97"/>
        <v>465379.31034482759</v>
      </c>
      <c r="G104" s="2"/>
      <c r="H104" s="192">
        <f t="shared" si="98"/>
        <v>465379.31034482759</v>
      </c>
      <c r="I104" s="256">
        <f t="shared" si="99"/>
        <v>930758.62068965519</v>
      </c>
      <c r="K104" s="242">
        <f t="shared" si="100"/>
        <v>0</v>
      </c>
      <c r="L104" s="242">
        <f t="shared" si="101"/>
        <v>0.28915648356170398</v>
      </c>
      <c r="M104" s="241">
        <f t="shared" si="102"/>
        <v>0.28654723975776664</v>
      </c>
      <c r="N104" s="240"/>
      <c r="O104" s="240"/>
    </row>
    <row r="105" spans="1:57">
      <c r="A105" s="1119">
        <v>17</v>
      </c>
      <c r="B105" s="2"/>
      <c r="C105" s="2">
        <v>541834.48275862064</v>
      </c>
      <c r="D105" s="2"/>
      <c r="F105" s="13">
        <f t="shared" si="97"/>
        <v>541834.48275862064</v>
      </c>
      <c r="G105" s="2"/>
      <c r="H105" s="192">
        <f t="shared" si="98"/>
        <v>541834.48275862064</v>
      </c>
      <c r="I105" s="256">
        <f t="shared" si="99"/>
        <v>1083668.9655172413</v>
      </c>
      <c r="K105" s="242">
        <f t="shared" si="100"/>
        <v>0</v>
      </c>
      <c r="L105" s="242">
        <f t="shared" si="101"/>
        <v>0.62083597941189395</v>
      </c>
      <c r="M105" s="241">
        <f t="shared" si="102"/>
        <v>0.61523377947991065</v>
      </c>
      <c r="N105" s="240"/>
      <c r="O105" s="240"/>
    </row>
    <row r="106" spans="1:57">
      <c r="A106" s="1119">
        <v>18</v>
      </c>
      <c r="B106" s="2"/>
      <c r="C106" s="2">
        <v>877572.41379310342</v>
      </c>
      <c r="D106" s="2"/>
      <c r="F106" s="13">
        <f t="shared" si="97"/>
        <v>877572.41379310342</v>
      </c>
      <c r="G106" s="2"/>
      <c r="H106" s="192">
        <f t="shared" si="98"/>
        <v>877572.41379310342</v>
      </c>
      <c r="I106" s="256">
        <f t="shared" si="99"/>
        <v>1755144.8275862068</v>
      </c>
      <c r="K106" s="242">
        <f t="shared" si="100"/>
        <v>0</v>
      </c>
      <c r="L106" s="242">
        <f t="shared" si="101"/>
        <v>1.1906443440776047</v>
      </c>
      <c r="M106" s="241">
        <f t="shared" si="102"/>
        <v>1.1799003990025685</v>
      </c>
      <c r="N106" s="240"/>
      <c r="O106" s="240"/>
    </row>
    <row r="107" spans="1:57">
      <c r="A107" s="1119">
        <v>19</v>
      </c>
      <c r="B107" s="2"/>
      <c r="C107" s="2">
        <v>1133531.0344827587</v>
      </c>
      <c r="D107" s="2"/>
      <c r="F107" s="13">
        <f t="shared" si="97"/>
        <v>1133531.0344827587</v>
      </c>
      <c r="G107" s="2"/>
      <c r="H107" s="192">
        <f t="shared" si="98"/>
        <v>1133531.0344827587</v>
      </c>
      <c r="I107" s="256">
        <f t="shared" si="99"/>
        <v>2267062.0689655175</v>
      </c>
      <c r="K107" s="242">
        <f t="shared" si="100"/>
        <v>0</v>
      </c>
      <c r="L107" s="242">
        <f t="shared" si="101"/>
        <v>1.3862502006046395</v>
      </c>
      <c r="M107" s="241">
        <f t="shared" si="102"/>
        <v>1.3737411788387044</v>
      </c>
      <c r="N107" s="240"/>
      <c r="O107" s="240"/>
    </row>
    <row r="108" spans="1:57">
      <c r="A108" s="1119">
        <v>20</v>
      </c>
      <c r="B108" s="2"/>
      <c r="C108" s="2">
        <v>1512482.7586206896</v>
      </c>
      <c r="D108" s="2"/>
      <c r="F108" s="13">
        <f t="shared" si="97"/>
        <v>1512482.7586206896</v>
      </c>
      <c r="G108" s="2"/>
      <c r="H108" s="192">
        <f t="shared" si="98"/>
        <v>1512482.7586206896</v>
      </c>
      <c r="I108" s="256">
        <f t="shared" si="99"/>
        <v>3024965.5172413792</v>
      </c>
      <c r="K108" s="242">
        <f t="shared" si="100"/>
        <v>0</v>
      </c>
      <c r="L108" s="242">
        <f t="shared" si="101"/>
        <v>2.2452150488320544</v>
      </c>
      <c r="M108" s="241">
        <f t="shared" si="102"/>
        <v>2.2249550381191292</v>
      </c>
      <c r="N108" s="240"/>
      <c r="O108" s="240"/>
    </row>
    <row r="109" spans="1:57">
      <c r="A109" s="1119">
        <v>21</v>
      </c>
      <c r="B109" s="2"/>
      <c r="C109" s="2">
        <v>1738524.1379310344</v>
      </c>
      <c r="D109" s="2"/>
      <c r="F109" s="13">
        <f t="shared" si="97"/>
        <v>1738524.1379310344</v>
      </c>
      <c r="G109" s="2"/>
      <c r="H109" s="192">
        <f t="shared" si="98"/>
        <v>1738524.1379310344</v>
      </c>
      <c r="I109" s="256">
        <f t="shared" si="99"/>
        <v>3477048.2758620689</v>
      </c>
      <c r="K109" s="242">
        <f t="shared" si="100"/>
        <v>0</v>
      </c>
      <c r="L109" s="242">
        <f t="shared" si="101"/>
        <v>2.9000694380747376</v>
      </c>
      <c r="M109" s="241">
        <f t="shared" si="102"/>
        <v>2.8739002575705421</v>
      </c>
      <c r="N109" s="240"/>
      <c r="O109" s="240"/>
    </row>
    <row r="110" spans="1:57">
      <c r="A110" s="1119">
        <v>22</v>
      </c>
      <c r="B110" s="2"/>
      <c r="C110" s="2">
        <v>1811655.1724137932</v>
      </c>
      <c r="D110" s="2"/>
      <c r="F110" s="13">
        <f t="shared" si="97"/>
        <v>1811655.1724137932</v>
      </c>
      <c r="G110" s="2"/>
      <c r="H110" s="192">
        <f t="shared" si="98"/>
        <v>1811655.1724137932</v>
      </c>
      <c r="I110" s="256">
        <f t="shared" si="99"/>
        <v>3623310.3448275863</v>
      </c>
      <c r="K110" s="242">
        <f t="shared" si="100"/>
        <v>0</v>
      </c>
      <c r="L110" s="242">
        <f t="shared" si="101"/>
        <v>3.8695941182522153</v>
      </c>
      <c r="M110" s="241">
        <f t="shared" si="102"/>
        <v>3.8346762967583472</v>
      </c>
      <c r="N110" s="240"/>
      <c r="O110" s="240"/>
    </row>
    <row r="111" spans="1:57">
      <c r="A111" s="1119">
        <v>23</v>
      </c>
      <c r="B111" s="2"/>
      <c r="C111" s="2">
        <v>3613337.931034483</v>
      </c>
      <c r="D111" s="2"/>
      <c r="F111" s="13">
        <f t="shared" si="97"/>
        <v>3613337.931034483</v>
      </c>
      <c r="G111" s="2"/>
      <c r="H111" s="192">
        <f t="shared" si="98"/>
        <v>3613337.931034483</v>
      </c>
      <c r="I111" s="256">
        <f t="shared" si="99"/>
        <v>7226675.862068966</v>
      </c>
      <c r="K111" s="242">
        <f t="shared" si="100"/>
        <v>0</v>
      </c>
      <c r="L111" s="242">
        <f t="shared" si="101"/>
        <v>4.4479070853756228</v>
      </c>
      <c r="M111" s="241">
        <f t="shared" si="102"/>
        <v>4.40777077627388</v>
      </c>
      <c r="N111" s="240"/>
      <c r="O111" s="240"/>
    </row>
    <row r="112" spans="1:57">
      <c r="A112" s="1119">
        <v>24</v>
      </c>
      <c r="B112" s="2">
        <v>29316.464349325459</v>
      </c>
      <c r="C112" s="2">
        <v>3427186.2068965519</v>
      </c>
      <c r="D112" s="2"/>
      <c r="F112" s="13">
        <f t="shared" si="97"/>
        <v>3456502.6712458772</v>
      </c>
      <c r="G112" s="2">
        <v>29316.464349325459</v>
      </c>
      <c r="H112" s="192">
        <f t="shared" si="98"/>
        <v>3427186.2068965519</v>
      </c>
      <c r="I112" s="256">
        <f t="shared" si="99"/>
        <v>6913005.3424917543</v>
      </c>
      <c r="K112" s="242">
        <f t="shared" si="100"/>
        <v>0</v>
      </c>
      <c r="L112" s="242">
        <f t="shared" si="101"/>
        <v>4.635008339444961</v>
      </c>
      <c r="M112" s="241">
        <f t="shared" si="102"/>
        <v>4.5931836961171415</v>
      </c>
      <c r="N112" s="240"/>
      <c r="O112" s="240"/>
    </row>
    <row r="113" spans="1:15">
      <c r="A113" s="1119">
        <v>25</v>
      </c>
      <c r="B113" s="2">
        <v>12564.199006853767</v>
      </c>
      <c r="C113" s="2">
        <v>4318055.1724137934</v>
      </c>
      <c r="D113" s="2"/>
      <c r="F113" s="13">
        <f t="shared" si="97"/>
        <v>4330619.371420647</v>
      </c>
      <c r="G113" s="2">
        <v>12564.199006853767</v>
      </c>
      <c r="H113" s="192">
        <f t="shared" si="98"/>
        <v>4318055.1724137934</v>
      </c>
      <c r="I113" s="256">
        <f t="shared" si="99"/>
        <v>8661238.742841294</v>
      </c>
      <c r="K113" s="242">
        <f t="shared" si="100"/>
        <v>0</v>
      </c>
      <c r="L113" s="242">
        <f t="shared" si="101"/>
        <v>9.2445028715168309</v>
      </c>
      <c r="M113" s="241">
        <f t="shared" si="102"/>
        <v>9.1610838122556579</v>
      </c>
      <c r="N113" s="240"/>
      <c r="O113" s="240"/>
    </row>
    <row r="114" spans="1:15">
      <c r="A114" s="1119">
        <v>26</v>
      </c>
      <c r="B114" s="2">
        <v>21577.988698161356</v>
      </c>
      <c r="C114" s="2">
        <v>4135227.5862068967</v>
      </c>
      <c r="D114" s="2"/>
      <c r="F114" s="13">
        <f t="shared" si="97"/>
        <v>4156805.5749050579</v>
      </c>
      <c r="G114" s="2">
        <v>21577.988698161356</v>
      </c>
      <c r="H114" s="192">
        <f t="shared" si="98"/>
        <v>4135227.5862068967</v>
      </c>
      <c r="I114" s="256">
        <f t="shared" si="99"/>
        <v>8313611.1498101158</v>
      </c>
      <c r="K114" s="242">
        <f t="shared" si="100"/>
        <v>8.2369824766406303</v>
      </c>
      <c r="L114" s="242">
        <f t="shared" si="101"/>
        <v>8.7682451338857899</v>
      </c>
      <c r="M114" s="241">
        <f t="shared" si="102"/>
        <v>8.7634512113023977</v>
      </c>
      <c r="N114" s="240"/>
      <c r="O114" s="240"/>
    </row>
    <row r="115" spans="1:15">
      <c r="A115" s="1119">
        <v>27</v>
      </c>
      <c r="B115" s="2">
        <v>65526.312162864968</v>
      </c>
      <c r="C115" s="2">
        <v>2905296.5517241377</v>
      </c>
      <c r="D115" s="2">
        <v>14.01854853616249</v>
      </c>
      <c r="F115" s="13">
        <f t="shared" si="97"/>
        <v>2970836.8824355388</v>
      </c>
      <c r="G115" s="2">
        <v>65526.312162864968</v>
      </c>
      <c r="H115" s="192">
        <f t="shared" si="98"/>
        <v>2905310.5702726739</v>
      </c>
      <c r="I115" s="256">
        <f t="shared" si="99"/>
        <v>5941673.7648710776</v>
      </c>
      <c r="K115" s="242">
        <f t="shared" si="100"/>
        <v>3.5301353471316985</v>
      </c>
      <c r="L115" s="242">
        <f t="shared" si="101"/>
        <v>11.047478592548634</v>
      </c>
      <c r="M115" s="241">
        <f t="shared" si="102"/>
        <v>10.979644798737162</v>
      </c>
      <c r="N115" s="240"/>
      <c r="O115" s="240"/>
    </row>
    <row r="116" spans="1:15">
      <c r="A116" s="1119">
        <v>28</v>
      </c>
      <c r="B116" s="2">
        <v>26060.925606353725</v>
      </c>
      <c r="C116" s="2">
        <v>2004455.1724137932</v>
      </c>
      <c r="D116" s="2">
        <v>28.037097072324979</v>
      </c>
      <c r="F116" s="13">
        <f t="shared" si="97"/>
        <v>2030544.1351172191</v>
      </c>
      <c r="G116" s="2">
        <v>26060.925606353725</v>
      </c>
      <c r="H116" s="192">
        <f t="shared" si="98"/>
        <v>2004483.2095108654</v>
      </c>
      <c r="I116" s="256">
        <f t="shared" si="99"/>
        <v>4061088.2702344381</v>
      </c>
      <c r="K116" s="242">
        <f t="shared" si="100"/>
        <v>6.0627200016360172</v>
      </c>
      <c r="L116" s="242">
        <f t="shared" si="101"/>
        <v>10.579725457375288</v>
      </c>
      <c r="M116" s="241">
        <f t="shared" si="102"/>
        <v>10.538965629504355</v>
      </c>
      <c r="N116" s="240"/>
      <c r="O116" s="240"/>
    </row>
    <row r="117" spans="1:15">
      <c r="A117" s="1119">
        <v>29</v>
      </c>
      <c r="B117" s="2">
        <v>47666.307265228235</v>
      </c>
      <c r="C117" s="2">
        <v>2370110.3448275863</v>
      </c>
      <c r="D117" s="2">
        <v>242.28672811040477</v>
      </c>
      <c r="F117" s="13">
        <f t="shared" si="97"/>
        <v>2418018.9388209251</v>
      </c>
      <c r="G117" s="2">
        <v>47666.307265228235</v>
      </c>
      <c r="H117" s="192">
        <f t="shared" si="98"/>
        <v>2370352.6315556969</v>
      </c>
      <c r="I117" s="256">
        <f t="shared" si="99"/>
        <v>4836037.8776418502</v>
      </c>
      <c r="K117" s="242">
        <f t="shared" si="100"/>
        <v>18.410783736164333</v>
      </c>
      <c r="L117" s="242">
        <f t="shared" si="101"/>
        <v>7.4330584136216018</v>
      </c>
      <c r="M117" s="241">
        <f t="shared" si="102"/>
        <v>7.5321174470776464</v>
      </c>
      <c r="N117" s="240"/>
      <c r="O117" s="240"/>
    </row>
    <row r="118" spans="1:15">
      <c r="A118" s="1119">
        <v>30</v>
      </c>
      <c r="B118" s="2">
        <v>49815.446980087574</v>
      </c>
      <c r="C118" s="2">
        <v>1555696.551724138</v>
      </c>
      <c r="D118" s="2">
        <v>839.00857262051431</v>
      </c>
      <c r="F118" s="13">
        <f t="shared" si="97"/>
        <v>1606351.0072768461</v>
      </c>
      <c r="G118" s="2">
        <v>49815.446980087574</v>
      </c>
      <c r="H118" s="192">
        <f t="shared" si="98"/>
        <v>1556535.5602967585</v>
      </c>
      <c r="I118" s="256">
        <f t="shared" si="99"/>
        <v>3212702.0145536922</v>
      </c>
      <c r="K118" s="242">
        <f t="shared" si="100"/>
        <v>7.3222809199196606</v>
      </c>
      <c r="L118" s="242">
        <f t="shared" si="101"/>
        <v>5.1283470131799378</v>
      </c>
      <c r="M118" s="241">
        <f t="shared" si="102"/>
        <v>5.1481442813646137</v>
      </c>
      <c r="N118" s="240"/>
      <c r="O118" s="240"/>
    </row>
    <row r="119" spans="1:15">
      <c r="A119" s="1119">
        <v>31</v>
      </c>
      <c r="B119" s="2">
        <v>28759.080111763738</v>
      </c>
      <c r="C119" s="2">
        <v>1918027.5862068965</v>
      </c>
      <c r="D119" s="2">
        <v>824.56537897882833</v>
      </c>
      <c r="F119" s="13">
        <f t="shared" si="97"/>
        <v>1947611.231697639</v>
      </c>
      <c r="G119" s="2">
        <v>28759.080111763738</v>
      </c>
      <c r="H119" s="192">
        <f t="shared" si="98"/>
        <v>1918852.1515858753</v>
      </c>
      <c r="I119" s="256">
        <f t="shared" si="99"/>
        <v>3895222.463395278</v>
      </c>
      <c r="K119" s="242">
        <f t="shared" si="100"/>
        <v>13.39269746144838</v>
      </c>
      <c r="L119" s="242">
        <f t="shared" si="101"/>
        <v>6.0644014280310055</v>
      </c>
      <c r="M119" s="241">
        <f t="shared" si="102"/>
        <v>6.1305293279939779</v>
      </c>
      <c r="N119" s="240"/>
      <c r="O119" s="240"/>
    </row>
    <row r="120" spans="1:15">
      <c r="A120" s="1119">
        <v>32</v>
      </c>
      <c r="B120" s="2">
        <v>32900.327505922163</v>
      </c>
      <c r="C120" s="2">
        <v>1053751.7241379311</v>
      </c>
      <c r="D120" s="2">
        <v>1086.7686221119766</v>
      </c>
      <c r="F120" s="13">
        <f t="shared" si="97"/>
        <v>1087738.8202659653</v>
      </c>
      <c r="G120" s="2">
        <v>32900.327505922163</v>
      </c>
      <c r="H120" s="192">
        <f t="shared" si="98"/>
        <v>1054838.4927600431</v>
      </c>
      <c r="I120" s="256">
        <f t="shared" si="99"/>
        <v>2175477.6405319306</v>
      </c>
      <c r="K120" s="242">
        <f t="shared" si="100"/>
        <v>13.99653651789845</v>
      </c>
      <c r="L120" s="242">
        <f t="shared" si="101"/>
        <v>3.9823005020351978</v>
      </c>
      <c r="M120" s="241">
        <f t="shared" si="102"/>
        <v>4.0726653555349532</v>
      </c>
      <c r="N120" s="240"/>
      <c r="O120" s="240"/>
    </row>
    <row r="121" spans="1:15">
      <c r="A121" s="1119">
        <v>33</v>
      </c>
      <c r="B121" s="2">
        <v>21018.451077138438</v>
      </c>
      <c r="C121" s="2">
        <v>1000565.5172413794</v>
      </c>
      <c r="D121" s="2">
        <v>946.99737416207961</v>
      </c>
      <c r="F121" s="13">
        <f t="shared" si="97"/>
        <v>1022530.9656926799</v>
      </c>
      <c r="G121" s="2">
        <v>21018.451077138438</v>
      </c>
      <c r="H121" s="192">
        <f t="shared" si="98"/>
        <v>1001512.5146155414</v>
      </c>
      <c r="I121" s="256">
        <f t="shared" si="99"/>
        <v>2045061.9313853597</v>
      </c>
      <c r="K121" s="242">
        <f t="shared" si="100"/>
        <v>8.0803754539504205</v>
      </c>
      <c r="L121" s="242">
        <f t="shared" si="101"/>
        <v>4.9092652179015328</v>
      </c>
      <c r="M121" s="241">
        <f t="shared" si="102"/>
        <v>4.9378801727975628</v>
      </c>
      <c r="N121" s="240"/>
      <c r="O121" s="240"/>
    </row>
    <row r="122" spans="1:15">
      <c r="A122" s="1119">
        <v>34</v>
      </c>
      <c r="B122" s="2">
        <v>19436.223565304481</v>
      </c>
      <c r="C122" s="2">
        <v>688096.55172413797</v>
      </c>
      <c r="D122" s="2">
        <v>1049.4832123295944</v>
      </c>
      <c r="F122" s="13">
        <f t="shared" si="97"/>
        <v>708582.25850177207</v>
      </c>
      <c r="G122" s="2">
        <v>19436.223565304481</v>
      </c>
      <c r="H122" s="192">
        <f t="shared" si="98"/>
        <v>689146.03493646753</v>
      </c>
      <c r="I122" s="256">
        <f t="shared" si="99"/>
        <v>1417164.5170035441</v>
      </c>
      <c r="K122" s="242">
        <f t="shared" si="100"/>
        <v>9.2439326213719912</v>
      </c>
      <c r="L122" s="242">
        <f t="shared" si="101"/>
        <v>2.6987394097719792</v>
      </c>
      <c r="M122" s="241">
        <f t="shared" si="102"/>
        <v>2.757800872349546</v>
      </c>
      <c r="N122" s="240"/>
      <c r="O122" s="240"/>
    </row>
    <row r="123" spans="1:15">
      <c r="A123" s="1119">
        <v>35</v>
      </c>
      <c r="B123" s="2">
        <v>644.81782953221273</v>
      </c>
      <c r="C123" s="2">
        <v>521889.6551724138</v>
      </c>
      <c r="D123" s="2">
        <v>1108.9855748135046</v>
      </c>
      <c r="F123" s="13">
        <f t="shared" si="97"/>
        <v>523643.4585767595</v>
      </c>
      <c r="G123" s="2">
        <v>644.81782953221273</v>
      </c>
      <c r="H123" s="192">
        <f t="shared" si="98"/>
        <v>522998.6407472273</v>
      </c>
      <c r="I123" s="256">
        <f t="shared" si="99"/>
        <v>1047286.9171535191</v>
      </c>
      <c r="K123" s="242">
        <f t="shared" si="100"/>
        <v>5.9055079475332848</v>
      </c>
      <c r="L123" s="242">
        <f t="shared" si="101"/>
        <v>2.5623081743070601</v>
      </c>
      <c r="M123" s="241">
        <f t="shared" si="102"/>
        <v>2.5924760031109191</v>
      </c>
      <c r="N123" s="240"/>
      <c r="O123" s="240"/>
    </row>
    <row r="124" spans="1:15">
      <c r="A124" s="1119">
        <v>36</v>
      </c>
      <c r="B124" s="2">
        <v>429.87855302147523</v>
      </c>
      <c r="C124" s="2">
        <v>312468.96551724139</v>
      </c>
      <c r="D124" s="2">
        <v>856.87155341011112</v>
      </c>
      <c r="F124" s="13">
        <f t="shared" si="97"/>
        <v>313755.71562367299</v>
      </c>
      <c r="G124" s="2">
        <v>429.87855302147523</v>
      </c>
      <c r="H124" s="192">
        <f t="shared" si="98"/>
        <v>313325.83707065153</v>
      </c>
      <c r="I124" s="256">
        <f t="shared" si="99"/>
        <v>627511.43124734599</v>
      </c>
      <c r="K124" s="242">
        <f t="shared" si="100"/>
        <v>5.4609529652632318</v>
      </c>
      <c r="L124" s="242">
        <f t="shared" si="101"/>
        <v>1.763137746997463</v>
      </c>
      <c r="M124" s="241">
        <f t="shared" si="102"/>
        <v>1.7965054976614609</v>
      </c>
      <c r="N124" s="240"/>
      <c r="O124" s="240"/>
    </row>
    <row r="125" spans="1:15">
      <c r="A125" s="1119">
        <v>37</v>
      </c>
      <c r="B125" s="2">
        <v>0</v>
      </c>
      <c r="C125" s="2">
        <v>242662.06896551725</v>
      </c>
      <c r="D125" s="2">
        <v>464.16455739009382</v>
      </c>
      <c r="F125" s="13">
        <f t="shared" si="97"/>
        <v>243126.23352290734</v>
      </c>
      <c r="G125" s="2">
        <v>0</v>
      </c>
      <c r="H125" s="192">
        <f t="shared" si="98"/>
        <v>243126.23352290734</v>
      </c>
      <c r="I125" s="256">
        <f t="shared" si="99"/>
        <v>486252.46704581467</v>
      </c>
      <c r="K125" s="242">
        <f t="shared" si="100"/>
        <v>0.1811730466264255</v>
      </c>
      <c r="L125" s="242">
        <f t="shared" si="101"/>
        <v>1.3380598572475457</v>
      </c>
      <c r="M125" s="241">
        <f t="shared" si="102"/>
        <v>1.3276205279774971</v>
      </c>
      <c r="N125" s="240"/>
      <c r="O125" s="240"/>
    </row>
    <row r="126" spans="1:15">
      <c r="A126" s="1119">
        <v>38</v>
      </c>
      <c r="B126" s="2">
        <v>196.24837235465367</v>
      </c>
      <c r="C126" s="2">
        <v>149586.20689655174</v>
      </c>
      <c r="D126" s="2">
        <v>180.87005235521943</v>
      </c>
      <c r="F126" s="13">
        <f t="shared" si="97"/>
        <v>149963.32532126163</v>
      </c>
      <c r="G126" s="2">
        <v>196.24837235465367</v>
      </c>
      <c r="H126" s="192">
        <f t="shared" si="98"/>
        <v>149767.07694890696</v>
      </c>
      <c r="I126" s="256">
        <f t="shared" si="99"/>
        <v>299926.65064252325</v>
      </c>
      <c r="K126" s="242">
        <f t="shared" si="100"/>
        <v>0.12078203108428368</v>
      </c>
      <c r="L126" s="242">
        <f t="shared" si="101"/>
        <v>0.80162488419420697</v>
      </c>
      <c r="M126" s="241">
        <f t="shared" si="102"/>
        <v>0.79548120387948551</v>
      </c>
      <c r="N126" s="240"/>
      <c r="O126" s="240"/>
    </row>
    <row r="127" spans="1:15">
      <c r="A127" s="1119">
        <v>39</v>
      </c>
      <c r="B127" s="2">
        <v>0</v>
      </c>
      <c r="C127" s="2">
        <v>136289.6551724138</v>
      </c>
      <c r="D127" s="2">
        <v>97.576920310472985</v>
      </c>
      <c r="F127" s="13">
        <f t="shared" si="97"/>
        <v>136387.23209272427</v>
      </c>
      <c r="G127" s="2">
        <v>0</v>
      </c>
      <c r="H127" s="192">
        <f t="shared" si="98"/>
        <v>136387.23209272427</v>
      </c>
      <c r="I127" s="256">
        <f t="shared" si="99"/>
        <v>272774.46418544854</v>
      </c>
      <c r="K127" s="242">
        <f t="shared" si="100"/>
        <v>0</v>
      </c>
      <c r="L127" s="242">
        <f t="shared" si="101"/>
        <v>0.62202351588524574</v>
      </c>
      <c r="M127" s="241">
        <f t="shared" si="102"/>
        <v>0.61641060005249182</v>
      </c>
      <c r="N127" s="240"/>
      <c r="O127" s="240"/>
    </row>
    <row r="128" spans="1:15">
      <c r="A128" s="1119">
        <v>40</v>
      </c>
      <c r="B128" s="2">
        <v>0</v>
      </c>
      <c r="C128" s="2">
        <v>96400</v>
      </c>
      <c r="D128" s="2">
        <v>25.156108201387362</v>
      </c>
      <c r="F128" s="13">
        <f t="shared" si="97"/>
        <v>96425.156108201394</v>
      </c>
      <c r="G128" s="2">
        <v>0</v>
      </c>
      <c r="H128" s="192">
        <f t="shared" si="98"/>
        <v>96425.156108201394</v>
      </c>
      <c r="I128" s="256">
        <f t="shared" si="99"/>
        <v>192850.31221640279</v>
      </c>
      <c r="K128" s="242">
        <f t="shared" si="100"/>
        <v>5.51394733311939E-2</v>
      </c>
      <c r="L128" s="242">
        <f t="shared" si="101"/>
        <v>0.38316985550157773</v>
      </c>
      <c r="M128" s="241">
        <f t="shared" si="102"/>
        <v>0.38020982765908035</v>
      </c>
      <c r="N128" s="240"/>
      <c r="O128" s="240"/>
    </row>
    <row r="129" spans="1:15">
      <c r="A129" s="1119">
        <v>41</v>
      </c>
      <c r="B129" s="2">
        <v>0</v>
      </c>
      <c r="C129" s="2">
        <v>59834.482758620688</v>
      </c>
      <c r="D129" s="2">
        <v>9.5315434387301643</v>
      </c>
      <c r="F129" s="13">
        <f t="shared" si="97"/>
        <v>59844.014302059419</v>
      </c>
      <c r="G129" s="2">
        <v>0</v>
      </c>
      <c r="H129" s="192">
        <f t="shared" si="98"/>
        <v>59844.014302059419</v>
      </c>
      <c r="I129" s="256">
        <f t="shared" si="99"/>
        <v>119688.02860411884</v>
      </c>
      <c r="K129" s="242">
        <f t="shared" si="100"/>
        <v>0</v>
      </c>
      <c r="L129" s="242">
        <f t="shared" si="101"/>
        <v>0.34893834531508966</v>
      </c>
      <c r="M129" s="241">
        <f t="shared" si="102"/>
        <v>0.34578965155503683</v>
      </c>
      <c r="N129" s="240"/>
      <c r="O129" s="240"/>
    </row>
    <row r="130" spans="1:15">
      <c r="A130" s="1119">
        <v>42</v>
      </c>
      <c r="B130" s="2">
        <v>0</v>
      </c>
      <c r="C130" s="2">
        <v>23268.96551724138</v>
      </c>
      <c r="D130" s="2">
        <v>1.3222930853002608</v>
      </c>
      <c r="F130" s="13">
        <f t="shared" si="97"/>
        <v>23270.287810326681</v>
      </c>
      <c r="G130" s="2">
        <v>0</v>
      </c>
      <c r="H130" s="192">
        <f t="shared" si="98"/>
        <v>23270.287810326681</v>
      </c>
      <c r="I130" s="256">
        <f t="shared" si="99"/>
        <v>46540.575620653362</v>
      </c>
      <c r="K130" s="242">
        <f t="shared" si="100"/>
        <v>0</v>
      </c>
      <c r="L130" s="242">
        <f t="shared" si="101"/>
        <v>0.24669783162891765</v>
      </c>
      <c r="M130" s="241">
        <f t="shared" si="102"/>
        <v>0.24447171938445475</v>
      </c>
      <c r="N130" s="240"/>
      <c r="O130" s="240"/>
    </row>
    <row r="131" spans="1:15">
      <c r="A131" s="1119">
        <v>43</v>
      </c>
      <c r="B131" s="2">
        <v>0</v>
      </c>
      <c r="C131" s="2">
        <v>16620.689655172413</v>
      </c>
      <c r="D131" s="2">
        <v>0</v>
      </c>
      <c r="F131" s="13">
        <f t="shared" si="97"/>
        <v>16620.689655172413</v>
      </c>
      <c r="G131" s="2">
        <v>0</v>
      </c>
      <c r="H131" s="192">
        <f t="shared" si="98"/>
        <v>16620.689655172413</v>
      </c>
      <c r="I131" s="256">
        <f t="shared" si="99"/>
        <v>33241.379310344826</v>
      </c>
      <c r="K131" s="242">
        <f t="shared" si="100"/>
        <v>0</v>
      </c>
      <c r="L131" s="242">
        <f t="shared" si="101"/>
        <v>0.1531072301062347</v>
      </c>
      <c r="M131" s="241">
        <f t="shared" si="102"/>
        <v>0.15172564569017075</v>
      </c>
      <c r="N131" s="240"/>
      <c r="O131" s="240"/>
    </row>
    <row r="132" spans="1:15">
      <c r="A132" s="1119">
        <v>44</v>
      </c>
      <c r="B132" s="2">
        <v>0</v>
      </c>
      <c r="C132" s="2">
        <v>6648.2758620689656</v>
      </c>
      <c r="D132" s="2">
        <v>0</v>
      </c>
      <c r="F132" s="13">
        <f t="shared" si="97"/>
        <v>6648.2758620689656</v>
      </c>
      <c r="G132" s="2">
        <v>0</v>
      </c>
      <c r="H132" s="192">
        <f t="shared" si="98"/>
        <v>6648.2758620689656</v>
      </c>
      <c r="I132" s="256">
        <f t="shared" si="99"/>
        <v>13296.551724137931</v>
      </c>
      <c r="K132" s="242">
        <f t="shared" si="100"/>
        <v>0</v>
      </c>
      <c r="L132" s="242">
        <f t="shared" si="101"/>
        <v>5.9535600209416221E-2</v>
      </c>
      <c r="M132" s="241">
        <f t="shared" si="102"/>
        <v>5.899837242864276E-2</v>
      </c>
      <c r="N132" s="240"/>
      <c r="O132" s="240"/>
    </row>
    <row r="133" spans="1:15">
      <c r="A133" s="1119">
        <v>45</v>
      </c>
      <c r="B133" s="2">
        <v>0</v>
      </c>
      <c r="C133" s="2">
        <v>0</v>
      </c>
      <c r="D133" s="2">
        <v>0</v>
      </c>
      <c r="F133" s="13">
        <f t="shared" si="97"/>
        <v>0</v>
      </c>
      <c r="G133" s="2">
        <v>0</v>
      </c>
      <c r="H133" s="192">
        <f t="shared" si="98"/>
        <v>0</v>
      </c>
      <c r="I133" s="256">
        <f t="shared" si="99"/>
        <v>0</v>
      </c>
      <c r="K133" s="242">
        <f t="shared" si="100"/>
        <v>0</v>
      </c>
      <c r="L133" s="242">
        <f t="shared" si="101"/>
        <v>4.252301228848588E-2</v>
      </c>
      <c r="M133" s="241">
        <f t="shared" si="102"/>
        <v>4.2139299964377444E-2</v>
      </c>
      <c r="N133" s="240"/>
      <c r="O133" s="240"/>
    </row>
    <row r="134" spans="1:15">
      <c r="A134" s="1119">
        <v>46</v>
      </c>
      <c r="B134" s="2">
        <v>0</v>
      </c>
      <c r="C134" s="2">
        <v>0</v>
      </c>
      <c r="D134" s="2">
        <v>0</v>
      </c>
      <c r="F134" s="13">
        <f t="shared" si="97"/>
        <v>0</v>
      </c>
      <c r="G134" s="2">
        <v>0</v>
      </c>
      <c r="H134" s="192">
        <f t="shared" si="98"/>
        <v>0</v>
      </c>
      <c r="I134" s="256">
        <f t="shared" si="99"/>
        <v>0</v>
      </c>
      <c r="K134" s="242">
        <f t="shared" si="100"/>
        <v>0</v>
      </c>
      <c r="L134" s="242">
        <f t="shared" si="101"/>
        <v>1.7009204915394354E-2</v>
      </c>
      <c r="M134" s="241">
        <f t="shared" si="102"/>
        <v>1.6855719985750979E-2</v>
      </c>
      <c r="N134" s="240"/>
      <c r="O134" s="240"/>
    </row>
    <row r="135" spans="1:15">
      <c r="A135" s="1119">
        <v>47</v>
      </c>
      <c r="B135" s="2">
        <v>0</v>
      </c>
      <c r="C135" s="2">
        <v>0</v>
      </c>
      <c r="D135" s="2">
        <v>0</v>
      </c>
      <c r="F135" s="13">
        <f t="shared" si="97"/>
        <v>0</v>
      </c>
      <c r="G135" s="2">
        <v>0</v>
      </c>
      <c r="H135" s="192">
        <f t="shared" si="98"/>
        <v>0</v>
      </c>
      <c r="I135" s="256">
        <f t="shared" si="99"/>
        <v>0</v>
      </c>
      <c r="K135" s="242">
        <f t="shared" si="100"/>
        <v>0</v>
      </c>
      <c r="L135" s="242">
        <f t="shared" si="101"/>
        <v>0</v>
      </c>
      <c r="M135" s="241">
        <f t="shared" si="102"/>
        <v>0</v>
      </c>
      <c r="N135" s="240"/>
      <c r="O135" s="240"/>
    </row>
    <row r="136" spans="1:15">
      <c r="A136" s="1818" t="s">
        <v>372</v>
      </c>
      <c r="B136" s="2">
        <v>355912.67108391225</v>
      </c>
      <c r="C136" s="2">
        <v>39078565.517241381</v>
      </c>
      <c r="D136" s="2">
        <v>7775.644136926705</v>
      </c>
      <c r="F136" s="13">
        <f t="shared" si="97"/>
        <v>39442253.832462221</v>
      </c>
      <c r="G136" s="2">
        <f>SUM(A136:B136)</f>
        <v>355912.67108391225</v>
      </c>
      <c r="H136" s="192">
        <f t="shared" si="98"/>
        <v>39086341.161378309</v>
      </c>
      <c r="I136" s="256">
        <f t="shared" si="99"/>
        <v>78884507.664924443</v>
      </c>
      <c r="K136" s="242">
        <f t="shared" si="100"/>
        <v>0</v>
      </c>
      <c r="L136" s="242">
        <f t="shared" si="101"/>
        <v>0</v>
      </c>
      <c r="M136" s="241">
        <f t="shared" si="102"/>
        <v>0</v>
      </c>
      <c r="N136" s="240"/>
      <c r="O136" s="240"/>
    </row>
    <row r="137" spans="1:15">
      <c r="A137" s="1818" t="s">
        <v>375</v>
      </c>
      <c r="B137" s="2">
        <v>94</v>
      </c>
      <c r="C137" s="2"/>
      <c r="D137" s="2">
        <v>3</v>
      </c>
      <c r="F137" s="13">
        <f t="shared" si="97"/>
        <v>97</v>
      </c>
      <c r="I137" s="257"/>
      <c r="K137" s="242">
        <f t="shared" si="100"/>
        <v>0</v>
      </c>
      <c r="L137" s="242">
        <f t="shared" si="101"/>
        <v>0</v>
      </c>
      <c r="M137" s="241">
        <f t="shared" si="102"/>
        <v>0</v>
      </c>
      <c r="N137" s="240"/>
      <c r="O137" s="240"/>
    </row>
    <row r="138" spans="1:15" ht="13.8" thickBot="1">
      <c r="A138" s="1669" t="s">
        <v>400</v>
      </c>
      <c r="B138" s="6">
        <v>107</v>
      </c>
      <c r="C138" s="6">
        <v>13551</v>
      </c>
      <c r="D138" s="6">
        <v>110</v>
      </c>
      <c r="F138" s="6">
        <f t="shared" si="97"/>
        <v>13768</v>
      </c>
      <c r="I138" s="257"/>
      <c r="K138" s="248">
        <f t="shared" si="100"/>
        <v>100</v>
      </c>
      <c r="L138" s="248">
        <f t="shared" si="101"/>
        <v>100</v>
      </c>
      <c r="M138" s="247">
        <f t="shared" si="102"/>
        <v>100</v>
      </c>
      <c r="N138" s="240"/>
      <c r="O138" s="240"/>
    </row>
  </sheetData>
  <mergeCells count="1">
    <mergeCell ref="K53:M5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N113"/>
  <sheetViews>
    <sheetView topLeftCell="GU1" zoomScale="75" zoomScaleNormal="75" workbookViewId="0">
      <selection activeCell="HF19" sqref="HF19"/>
    </sheetView>
  </sheetViews>
  <sheetFormatPr defaultColWidth="9.109375" defaultRowHeight="13.2"/>
  <cols>
    <col min="1" max="1" width="9.88671875" style="1" customWidth="1"/>
    <col min="2" max="2" width="9.109375" style="1"/>
    <col min="3" max="3" width="11.44140625" style="1" customWidth="1"/>
    <col min="4" max="5" width="10.44140625" style="1" customWidth="1"/>
    <col min="6" max="6" width="10.88671875" style="1" customWidth="1"/>
    <col min="7" max="7" width="11.44140625" style="1" customWidth="1"/>
    <col min="8" max="8" width="11.109375" style="1" customWidth="1"/>
    <col min="9" max="9" width="11" style="1" customWidth="1"/>
    <col min="10" max="10" width="18.88671875" style="1" customWidth="1"/>
    <col min="11" max="11" width="19.6640625" style="1" customWidth="1"/>
    <col min="12" max="12" width="15.33203125" style="1" customWidth="1"/>
    <col min="13" max="22" width="9.109375" style="1"/>
    <col min="23" max="23" width="11.88671875" style="1" customWidth="1"/>
    <col min="24" max="25" width="20" style="1" customWidth="1"/>
    <col min="26" max="26" width="22.109375" style="1" customWidth="1"/>
    <col min="27" max="27" width="18.33203125" style="2" customWidth="1"/>
    <col min="28" max="28" width="21.33203125" style="2" customWidth="1"/>
    <col min="29" max="29" width="11" style="30" bestFit="1" customWidth="1"/>
    <col min="30" max="30" width="10.44140625" style="30" customWidth="1"/>
    <col min="31" max="41" width="9.109375" style="1"/>
    <col min="42" max="42" width="15.109375" style="1" bestFit="1" customWidth="1"/>
    <col min="43" max="43" width="15.109375" style="1" customWidth="1"/>
    <col min="44" max="44" width="14" style="1" bestFit="1" customWidth="1"/>
    <col min="45" max="45" width="16.33203125" style="1" bestFit="1" customWidth="1"/>
    <col min="46" max="46" width="9.109375" style="1"/>
    <col min="47" max="47" width="12.44140625" style="1" bestFit="1" customWidth="1"/>
    <col min="48" max="57" width="9.109375" style="1"/>
    <col min="58" max="58" width="14.6640625" style="1" bestFit="1" customWidth="1"/>
    <col min="59" max="59" width="18.44140625" style="1" bestFit="1" customWidth="1"/>
    <col min="60" max="60" width="13.44140625" style="1" bestFit="1" customWidth="1"/>
    <col min="61" max="61" width="15.6640625" style="1" bestFit="1" customWidth="1"/>
    <col min="62" max="62" width="12.44140625" style="1" bestFit="1" customWidth="1"/>
    <col min="63" max="63" width="12.33203125" style="1" bestFit="1" customWidth="1"/>
    <col min="64" max="73" width="9.109375" style="1"/>
    <col min="74" max="74" width="13.44140625" style="1" customWidth="1"/>
    <col min="75" max="75" width="15.109375" style="1" bestFit="1" customWidth="1"/>
    <col min="76" max="76" width="13.44140625" style="1" customWidth="1"/>
    <col min="77" max="77" width="20.88671875" style="1" customWidth="1"/>
    <col min="78" max="78" width="14" style="1" bestFit="1" customWidth="1"/>
    <col min="79" max="79" width="11.109375" style="1" bestFit="1" customWidth="1"/>
    <col min="80" max="93" width="9.109375" style="1"/>
    <col min="94" max="94" width="11.109375" style="1" customWidth="1"/>
    <col min="95" max="95" width="17" style="1" customWidth="1"/>
    <col min="96" max="96" width="11.5546875" style="1" bestFit="1" customWidth="1"/>
    <col min="97" max="99" width="9.109375" style="1"/>
    <col min="100" max="100" width="13.109375" style="1" bestFit="1" customWidth="1"/>
    <col min="101" max="108" width="9.109375" style="1"/>
    <col min="109" max="109" width="10.33203125" style="1" customWidth="1"/>
    <col min="110" max="110" width="12.5546875" style="1" customWidth="1"/>
    <col min="111" max="117" width="9.109375" style="1"/>
    <col min="118" max="118" width="9.109375" style="75"/>
    <col min="119" max="120" width="9.109375" style="1"/>
    <col min="121" max="123" width="11.33203125" style="1" customWidth="1"/>
    <col min="124" max="124" width="12" style="1" customWidth="1"/>
    <col min="125" max="125" width="12.109375" style="1" customWidth="1"/>
    <col min="126" max="126" width="12.88671875" style="1" customWidth="1"/>
    <col min="127" max="127" width="13.44140625" style="1" customWidth="1"/>
    <col min="128" max="128" width="9.109375" style="1"/>
    <col min="129" max="129" width="11.33203125" style="1" customWidth="1"/>
    <col min="130" max="137" width="9.109375" style="1"/>
    <col min="138" max="138" width="9.109375" style="75"/>
    <col min="139" max="139" width="10" style="1" customWidth="1"/>
    <col min="140" max="141" width="13.109375" style="1" customWidth="1"/>
    <col min="142" max="142" width="9.109375" style="1"/>
    <col min="143" max="143" width="10.6640625" style="1" customWidth="1"/>
    <col min="144" max="145" width="11.88671875" style="1" customWidth="1"/>
    <col min="146" max="146" width="13.5546875" style="1" customWidth="1"/>
    <col min="147" max="147" width="13.44140625" style="1" customWidth="1"/>
    <col min="148" max="148" width="14" style="1" customWidth="1"/>
    <col min="149" max="149" width="9.109375" style="1"/>
    <col min="150" max="150" width="21.44140625" style="1" customWidth="1"/>
    <col min="151" max="160" width="9.109375" style="1"/>
    <col min="161" max="161" width="9.109375" style="75"/>
    <col min="162" max="162" width="9.109375" style="1"/>
    <col min="163" max="163" width="13.33203125" style="1" customWidth="1"/>
    <col min="164" max="164" width="12.6640625" style="1" customWidth="1"/>
    <col min="165" max="166" width="9.109375" style="1"/>
    <col min="167" max="167" width="10.6640625" style="1" customWidth="1"/>
    <col min="168" max="168" width="13.88671875" style="1" customWidth="1"/>
    <col min="169" max="169" width="11" style="1" customWidth="1"/>
    <col min="170" max="172" width="9.109375" style="1"/>
    <col min="173" max="173" width="11.88671875" style="1" customWidth="1"/>
    <col min="174" max="182" width="9.109375" style="1"/>
    <col min="183" max="183" width="9.109375" style="75"/>
    <col min="184" max="184" width="9.109375" style="1"/>
    <col min="185" max="185" width="11.5546875" style="1" customWidth="1"/>
    <col min="186" max="186" width="10.5546875" style="1" customWidth="1"/>
    <col min="187" max="188" width="9.109375" style="1"/>
    <col min="189" max="189" width="11.33203125" style="1" customWidth="1"/>
    <col min="190" max="190" width="12" style="1" customWidth="1"/>
    <col min="191" max="191" width="12.44140625" style="1" customWidth="1"/>
    <col min="192" max="194" width="9.109375" style="1"/>
    <col min="195" max="195" width="12.109375" style="1" customWidth="1"/>
    <col min="196" max="207" width="9.109375" style="1"/>
    <col min="208" max="208" width="9.109375" style="75"/>
    <col min="209" max="211" width="9.109375" style="1"/>
    <col min="212" max="212" width="11.5546875" style="1" customWidth="1"/>
    <col min="213" max="213" width="10.5546875" style="1" customWidth="1"/>
    <col min="214" max="215" width="9.109375" style="1"/>
    <col min="216" max="216" width="11.33203125" style="1" customWidth="1"/>
    <col min="217" max="217" width="12" style="1" customWidth="1"/>
    <col min="218" max="218" width="12.44140625" style="1" customWidth="1"/>
    <col min="219" max="221" width="9.109375" style="1"/>
    <col min="222" max="222" width="12.109375" style="1" customWidth="1"/>
    <col min="223" max="16384" width="9.109375" style="1"/>
  </cols>
  <sheetData>
    <row r="1" spans="1:222" ht="22.8">
      <c r="A1" s="84" t="s">
        <v>404</v>
      </c>
      <c r="H1" s="82"/>
      <c r="Z1" s="316"/>
    </row>
    <row r="2" spans="1:222" ht="15.6">
      <c r="X2"/>
      <c r="Y2" s="22">
        <v>2015</v>
      </c>
      <c r="Z2" s="388" t="s">
        <v>148</v>
      </c>
      <c r="BV2" s="544" t="s">
        <v>405</v>
      </c>
      <c r="CL2" s="544" t="s">
        <v>406</v>
      </c>
      <c r="DB2" s="544" t="s">
        <v>407</v>
      </c>
      <c r="DP2" s="544" t="s">
        <v>408</v>
      </c>
      <c r="EI2" s="544" t="s">
        <v>409</v>
      </c>
      <c r="FF2" s="544" t="s">
        <v>410</v>
      </c>
      <c r="GB2" s="544" t="s">
        <v>411</v>
      </c>
      <c r="HC2" s="544" t="s">
        <v>412</v>
      </c>
    </row>
    <row r="3" spans="1:222" ht="14.4" thickBot="1">
      <c r="A3" s="110"/>
      <c r="B3" s="112" t="s">
        <v>413</v>
      </c>
      <c r="C3" s="1" t="s">
        <v>414</v>
      </c>
      <c r="D3" s="1" t="s">
        <v>415</v>
      </c>
      <c r="E3" s="1" t="s">
        <v>416</v>
      </c>
      <c r="F3" s="1" t="s">
        <v>417</v>
      </c>
      <c r="G3" s="1" t="s">
        <v>417</v>
      </c>
      <c r="H3" s="75" t="s">
        <v>418</v>
      </c>
      <c r="I3" s="1" t="s">
        <v>318</v>
      </c>
      <c r="J3" s="1" t="s">
        <v>419</v>
      </c>
      <c r="K3" s="1" t="s">
        <v>420</v>
      </c>
      <c r="L3" s="1" t="s">
        <v>421</v>
      </c>
      <c r="M3" s="1" t="s">
        <v>422</v>
      </c>
      <c r="W3" s="389"/>
      <c r="X3" s="390" t="s">
        <v>423</v>
      </c>
      <c r="Y3" s="390" t="s">
        <v>424</v>
      </c>
      <c r="Z3" s="390" t="s">
        <v>425</v>
      </c>
      <c r="AA3" s="123" t="s">
        <v>425</v>
      </c>
      <c r="AB3" s="123" t="s">
        <v>426</v>
      </c>
      <c r="AC3" s="30" t="s">
        <v>427</v>
      </c>
      <c r="AD3" s="30" t="s">
        <v>428</v>
      </c>
      <c r="AP3" s="22">
        <v>2016</v>
      </c>
      <c r="AQ3" s="388" t="s">
        <v>148</v>
      </c>
      <c r="BF3" s="22">
        <v>2017</v>
      </c>
      <c r="BG3" s="388" t="s">
        <v>148</v>
      </c>
    </row>
    <row r="4" spans="1:222" ht="16.8" thickTop="1" thickBot="1">
      <c r="A4" s="110">
        <v>5</v>
      </c>
      <c r="B4"/>
      <c r="D4" s="2">
        <v>0</v>
      </c>
      <c r="E4" s="2">
        <v>0</v>
      </c>
      <c r="G4" s="2">
        <v>0</v>
      </c>
      <c r="H4" s="74"/>
      <c r="I4" s="2">
        <v>0</v>
      </c>
      <c r="J4" s="2">
        <v>0</v>
      </c>
      <c r="K4" s="2">
        <v>0</v>
      </c>
      <c r="L4" s="1">
        <v>0</v>
      </c>
      <c r="M4" s="1">
        <v>0</v>
      </c>
      <c r="W4" s="1">
        <v>5</v>
      </c>
      <c r="Y4" s="57">
        <f>X4*$X$51</f>
        <v>0</v>
      </c>
      <c r="BE4" s="436" t="s">
        <v>429</v>
      </c>
    </row>
    <row r="5" spans="1:222" ht="16.8" thickTop="1" thickBot="1">
      <c r="A5" s="110">
        <v>6</v>
      </c>
      <c r="B5"/>
      <c r="D5" s="2">
        <v>0</v>
      </c>
      <c r="E5" s="2">
        <v>0</v>
      </c>
      <c r="G5" s="2">
        <v>0</v>
      </c>
      <c r="H5" s="74"/>
      <c r="I5" s="2">
        <v>0</v>
      </c>
      <c r="J5" s="2">
        <v>0</v>
      </c>
      <c r="K5" s="2">
        <v>0</v>
      </c>
      <c r="L5" s="1">
        <v>0</v>
      </c>
      <c r="M5" s="1">
        <v>0</v>
      </c>
      <c r="W5" s="1">
        <v>6</v>
      </c>
      <c r="Y5" s="57">
        <f t="shared" ref="Y5:Y48" si="0">X5*$X$51</f>
        <v>0</v>
      </c>
      <c r="AO5" s="436" t="s">
        <v>429</v>
      </c>
      <c r="AP5" s="1819" t="s">
        <v>334</v>
      </c>
      <c r="AQ5" s="1819" t="s">
        <v>334</v>
      </c>
      <c r="AR5" s="1119" t="s">
        <v>430</v>
      </c>
      <c r="AS5" s="1819" t="s">
        <v>430</v>
      </c>
      <c r="AT5" s="1" t="s">
        <v>337</v>
      </c>
      <c r="AU5" s="1" t="s">
        <v>338</v>
      </c>
      <c r="BF5" s="1819" t="s">
        <v>334</v>
      </c>
      <c r="BG5" s="1819" t="s">
        <v>334</v>
      </c>
      <c r="BH5" s="1819" t="s">
        <v>430</v>
      </c>
      <c r="BI5" s="1819" t="s">
        <v>430</v>
      </c>
      <c r="BJ5" s="1" t="s">
        <v>337</v>
      </c>
      <c r="BK5" s="1" t="s">
        <v>338</v>
      </c>
      <c r="BV5" s="1820" t="s">
        <v>429</v>
      </c>
      <c r="BW5" s="1819" t="s">
        <v>334</v>
      </c>
      <c r="BX5" s="1819" t="s">
        <v>334</v>
      </c>
      <c r="BY5" s="390" t="s">
        <v>431</v>
      </c>
      <c r="BZ5" s="1" t="s">
        <v>430</v>
      </c>
      <c r="CA5" s="1" t="s">
        <v>430</v>
      </c>
      <c r="CB5" s="1" t="s">
        <v>432</v>
      </c>
      <c r="CL5" s="1820" t="s">
        <v>429</v>
      </c>
      <c r="CM5" s="1819" t="s">
        <v>334</v>
      </c>
      <c r="CN5" s="1819" t="s">
        <v>334</v>
      </c>
      <c r="CO5" s="390" t="s">
        <v>431</v>
      </c>
      <c r="CP5" s="1" t="s">
        <v>430</v>
      </c>
      <c r="CQ5" s="1" t="s">
        <v>430</v>
      </c>
      <c r="CR5" s="1" t="s">
        <v>432</v>
      </c>
      <c r="DB5" s="1820" t="s">
        <v>429</v>
      </c>
      <c r="DC5" s="1819" t="s">
        <v>334</v>
      </c>
      <c r="DD5" s="390" t="s">
        <v>431</v>
      </c>
      <c r="DE5" s="1" t="s">
        <v>430</v>
      </c>
      <c r="DF5" s="1" t="s">
        <v>433</v>
      </c>
      <c r="DG5" s="1" t="s">
        <v>432</v>
      </c>
      <c r="DP5" s="1820" t="s">
        <v>429</v>
      </c>
      <c r="DQ5" s="1819" t="s">
        <v>334</v>
      </c>
      <c r="DR5" s="390" t="s">
        <v>434</v>
      </c>
      <c r="DS5" s="390" t="s">
        <v>435</v>
      </c>
      <c r="DT5" s="1" t="s">
        <v>436</v>
      </c>
      <c r="DU5" s="1" t="s">
        <v>433</v>
      </c>
      <c r="DV5" s="390" t="s">
        <v>431</v>
      </c>
      <c r="DW5" s="1" t="s">
        <v>432</v>
      </c>
      <c r="DY5" s="1" t="s">
        <v>437</v>
      </c>
      <c r="EI5" s="1820" t="s">
        <v>429</v>
      </c>
      <c r="EJ5" s="1819" t="s">
        <v>438</v>
      </c>
      <c r="EK5" s="390" t="s">
        <v>439</v>
      </c>
      <c r="EL5" s="390" t="s">
        <v>434</v>
      </c>
      <c r="EM5" s="390" t="s">
        <v>440</v>
      </c>
      <c r="EN5" s="1" t="s">
        <v>441</v>
      </c>
      <c r="EO5" s="1" t="s">
        <v>442</v>
      </c>
      <c r="EP5" s="1" t="s">
        <v>433</v>
      </c>
      <c r="EQ5" s="390" t="s">
        <v>431</v>
      </c>
      <c r="ER5" s="1" t="s">
        <v>432</v>
      </c>
      <c r="ET5" s="1" t="s">
        <v>437</v>
      </c>
      <c r="FF5" s="1820" t="s">
        <v>429</v>
      </c>
      <c r="FG5" s="1819" t="s">
        <v>438</v>
      </c>
      <c r="FH5" s="390" t="s">
        <v>439</v>
      </c>
      <c r="FI5" s="390" t="s">
        <v>434</v>
      </c>
      <c r="FJ5" s="390" t="s">
        <v>440</v>
      </c>
      <c r="FK5" s="1" t="s">
        <v>441</v>
      </c>
      <c r="FL5" s="1" t="s">
        <v>442</v>
      </c>
      <c r="FM5" s="1" t="s">
        <v>433</v>
      </c>
      <c r="FN5" s="390" t="s">
        <v>431</v>
      </c>
      <c r="FO5" s="1" t="s">
        <v>432</v>
      </c>
      <c r="FQ5" s="1" t="s">
        <v>437</v>
      </c>
      <c r="GB5" s="1820" t="s">
        <v>429</v>
      </c>
      <c r="GC5" s="1819" t="s">
        <v>438</v>
      </c>
      <c r="GD5" s="390" t="s">
        <v>439</v>
      </c>
      <c r="GE5" s="390" t="s">
        <v>434</v>
      </c>
      <c r="GF5" s="390" t="s">
        <v>440</v>
      </c>
      <c r="GG5" s="1" t="s">
        <v>441</v>
      </c>
      <c r="GH5" s="1" t="s">
        <v>442</v>
      </c>
      <c r="GI5" s="1" t="s">
        <v>433</v>
      </c>
      <c r="GJ5" s="390" t="s">
        <v>431</v>
      </c>
      <c r="GK5" s="1" t="s">
        <v>432</v>
      </c>
      <c r="GM5" s="1" t="s">
        <v>437</v>
      </c>
      <c r="HC5" s="1962" t="s">
        <v>443</v>
      </c>
      <c r="HD5" s="1253" t="s">
        <v>438</v>
      </c>
      <c r="HE5" s="1017" t="s">
        <v>439</v>
      </c>
      <c r="HF5" s="1017" t="s">
        <v>434</v>
      </c>
      <c r="HG5" s="1017" t="s">
        <v>440</v>
      </c>
      <c r="HH5" s="1" t="s">
        <v>441</v>
      </c>
      <c r="HI5" s="1" t="s">
        <v>442</v>
      </c>
      <c r="HJ5" s="1" t="s">
        <v>433</v>
      </c>
      <c r="HK5" s="1017" t="s">
        <v>431</v>
      </c>
      <c r="HL5" s="1" t="s">
        <v>432</v>
      </c>
      <c r="HN5" s="1" t="s">
        <v>437</v>
      </c>
    </row>
    <row r="6" spans="1:222" ht="13.8" thickTop="1">
      <c r="A6" s="110">
        <v>7</v>
      </c>
      <c r="B6"/>
      <c r="D6" s="2">
        <v>0</v>
      </c>
      <c r="E6" s="2">
        <v>0</v>
      </c>
      <c r="G6" s="2">
        <v>0</v>
      </c>
      <c r="H6" s="74"/>
      <c r="I6" s="2">
        <v>0</v>
      </c>
      <c r="J6" s="2">
        <v>0</v>
      </c>
      <c r="K6" s="2">
        <v>0</v>
      </c>
      <c r="L6" s="1">
        <v>0</v>
      </c>
      <c r="M6" s="1">
        <v>0</v>
      </c>
      <c r="W6" s="1">
        <v>7</v>
      </c>
      <c r="Y6" s="57">
        <f t="shared" si="0"/>
        <v>0</v>
      </c>
      <c r="AO6" s="437">
        <v>5</v>
      </c>
      <c r="AP6" s="1147"/>
      <c r="AQ6" s="1147"/>
      <c r="AR6" s="1147"/>
      <c r="AT6" s="1">
        <f>AR6/$AR$57</f>
        <v>0</v>
      </c>
      <c r="AU6" s="1">
        <f>AS6/$AS$57</f>
        <v>0</v>
      </c>
      <c r="BE6" s="437">
        <v>5</v>
      </c>
      <c r="BF6" s="1147"/>
      <c r="BG6" s="1147"/>
      <c r="BH6" s="1147"/>
      <c r="BV6" s="1820">
        <v>5</v>
      </c>
      <c r="BW6" s="1119"/>
      <c r="BY6" s="1">
        <f>BX6/$BX$52</f>
        <v>0</v>
      </c>
      <c r="CB6" s="1">
        <f>CA6/$CA$52</f>
        <v>0</v>
      </c>
      <c r="CL6" s="1820">
        <v>5</v>
      </c>
      <c r="CM6" s="1119"/>
      <c r="DB6" s="1820">
        <v>7</v>
      </c>
      <c r="DP6" s="1820">
        <v>7</v>
      </c>
      <c r="EI6" s="1820">
        <v>7</v>
      </c>
      <c r="FF6" s="1820">
        <v>7</v>
      </c>
      <c r="FI6" s="1">
        <v>0</v>
      </c>
      <c r="FJ6" s="2">
        <f>FI6*$FI$59</f>
        <v>0</v>
      </c>
      <c r="FK6" s="1">
        <v>0</v>
      </c>
      <c r="FL6" s="2">
        <f>FK6*$FK$59</f>
        <v>0</v>
      </c>
      <c r="FM6" s="2">
        <f>FJ6+FL6</f>
        <v>0</v>
      </c>
      <c r="GB6" s="1820">
        <v>7</v>
      </c>
      <c r="HC6" s="1962">
        <v>7</v>
      </c>
    </row>
    <row r="7" spans="1:222" ht="13.8" thickBot="1">
      <c r="A7" s="110">
        <v>8</v>
      </c>
      <c r="B7"/>
      <c r="D7" s="2">
        <v>0</v>
      </c>
      <c r="E7" s="2">
        <v>0</v>
      </c>
      <c r="G7" s="2">
        <v>0</v>
      </c>
      <c r="H7" s="74"/>
      <c r="I7" s="2">
        <v>0</v>
      </c>
      <c r="J7" s="2">
        <v>0</v>
      </c>
      <c r="K7" s="2">
        <v>0</v>
      </c>
      <c r="L7" s="1">
        <v>0</v>
      </c>
      <c r="M7" s="1">
        <v>0</v>
      </c>
      <c r="W7" s="1">
        <v>8</v>
      </c>
      <c r="Y7" s="57">
        <f t="shared" si="0"/>
        <v>0</v>
      </c>
      <c r="AO7" s="437">
        <v>6</v>
      </c>
      <c r="AP7" s="1147"/>
      <c r="AQ7" s="1147"/>
      <c r="AR7" s="1147"/>
      <c r="AT7" s="1">
        <f>AR7/$AR$57</f>
        <v>0</v>
      </c>
      <c r="AU7" s="1">
        <f t="shared" ref="AU7:AU57" si="1">AS7/$AS$57</f>
        <v>0</v>
      </c>
      <c r="BE7" s="437">
        <v>6</v>
      </c>
      <c r="BF7" s="1147"/>
      <c r="BG7" s="1147"/>
      <c r="BH7" s="1147"/>
      <c r="BV7" s="1820">
        <v>6</v>
      </c>
      <c r="BW7" s="1119"/>
      <c r="BY7" s="1">
        <f t="shared" ref="BY7:BY52" si="2">BX7/$BX$52</f>
        <v>0</v>
      </c>
      <c r="CB7" s="1">
        <f t="shared" ref="CB7:CB52" si="3">CA7/$CA$52</f>
        <v>0</v>
      </c>
      <c r="CL7" s="1820">
        <v>6</v>
      </c>
      <c r="CM7" s="1119"/>
      <c r="DB7" s="1820">
        <v>8</v>
      </c>
      <c r="DP7" s="1820">
        <v>8</v>
      </c>
      <c r="EI7" s="1820">
        <v>8</v>
      </c>
      <c r="EK7" s="1">
        <v>0</v>
      </c>
      <c r="EM7" s="1">
        <v>0</v>
      </c>
      <c r="EN7" s="2">
        <v>25030.946020283583</v>
      </c>
      <c r="EO7" s="2">
        <f>EN7*$EN$59</f>
        <v>176176.99763021819</v>
      </c>
      <c r="EP7" s="2">
        <f>EM7+EO7</f>
        <v>176176.99763021819</v>
      </c>
      <c r="EQ7" s="30">
        <f>EK7/$EK$56</f>
        <v>0</v>
      </c>
      <c r="ER7" s="30">
        <f>EP7/$EP$56</f>
        <v>2.4595927505133855E-4</v>
      </c>
      <c r="ET7" s="2">
        <f>EK7+EO7</f>
        <v>176176.99763021819</v>
      </c>
      <c r="FF7" s="1820">
        <v>8</v>
      </c>
      <c r="FI7" s="1">
        <v>3</v>
      </c>
      <c r="FJ7" s="2">
        <f t="shared" ref="FJ7:FJ47" si="4">FI7*$FI$59</f>
        <v>151.41791626095426</v>
      </c>
      <c r="FK7" s="1">
        <v>0</v>
      </c>
      <c r="FL7" s="2">
        <f t="shared" ref="FL7:FL49" si="5">FK7*$FK$59</f>
        <v>0</v>
      </c>
      <c r="FM7" s="2">
        <f>FJ7+FL7</f>
        <v>151.41791626095426</v>
      </c>
      <c r="FN7" s="30">
        <f>FH7/$FH$56</f>
        <v>0</v>
      </c>
      <c r="FO7" s="30">
        <f>FM7/$FM$56</f>
        <v>2.2340793317550282E-7</v>
      </c>
      <c r="FQ7" s="2">
        <f>FH7+FM7</f>
        <v>151.41791626095426</v>
      </c>
      <c r="GB7" s="1820">
        <v>8</v>
      </c>
      <c r="GG7" s="895">
        <v>0</v>
      </c>
      <c r="GH7" s="2">
        <f>GG7*$GG$59</f>
        <v>0</v>
      </c>
      <c r="GJ7" s="2">
        <f>GD7/$GD$56*100</f>
        <v>0</v>
      </c>
      <c r="GK7" s="2">
        <f>GF7/$GF$56*100</f>
        <v>0</v>
      </c>
      <c r="GL7" s="2"/>
      <c r="GM7" s="2">
        <f>GD7+GI7</f>
        <v>0</v>
      </c>
      <c r="HC7" s="1962">
        <v>8</v>
      </c>
      <c r="HH7" s="895"/>
      <c r="HI7" s="2">
        <f>HH7*$GG$59</f>
        <v>0</v>
      </c>
      <c r="HK7" s="2">
        <f>HE7/$GD$56*100</f>
        <v>0</v>
      </c>
      <c r="HL7" s="2">
        <f>HJ7/$HJ$56*100</f>
        <v>0</v>
      </c>
      <c r="HM7" s="2"/>
      <c r="HN7" s="2">
        <f>HE7+HJ7</f>
        <v>0</v>
      </c>
    </row>
    <row r="8" spans="1:222" ht="14.4" thickTop="1" thickBot="1">
      <c r="A8" s="110">
        <v>9</v>
      </c>
      <c r="B8"/>
      <c r="D8" s="2">
        <v>0</v>
      </c>
      <c r="E8" s="2">
        <v>0</v>
      </c>
      <c r="G8" s="2">
        <v>0</v>
      </c>
      <c r="H8" s="74"/>
      <c r="I8" s="2">
        <v>0</v>
      </c>
      <c r="J8" s="2">
        <v>0</v>
      </c>
      <c r="K8" s="2">
        <v>0</v>
      </c>
      <c r="L8" s="1">
        <v>0</v>
      </c>
      <c r="M8" s="1">
        <v>0</v>
      </c>
      <c r="W8" s="1">
        <v>9</v>
      </c>
      <c r="Y8" s="57">
        <f t="shared" si="0"/>
        <v>0</v>
      </c>
      <c r="AO8" s="437">
        <v>7</v>
      </c>
      <c r="AP8" s="1147"/>
      <c r="AQ8" s="1147"/>
      <c r="AR8" s="1147"/>
      <c r="AT8" s="1">
        <f>AR8/$AR$57</f>
        <v>0</v>
      </c>
      <c r="AU8" s="1">
        <f t="shared" si="1"/>
        <v>0</v>
      </c>
      <c r="BE8" s="437">
        <v>7</v>
      </c>
      <c r="BF8" s="1147"/>
      <c r="BG8" s="1147"/>
      <c r="BH8" s="1147"/>
      <c r="BV8" s="1820">
        <v>7</v>
      </c>
      <c r="BW8" s="1119"/>
      <c r="BY8" s="1">
        <f t="shared" si="2"/>
        <v>0</v>
      </c>
      <c r="CB8" s="1">
        <f t="shared" si="3"/>
        <v>0</v>
      </c>
      <c r="CL8" s="1820">
        <v>7</v>
      </c>
      <c r="CM8" s="1119"/>
      <c r="CP8" s="1" t="s">
        <v>18</v>
      </c>
      <c r="DB8" s="1820">
        <v>9</v>
      </c>
      <c r="DE8" s="883">
        <v>25213.842706471067</v>
      </c>
      <c r="DF8" s="1">
        <f>DE8*$DE$54</f>
        <v>379622.29091443267</v>
      </c>
      <c r="DG8" s="1">
        <f>DE8/$DE$52</f>
        <v>3.4770703034924861E-4</v>
      </c>
      <c r="DP8" s="1820">
        <v>9</v>
      </c>
      <c r="DR8">
        <v>6</v>
      </c>
      <c r="DS8" s="57">
        <f>DR8*$DR$59</f>
        <v>616710.08864716277</v>
      </c>
      <c r="DT8" s="895">
        <v>935.54888201650476</v>
      </c>
      <c r="DU8" s="57">
        <f>DS8+DT8</f>
        <v>617645.63752917934</v>
      </c>
      <c r="DV8" s="1">
        <f t="shared" ref="DV8:DV55" si="6">DQ8/$DQ$56</f>
        <v>0</v>
      </c>
      <c r="DW8" s="1">
        <f>DU8/$DU$56</f>
        <v>8.4953006617665165E-4</v>
      </c>
      <c r="DY8" s="2">
        <f>DQ8+DU8</f>
        <v>617645.63752917934</v>
      </c>
      <c r="EI8" s="1820">
        <v>9</v>
      </c>
      <c r="EM8" s="1">
        <v>0</v>
      </c>
      <c r="EN8" s="2">
        <v>276248.78582986887</v>
      </c>
      <c r="EO8" s="2">
        <f t="shared" ref="EO8:EO49" si="7">EN8*$EN$59</f>
        <v>1944340.4834584063</v>
      </c>
      <c r="EP8" s="2">
        <f t="shared" ref="EP8:EP49" si="8">EM8+EO8</f>
        <v>1944340.4834584063</v>
      </c>
      <c r="EQ8" s="30">
        <f t="shared" ref="EQ8:EQ49" si="9">EK8/$EK$56</f>
        <v>0</v>
      </c>
      <c r="ER8" s="30">
        <f t="shared" ref="ER8:ER49" si="10">EP8/$EP$56</f>
        <v>2.714477952270269E-3</v>
      </c>
      <c r="ET8" s="2">
        <f t="shared" ref="ET8:ET49" si="11">EK8+EO8</f>
        <v>1944340.4834584063</v>
      </c>
      <c r="FF8" s="1820">
        <v>9</v>
      </c>
      <c r="FI8" s="1">
        <v>22</v>
      </c>
      <c r="FJ8" s="2">
        <f t="shared" si="4"/>
        <v>1110.3980525803311</v>
      </c>
      <c r="FK8" s="1">
        <v>0</v>
      </c>
      <c r="FL8" s="2">
        <f t="shared" si="5"/>
        <v>0</v>
      </c>
      <c r="FM8" s="2">
        <f t="shared" ref="FM8:FM49" si="12">FJ8+FL8</f>
        <v>1110.3980525803311</v>
      </c>
      <c r="FN8" s="30">
        <f t="shared" ref="FN8:FN49" si="13">FH8/$FH$56</f>
        <v>0</v>
      </c>
      <c r="FO8" s="30">
        <f t="shared" ref="FO8:FO49" si="14">FM8/$FM$56</f>
        <v>1.6383248432870206E-6</v>
      </c>
      <c r="FQ8" s="2">
        <f t="shared" ref="FQ8:FQ50" si="15">FH8+FM8</f>
        <v>1110.3980525803311</v>
      </c>
      <c r="GB8" s="1820">
        <v>9</v>
      </c>
      <c r="GE8">
        <v>6</v>
      </c>
      <c r="GF8" s="2">
        <f>GE8*$GE$59</f>
        <v>71.281203239769724</v>
      </c>
      <c r="GG8" s="895">
        <v>0</v>
      </c>
      <c r="GH8" s="2">
        <f t="shared" ref="GH8:GH42" si="16">GG8*$GG$59</f>
        <v>0</v>
      </c>
      <c r="GI8" s="2">
        <f>GF8+GH8</f>
        <v>71.281203239769724</v>
      </c>
      <c r="GJ8" s="2">
        <f t="shared" ref="GJ8:GJ45" si="17">GD8/$GD$56*100</f>
        <v>0</v>
      </c>
      <c r="GK8" s="2">
        <f t="shared" ref="GK8:GK45" si="18">GF8/$GF$56*100</f>
        <v>0.17030939540164627</v>
      </c>
      <c r="GL8" s="2"/>
      <c r="GM8" s="2">
        <f t="shared" ref="GM8:GM42" si="19">GD8+GI8</f>
        <v>71.281203239769724</v>
      </c>
      <c r="HC8" s="1962">
        <v>9</v>
      </c>
      <c r="HF8" s="73"/>
      <c r="HG8" s="2">
        <f>HF8*$GE$59</f>
        <v>0</v>
      </c>
      <c r="HH8" s="895"/>
      <c r="HI8" s="2">
        <f t="shared" ref="HI8:HI42" si="20">HH8*$GG$59</f>
        <v>0</v>
      </c>
      <c r="HJ8" s="2">
        <f>HG8+HI8</f>
        <v>0</v>
      </c>
      <c r="HK8" s="2">
        <f t="shared" ref="HK8:HK37" si="21">HE8/$GD$56*100</f>
        <v>0</v>
      </c>
      <c r="HL8" s="2">
        <f t="shared" ref="HL8:HL45" si="22">HJ8/$HJ$56*100</f>
        <v>0</v>
      </c>
      <c r="HM8" s="2"/>
      <c r="HN8" s="2">
        <f t="shared" ref="HN8:HN42" si="23">HE8+HJ8</f>
        <v>0</v>
      </c>
    </row>
    <row r="9" spans="1:222" ht="14.4" thickTop="1" thickBot="1">
      <c r="A9" s="110">
        <v>10</v>
      </c>
      <c r="B9"/>
      <c r="C9" s="2"/>
      <c r="D9" s="2">
        <v>0</v>
      </c>
      <c r="E9" s="2">
        <v>0</v>
      </c>
      <c r="G9" s="2">
        <v>0</v>
      </c>
      <c r="H9" s="74"/>
      <c r="I9" s="2">
        <v>0</v>
      </c>
      <c r="J9" s="2">
        <v>0</v>
      </c>
      <c r="K9" s="2">
        <v>0</v>
      </c>
      <c r="L9" s="1">
        <v>0</v>
      </c>
      <c r="M9" s="1">
        <v>0</v>
      </c>
      <c r="W9" s="1">
        <v>10</v>
      </c>
      <c r="Y9" s="57">
        <f t="shared" si="0"/>
        <v>0</v>
      </c>
      <c r="AO9" s="437">
        <v>8</v>
      </c>
      <c r="AP9" s="1147"/>
      <c r="AQ9" s="1147"/>
      <c r="AR9" s="1147"/>
      <c r="AT9" s="1">
        <f>AR9/$AR$57</f>
        <v>0</v>
      </c>
      <c r="AU9" s="1">
        <f t="shared" si="1"/>
        <v>0</v>
      </c>
      <c r="BE9" s="437">
        <v>8</v>
      </c>
      <c r="BF9" s="1147"/>
      <c r="BG9" s="1147"/>
      <c r="BH9" s="1147"/>
      <c r="BV9" s="1820">
        <v>8</v>
      </c>
      <c r="BW9" s="1119"/>
      <c r="BY9" s="1">
        <f t="shared" si="2"/>
        <v>0</v>
      </c>
      <c r="CB9" s="1">
        <f t="shared" si="3"/>
        <v>0</v>
      </c>
      <c r="CL9" s="1820">
        <v>8</v>
      </c>
      <c r="CM9" s="1119"/>
      <c r="CP9" s="1" t="s">
        <v>18</v>
      </c>
      <c r="CQ9" s="1" t="s">
        <v>18</v>
      </c>
      <c r="DB9" s="1820">
        <v>10</v>
      </c>
      <c r="DE9" s="883">
        <v>99815.342712460697</v>
      </c>
      <c r="DF9" s="1">
        <f t="shared" ref="DF9:DF50" si="24">DE9*$DE$54</f>
        <v>1502830.3900376374</v>
      </c>
      <c r="DG9" s="1">
        <f t="shared" ref="DG9:DG50" si="25">DE9/$DE$52</f>
        <v>1.3764857979753674E-3</v>
      </c>
      <c r="DP9" s="1820">
        <v>10</v>
      </c>
      <c r="DQ9" s="1">
        <v>2379.4254401504945</v>
      </c>
      <c r="DR9">
        <v>6</v>
      </c>
      <c r="DS9" s="57">
        <f t="shared" ref="DS9:DS45" si="26">DR9*$DR$59</f>
        <v>616710.08864716277</v>
      </c>
      <c r="DT9" s="895">
        <v>36022.302918035304</v>
      </c>
      <c r="DU9" s="57">
        <f t="shared" ref="DU9:DU55" si="27">DS9+DT9</f>
        <v>652732.39156519808</v>
      </c>
      <c r="DV9" s="1">
        <f t="shared" si="6"/>
        <v>2.5424520285896068E-5</v>
      </c>
      <c r="DW9" s="1">
        <f t="shared" ref="DW9:DW55" si="28">DU9/$DU$56</f>
        <v>8.9778953838369805E-4</v>
      </c>
      <c r="DY9" s="2">
        <f t="shared" ref="DY9:DY55" si="29">DQ9+DU9</f>
        <v>655111.81700534862</v>
      </c>
      <c r="EI9" s="1820">
        <v>10</v>
      </c>
      <c r="EJ9" s="2">
        <v>11734.125926456938</v>
      </c>
      <c r="EK9" s="2">
        <f>EJ9*$EJ$59</f>
        <v>38375.014384671988</v>
      </c>
      <c r="EM9" s="1">
        <v>0</v>
      </c>
      <c r="EN9" s="2">
        <v>724354.46496002306</v>
      </c>
      <c r="EO9" s="2">
        <f t="shared" si="7"/>
        <v>5098272.9439506074</v>
      </c>
      <c r="EP9" s="2">
        <f t="shared" si="8"/>
        <v>5098272.9439506074</v>
      </c>
      <c r="EQ9" s="30">
        <f t="shared" si="9"/>
        <v>6.1221446804183579E-5</v>
      </c>
      <c r="ER9" s="30">
        <f t="shared" si="10"/>
        <v>7.1176574364147423E-3</v>
      </c>
      <c r="ET9" s="2">
        <f t="shared" si="11"/>
        <v>5136647.9583352795</v>
      </c>
      <c r="FF9" s="1820">
        <v>10</v>
      </c>
      <c r="FG9" s="2">
        <v>137389.64489735893</v>
      </c>
      <c r="FH9" s="2">
        <f>FG9*$FG$59</f>
        <v>467774.40402832138</v>
      </c>
      <c r="FI9" s="1">
        <v>35</v>
      </c>
      <c r="FJ9" s="2">
        <f t="shared" si="4"/>
        <v>1766.5423563777995</v>
      </c>
      <c r="FK9" s="2">
        <v>164581.92167524132</v>
      </c>
      <c r="FL9" s="2">
        <f t="shared" si="5"/>
        <v>692746.22353266785</v>
      </c>
      <c r="FM9" s="2">
        <f t="shared" si="12"/>
        <v>694512.76588904567</v>
      </c>
      <c r="FN9" s="30">
        <f t="shared" si="13"/>
        <v>1.5428559502034559E-3</v>
      </c>
      <c r="FO9" s="30">
        <f t="shared" si="14"/>
        <v>1.0247113777729628E-3</v>
      </c>
      <c r="FQ9" s="2">
        <f t="shared" si="15"/>
        <v>1162287.1699173669</v>
      </c>
      <c r="GB9" s="1820">
        <v>10</v>
      </c>
      <c r="GE9">
        <v>67</v>
      </c>
      <c r="GF9" s="2">
        <f t="shared" ref="GF9:GF45" si="30">GE9*$GE$59</f>
        <v>795.97343617742854</v>
      </c>
      <c r="GG9" s="895">
        <v>129617.48422060662</v>
      </c>
      <c r="GH9" s="2">
        <f t="shared" si="16"/>
        <v>1172073.2526471408</v>
      </c>
      <c r="GI9" s="2">
        <f t="shared" ref="GI9:GI47" si="31">GF9+GH9</f>
        <v>1172869.2260833182</v>
      </c>
      <c r="GJ9" s="2">
        <f t="shared" si="17"/>
        <v>0</v>
      </c>
      <c r="GK9" s="2">
        <f t="shared" si="18"/>
        <v>1.9017882486517166</v>
      </c>
      <c r="GL9" s="2"/>
      <c r="GM9" s="2">
        <f t="shared" si="19"/>
        <v>1172869.2260833182</v>
      </c>
      <c r="HC9" s="1962">
        <v>10</v>
      </c>
      <c r="HF9" s="73"/>
      <c r="HG9" s="2">
        <f t="shared" ref="HG9:HG33" si="32">HF9*$GE$59</f>
        <v>0</v>
      </c>
      <c r="HH9" s="895"/>
      <c r="HI9" s="2">
        <f t="shared" si="20"/>
        <v>0</v>
      </c>
      <c r="HJ9" s="2">
        <f t="shared" ref="HJ9:HJ25" si="33">HG9+HI9</f>
        <v>0</v>
      </c>
      <c r="HK9" s="2">
        <f t="shared" si="21"/>
        <v>0</v>
      </c>
      <c r="HL9" s="2">
        <f t="shared" si="22"/>
        <v>0</v>
      </c>
      <c r="HM9" s="2"/>
      <c r="HN9" s="2">
        <f t="shared" si="23"/>
        <v>0</v>
      </c>
    </row>
    <row r="10" spans="1:222" ht="14.4" thickTop="1" thickBot="1">
      <c r="A10" s="110">
        <v>11</v>
      </c>
      <c r="B10"/>
      <c r="C10" s="2"/>
      <c r="D10" s="2">
        <v>0</v>
      </c>
      <c r="E10" s="2">
        <v>0</v>
      </c>
      <c r="G10" s="2">
        <v>0</v>
      </c>
      <c r="H10" s="74"/>
      <c r="I10" s="2">
        <v>0</v>
      </c>
      <c r="J10" s="2">
        <v>0</v>
      </c>
      <c r="K10" s="2">
        <v>0</v>
      </c>
      <c r="L10" s="1">
        <v>0</v>
      </c>
      <c r="M10" s="1">
        <v>0</v>
      </c>
      <c r="W10" s="1">
        <v>11</v>
      </c>
      <c r="Y10" s="57">
        <f t="shared" si="0"/>
        <v>0</v>
      </c>
      <c r="AO10" s="437">
        <v>9</v>
      </c>
      <c r="AP10" s="1147"/>
      <c r="AQ10" s="1147"/>
      <c r="AR10" s="1147"/>
      <c r="AT10" s="1">
        <f>AR10/$AR$57</f>
        <v>0</v>
      </c>
      <c r="AU10" s="1">
        <f t="shared" si="1"/>
        <v>0</v>
      </c>
      <c r="BE10" s="437">
        <v>9</v>
      </c>
      <c r="BF10" s="1147"/>
      <c r="BG10" s="1147"/>
      <c r="BH10" s="1147"/>
      <c r="BV10" s="1820">
        <v>9</v>
      </c>
      <c r="BW10" s="1119"/>
      <c r="BY10" s="1">
        <f t="shared" si="2"/>
        <v>0</v>
      </c>
      <c r="CB10" s="1">
        <f t="shared" si="3"/>
        <v>0</v>
      </c>
      <c r="CL10" s="1820">
        <v>9</v>
      </c>
      <c r="CM10" s="1119"/>
      <c r="CP10" s="1" t="s">
        <v>18</v>
      </c>
      <c r="DB10" s="1820">
        <v>11</v>
      </c>
      <c r="DE10" s="883">
        <v>234405.50610816493</v>
      </c>
      <c r="DF10" s="1">
        <f t="shared" si="24"/>
        <v>3529234.1698039034</v>
      </c>
      <c r="DG10" s="1">
        <f t="shared" si="25"/>
        <v>3.2325275990345089E-3</v>
      </c>
      <c r="DP10" s="1820">
        <v>11</v>
      </c>
      <c r="DQ10" s="1">
        <v>241267.83239341629</v>
      </c>
      <c r="DR10">
        <v>18</v>
      </c>
      <c r="DS10" s="57">
        <f t="shared" si="26"/>
        <v>1850130.2659414883</v>
      </c>
      <c r="DT10" s="895">
        <v>415564.31334214582</v>
      </c>
      <c r="DU10" s="57">
        <f t="shared" si="27"/>
        <v>2265694.5792836342</v>
      </c>
      <c r="DV10" s="1">
        <f t="shared" si="6"/>
        <v>2.5779832372610982E-3</v>
      </c>
      <c r="DW10" s="1">
        <f t="shared" si="28"/>
        <v>3.1163106301126827E-3</v>
      </c>
      <c r="DY10" s="2">
        <f t="shared" si="29"/>
        <v>2506962.4116770504</v>
      </c>
      <c r="EI10" s="1820">
        <v>11</v>
      </c>
      <c r="EJ10" s="2">
        <v>43957.947537954969</v>
      </c>
      <c r="EK10" s="2">
        <f t="shared" ref="EK10:EK37" si="34">EJ10*$EJ$59</f>
        <v>143759.05624860001</v>
      </c>
      <c r="EM10" s="1">
        <v>0</v>
      </c>
      <c r="EN10" s="2">
        <v>354493.91088142828</v>
      </c>
      <c r="EO10" s="2">
        <f t="shared" si="7"/>
        <v>2495058.4307391113</v>
      </c>
      <c r="EP10" s="2">
        <f t="shared" si="8"/>
        <v>2495058.4307391113</v>
      </c>
      <c r="EQ10" s="30">
        <f t="shared" si="9"/>
        <v>2.293455144152001E-4</v>
      </c>
      <c r="ER10" s="30">
        <f t="shared" si="10"/>
        <v>3.4833308041915586E-3</v>
      </c>
      <c r="ET10" s="2">
        <f t="shared" si="11"/>
        <v>2638817.4869877114</v>
      </c>
      <c r="FF10" s="1820">
        <v>11</v>
      </c>
      <c r="FG10" s="2">
        <v>402276.01632006303</v>
      </c>
      <c r="FH10" s="2">
        <f t="shared" ref="FH10:FH37" si="35">FG10*$FG$59</f>
        <v>1369640.513516038</v>
      </c>
      <c r="FI10" s="1">
        <v>15</v>
      </c>
      <c r="FJ10" s="2">
        <f t="shared" si="4"/>
        <v>757.08958130477129</v>
      </c>
      <c r="FK10" s="2">
        <v>0</v>
      </c>
      <c r="FL10" s="2">
        <f t="shared" si="5"/>
        <v>0</v>
      </c>
      <c r="FM10" s="2">
        <f t="shared" si="12"/>
        <v>757.08958130477129</v>
      </c>
      <c r="FN10" s="30">
        <f t="shared" si="13"/>
        <v>4.5174725203433646E-3</v>
      </c>
      <c r="FO10" s="30">
        <f t="shared" si="14"/>
        <v>1.1170396658775141E-6</v>
      </c>
      <c r="FQ10" s="2">
        <f t="shared" si="15"/>
        <v>1370397.6030973427</v>
      </c>
      <c r="GB10" s="1820">
        <v>11</v>
      </c>
      <c r="GE10">
        <v>108</v>
      </c>
      <c r="GF10" s="2">
        <f t="shared" si="30"/>
        <v>1283.0616583158551</v>
      </c>
      <c r="GG10" s="895">
        <v>907322.38954424649</v>
      </c>
      <c r="GH10" s="2">
        <f t="shared" si="16"/>
        <v>8204512.768529986</v>
      </c>
      <c r="GI10" s="2">
        <f t="shared" si="31"/>
        <v>8205795.8301883023</v>
      </c>
      <c r="GJ10" s="2">
        <f t="shared" si="17"/>
        <v>0</v>
      </c>
      <c r="GK10" s="2">
        <f t="shared" si="18"/>
        <v>3.0655691172296331</v>
      </c>
      <c r="GL10" s="2"/>
      <c r="GM10" s="2">
        <f t="shared" si="19"/>
        <v>8205795.8301883023</v>
      </c>
      <c r="HC10" s="1962">
        <v>11</v>
      </c>
      <c r="HF10" s="73"/>
      <c r="HG10" s="2">
        <f t="shared" si="32"/>
        <v>0</v>
      </c>
      <c r="HH10" s="2">
        <v>44</v>
      </c>
      <c r="HI10" s="2">
        <f>HH10*$HH$59</f>
        <v>9333285.4482558407</v>
      </c>
      <c r="HJ10" s="2">
        <f>HG10+HI10</f>
        <v>9333285.4482558407</v>
      </c>
      <c r="HK10" s="2">
        <f t="shared" si="21"/>
        <v>0</v>
      </c>
      <c r="HL10" s="2">
        <f t="shared" si="22"/>
        <v>0.56693725035433584</v>
      </c>
      <c r="HM10" s="2"/>
      <c r="HN10" s="2">
        <f t="shared" si="23"/>
        <v>9333285.4482558407</v>
      </c>
    </row>
    <row r="11" spans="1:222" ht="14.4" thickTop="1" thickBot="1">
      <c r="A11" s="110">
        <v>12</v>
      </c>
      <c r="B11"/>
      <c r="C11" s="2"/>
      <c r="D11" s="2">
        <v>0</v>
      </c>
      <c r="E11" s="2">
        <v>0</v>
      </c>
      <c r="G11" s="2">
        <v>0</v>
      </c>
      <c r="H11" s="74"/>
      <c r="I11" s="2">
        <v>0</v>
      </c>
      <c r="J11" s="2">
        <v>0</v>
      </c>
      <c r="K11" s="2">
        <v>0</v>
      </c>
      <c r="L11" s="1">
        <v>0</v>
      </c>
      <c r="M11" s="1">
        <v>0</v>
      </c>
      <c r="W11" s="1">
        <v>12</v>
      </c>
      <c r="Y11" s="57">
        <f t="shared" si="0"/>
        <v>0</v>
      </c>
      <c r="AO11" s="437">
        <v>10</v>
      </c>
      <c r="AP11" s="1147"/>
      <c r="AQ11" s="1147"/>
      <c r="AR11" s="1146">
        <v>183605.26340087416</v>
      </c>
      <c r="AS11" s="57">
        <f>AR11*$AR$60</f>
        <v>1223261.8191587327</v>
      </c>
      <c r="AT11" s="1">
        <f>AQ11/$AQ$57</f>
        <v>0</v>
      </c>
      <c r="AU11" s="1">
        <f t="shared" si="1"/>
        <v>2.3453869276243299E-3</v>
      </c>
      <c r="BE11" s="437">
        <v>10</v>
      </c>
      <c r="BF11" s="1147"/>
      <c r="BG11" s="1147"/>
      <c r="BH11" s="1146"/>
      <c r="BI11" s="57"/>
      <c r="BV11" s="1820">
        <v>10</v>
      </c>
      <c r="BW11" s="1119"/>
      <c r="BY11" s="1">
        <f t="shared" si="2"/>
        <v>0</v>
      </c>
      <c r="CB11" s="1">
        <f t="shared" si="3"/>
        <v>0</v>
      </c>
      <c r="CL11" s="1820">
        <v>10</v>
      </c>
      <c r="CM11" s="1119"/>
      <c r="DB11" s="1820">
        <v>12</v>
      </c>
      <c r="DE11" s="883">
        <v>72547.738193278929</v>
      </c>
      <c r="DF11" s="1">
        <f t="shared" si="24"/>
        <v>1092286.4433720282</v>
      </c>
      <c r="DG11" s="1">
        <f t="shared" si="25"/>
        <v>1.0004567292420585E-3</v>
      </c>
      <c r="DP11" s="1820">
        <v>12</v>
      </c>
      <c r="DQ11" s="1">
        <v>1209049.1181374253</v>
      </c>
      <c r="DR11">
        <v>18</v>
      </c>
      <c r="DS11" s="57">
        <f t="shared" si="26"/>
        <v>1850130.2659414883</v>
      </c>
      <c r="DT11" s="895">
        <v>911019.10304201953</v>
      </c>
      <c r="DU11" s="57">
        <f t="shared" si="27"/>
        <v>2761149.3689835081</v>
      </c>
      <c r="DV11" s="1">
        <f t="shared" si="6"/>
        <v>1.2918872477376513E-2</v>
      </c>
      <c r="DW11" s="1">
        <f t="shared" si="28"/>
        <v>3.7977753968113518E-3</v>
      </c>
      <c r="DY11" s="2">
        <f t="shared" si="29"/>
        <v>3970198.4871209334</v>
      </c>
      <c r="EI11" s="1820">
        <v>12</v>
      </c>
      <c r="EJ11" s="2">
        <v>31043.879448284359</v>
      </c>
      <c r="EK11" s="2">
        <f t="shared" si="34"/>
        <v>101525.18626870109</v>
      </c>
      <c r="EM11" s="1">
        <v>0</v>
      </c>
      <c r="EN11" s="2">
        <v>92641.537010722997</v>
      </c>
      <c r="EO11" s="2">
        <f t="shared" si="7"/>
        <v>652045.18571419956</v>
      </c>
      <c r="EP11" s="2">
        <f t="shared" si="8"/>
        <v>652045.18571419956</v>
      </c>
      <c r="EQ11" s="30">
        <f t="shared" si="9"/>
        <v>1.619678556502837E-4</v>
      </c>
      <c r="ER11" s="30">
        <f t="shared" si="10"/>
        <v>9.1031498627078353E-4</v>
      </c>
      <c r="ET11" s="2">
        <f t="shared" si="11"/>
        <v>753570.37198290066</v>
      </c>
      <c r="FF11" s="1820">
        <v>12</v>
      </c>
      <c r="FG11" s="2">
        <v>160093.36806557758</v>
      </c>
      <c r="FH11" s="2">
        <f t="shared" si="35"/>
        <v>545074.41147918592</v>
      </c>
      <c r="FI11" s="1">
        <v>71</v>
      </c>
      <c r="FJ11" s="2">
        <f t="shared" si="4"/>
        <v>3583.5573515092506</v>
      </c>
      <c r="FK11" s="2">
        <v>43647.794960442458</v>
      </c>
      <c r="FL11" s="2">
        <f t="shared" si="5"/>
        <v>183719.11578501982</v>
      </c>
      <c r="FM11" s="2">
        <f t="shared" si="12"/>
        <v>187302.67313652908</v>
      </c>
      <c r="FN11" s="30">
        <f t="shared" si="13"/>
        <v>1.7978138431947901E-3</v>
      </c>
      <c r="FO11" s="30">
        <f t="shared" si="14"/>
        <v>2.7635371108636217E-4</v>
      </c>
      <c r="FQ11" s="2">
        <f t="shared" si="15"/>
        <v>732377.08461571496</v>
      </c>
      <c r="GB11" s="1820">
        <v>12</v>
      </c>
      <c r="GE11">
        <v>60</v>
      </c>
      <c r="GF11" s="2">
        <f t="shared" si="30"/>
        <v>712.81203239769729</v>
      </c>
      <c r="GG11" s="895">
        <v>3907514.5288307397</v>
      </c>
      <c r="GH11" s="2">
        <f t="shared" si="16"/>
        <v>35333915.722185358</v>
      </c>
      <c r="GI11" s="2">
        <f t="shared" si="31"/>
        <v>35334628.534217753</v>
      </c>
      <c r="GJ11" s="2">
        <f t="shared" si="17"/>
        <v>0</v>
      </c>
      <c r="GK11" s="2">
        <f t="shared" si="18"/>
        <v>1.7030939540164631</v>
      </c>
      <c r="GL11" s="2"/>
      <c r="GM11" s="2">
        <f t="shared" si="19"/>
        <v>35334628.534217753</v>
      </c>
      <c r="HC11" s="1962">
        <v>12</v>
      </c>
      <c r="HD11" s="57">
        <v>122669.50081993488</v>
      </c>
      <c r="HE11" s="2">
        <f>HD11*$HD$59</f>
        <v>1058241.4789516255</v>
      </c>
      <c r="HF11" s="73"/>
      <c r="HG11" s="2">
        <f t="shared" si="32"/>
        <v>0</v>
      </c>
      <c r="HH11" s="2">
        <v>67</v>
      </c>
      <c r="HI11" s="2">
        <f t="shared" ref="HI11:HI37" si="36">HH11*$HH$59</f>
        <v>14212048.29620776</v>
      </c>
      <c r="HJ11" s="2">
        <f t="shared" si="33"/>
        <v>14212048.29620776</v>
      </c>
      <c r="HK11" s="2">
        <f t="shared" si="21"/>
        <v>0.19840286836264961</v>
      </c>
      <c r="HL11" s="2">
        <f t="shared" si="22"/>
        <v>0.8632908130395569</v>
      </c>
      <c r="HM11" s="2"/>
      <c r="HN11" s="2">
        <f t="shared" si="23"/>
        <v>15270289.775159385</v>
      </c>
    </row>
    <row r="12" spans="1:222" ht="14.4" thickTop="1" thickBot="1">
      <c r="A12" s="110">
        <v>13</v>
      </c>
      <c r="B12" s="1154">
        <v>1</v>
      </c>
      <c r="C12" s="2"/>
      <c r="D12" s="2">
        <v>1</v>
      </c>
      <c r="E12" s="2">
        <v>77715.740740740745</v>
      </c>
      <c r="G12" s="2">
        <v>0</v>
      </c>
      <c r="H12" s="74"/>
      <c r="I12" s="2">
        <v>0</v>
      </c>
      <c r="J12" s="2">
        <v>77715.740740740745</v>
      </c>
      <c r="K12" s="2">
        <v>0</v>
      </c>
      <c r="L12" s="1">
        <v>1.7516152319318597E-4</v>
      </c>
      <c r="M12" s="1">
        <v>0</v>
      </c>
      <c r="W12" s="1">
        <v>13</v>
      </c>
      <c r="Y12" s="57">
        <f t="shared" si="0"/>
        <v>0</v>
      </c>
      <c r="AO12" s="437">
        <v>11</v>
      </c>
      <c r="AP12" s="1147"/>
      <c r="AQ12" s="1147"/>
      <c r="AR12" s="1146">
        <v>10464.664946424706</v>
      </c>
      <c r="AS12" s="57">
        <f t="shared" ref="AS12:AS58" si="37">AR12*$AR$60</f>
        <v>69720.360092842311</v>
      </c>
      <c r="AT12" s="1">
        <f t="shared" ref="AT12:AT57" si="38">AQ12/$AQ$57</f>
        <v>0</v>
      </c>
      <c r="AU12" s="1">
        <f t="shared" si="1"/>
        <v>1.3367638766283979E-4</v>
      </c>
      <c r="BE12" s="437">
        <v>11</v>
      </c>
      <c r="BF12" s="1147"/>
      <c r="BG12" s="1147"/>
      <c r="BH12" s="1146"/>
      <c r="BI12" s="57"/>
      <c r="BV12" s="1820">
        <v>11</v>
      </c>
      <c r="BW12" s="1119"/>
      <c r="BY12" s="1">
        <f t="shared" si="2"/>
        <v>0</v>
      </c>
      <c r="CB12" s="1">
        <f t="shared" si="3"/>
        <v>0</v>
      </c>
      <c r="CL12" s="1820">
        <v>11</v>
      </c>
      <c r="CM12" s="1119"/>
      <c r="DB12" s="1820">
        <v>13</v>
      </c>
      <c r="DE12" s="883">
        <v>26865.398133502182</v>
      </c>
      <c r="DF12" s="1">
        <f t="shared" si="24"/>
        <v>404488.28464972344</v>
      </c>
      <c r="DG12" s="1">
        <f t="shared" si="25"/>
        <v>3.7048251283620774E-4</v>
      </c>
      <c r="DP12" s="1820">
        <v>13</v>
      </c>
      <c r="DQ12" s="1">
        <v>2434881.8025369067</v>
      </c>
      <c r="DR12">
        <v>20</v>
      </c>
      <c r="DS12" s="57">
        <f t="shared" si="26"/>
        <v>2055700.2954905424</v>
      </c>
      <c r="DT12" s="895">
        <v>1049805.2848282903</v>
      </c>
      <c r="DU12" s="57">
        <f t="shared" si="27"/>
        <v>3105505.5803188328</v>
      </c>
      <c r="DV12" s="1">
        <f t="shared" si="6"/>
        <v>2.6017079895742957E-2</v>
      </c>
      <c r="DW12" s="1">
        <f t="shared" si="28"/>
        <v>4.271414223395339E-3</v>
      </c>
      <c r="DY12" s="2">
        <f t="shared" si="29"/>
        <v>5540387.3828557394</v>
      </c>
      <c r="EI12" s="1820">
        <v>13</v>
      </c>
      <c r="EJ12" s="2">
        <v>268534.37755636562</v>
      </c>
      <c r="EK12" s="2">
        <f t="shared" si="34"/>
        <v>878208.62551592011</v>
      </c>
      <c r="EL12" s="1">
        <v>1</v>
      </c>
      <c r="EM12" s="2">
        <f>EL12*$EL$59</f>
        <v>106973.75022962048</v>
      </c>
      <c r="EN12" s="2">
        <v>38429.778081807926</v>
      </c>
      <c r="EO12" s="2">
        <f t="shared" si="7"/>
        <v>270482.90210694086</v>
      </c>
      <c r="EP12" s="2">
        <f t="shared" si="8"/>
        <v>377456.65233656135</v>
      </c>
      <c r="EQ12" s="30">
        <f t="shared" si="9"/>
        <v>1.4010471008832597E-3</v>
      </c>
      <c r="ER12" s="30">
        <f t="shared" si="10"/>
        <v>5.2696416570151533E-4</v>
      </c>
      <c r="ET12" s="2">
        <f t="shared" si="11"/>
        <v>1148691.5276228609</v>
      </c>
      <c r="FF12" s="1820">
        <v>13</v>
      </c>
      <c r="FG12" s="2">
        <v>141226.18488492604</v>
      </c>
      <c r="FH12" s="2">
        <f t="shared" si="35"/>
        <v>480836.78007242404</v>
      </c>
      <c r="FI12" s="1">
        <v>178</v>
      </c>
      <c r="FJ12" s="2">
        <f t="shared" si="4"/>
        <v>8984.1296981499527</v>
      </c>
      <c r="FK12" s="2">
        <v>242589.28704072878</v>
      </c>
      <c r="FL12" s="2">
        <f t="shared" si="5"/>
        <v>1021089.1375940717</v>
      </c>
      <c r="FM12" s="2">
        <f t="shared" si="12"/>
        <v>1030073.2672922217</v>
      </c>
      <c r="FN12" s="30">
        <f t="shared" si="13"/>
        <v>1.5859394631744194E-3</v>
      </c>
      <c r="FO12" s="30">
        <f t="shared" si="14"/>
        <v>1.5198105042503126E-3</v>
      </c>
      <c r="FQ12" s="2">
        <f t="shared" si="15"/>
        <v>1510910.0473646456</v>
      </c>
      <c r="GB12" s="1820">
        <v>13</v>
      </c>
      <c r="GE12">
        <v>53</v>
      </c>
      <c r="GF12" s="2">
        <f t="shared" si="30"/>
        <v>629.65062861796594</v>
      </c>
      <c r="GG12" s="895">
        <v>4280107.790362725</v>
      </c>
      <c r="GH12" s="2">
        <f t="shared" si="16"/>
        <v>38703110.847242206</v>
      </c>
      <c r="GI12" s="2">
        <f t="shared" si="31"/>
        <v>38703740.497870825</v>
      </c>
      <c r="GJ12" s="2">
        <f t="shared" si="17"/>
        <v>0</v>
      </c>
      <c r="GK12" s="2">
        <f t="shared" si="18"/>
        <v>1.5043996593812088</v>
      </c>
      <c r="GL12" s="2"/>
      <c r="GM12" s="2">
        <f t="shared" si="19"/>
        <v>38703740.497870825</v>
      </c>
      <c r="HC12" s="1962">
        <v>13</v>
      </c>
      <c r="HD12" s="57">
        <v>2921617.6953698909</v>
      </c>
      <c r="HE12" s="2">
        <f t="shared" ref="HE12:HE37" si="39">HD12*$HD$59</f>
        <v>25204121.727191638</v>
      </c>
      <c r="HF12" s="73"/>
      <c r="HG12" s="2">
        <f t="shared" si="32"/>
        <v>0</v>
      </c>
      <c r="HH12" s="2">
        <v>22</v>
      </c>
      <c r="HI12" s="2">
        <f t="shared" si="36"/>
        <v>4666642.7241279203</v>
      </c>
      <c r="HJ12" s="2">
        <f t="shared" si="33"/>
        <v>4666642.7241279203</v>
      </c>
      <c r="HK12" s="2">
        <f t="shared" si="21"/>
        <v>4.7253581953621255</v>
      </c>
      <c r="HL12" s="2">
        <f t="shared" si="22"/>
        <v>0.28346862517716792</v>
      </c>
      <c r="HM12" s="2"/>
      <c r="HN12" s="2">
        <f>HE12+HJ12</f>
        <v>29870764.45131956</v>
      </c>
    </row>
    <row r="13" spans="1:222" ht="14.4" thickTop="1" thickBot="1">
      <c r="A13" s="110">
        <v>14</v>
      </c>
      <c r="B13" s="1154">
        <v>3</v>
      </c>
      <c r="C13" s="2"/>
      <c r="D13" s="2">
        <v>3</v>
      </c>
      <c r="E13" s="2">
        <v>233147.22222222225</v>
      </c>
      <c r="G13" s="2">
        <v>0</v>
      </c>
      <c r="H13" s="74"/>
      <c r="I13" s="2">
        <v>0</v>
      </c>
      <c r="J13" s="2">
        <v>233147.22222222225</v>
      </c>
      <c r="K13" s="2">
        <v>0</v>
      </c>
      <c r="L13" s="1">
        <v>5.25484569579558E-4</v>
      </c>
      <c r="M13" s="1">
        <v>0</v>
      </c>
      <c r="W13" s="1">
        <v>14</v>
      </c>
      <c r="Y13" s="57">
        <f t="shared" si="0"/>
        <v>0</v>
      </c>
      <c r="AO13" s="437">
        <v>12</v>
      </c>
      <c r="AP13" s="1147"/>
      <c r="AQ13" s="1147"/>
      <c r="AR13" s="1146">
        <v>225.59725061185821</v>
      </c>
      <c r="AS13" s="57">
        <f t="shared" si="37"/>
        <v>1503.0315475114876</v>
      </c>
      <c r="AT13" s="1">
        <f t="shared" si="38"/>
        <v>0</v>
      </c>
      <c r="AU13" s="1">
        <f t="shared" si="1"/>
        <v>2.8817956124591307E-6</v>
      </c>
      <c r="BE13" s="437">
        <v>12</v>
      </c>
      <c r="BF13" s="465">
        <v>5365.0218618491172</v>
      </c>
      <c r="BG13" s="1147">
        <f>BF13*$BF$60</f>
        <v>14006.724632330204</v>
      </c>
      <c r="BH13" s="1146"/>
      <c r="BI13" s="57"/>
      <c r="BJ13" s="1">
        <f>BG13/$BG$57</f>
        <v>5.7945000619411086E-5</v>
      </c>
      <c r="BV13" s="1820">
        <v>12</v>
      </c>
      <c r="BW13" s="1119"/>
      <c r="BY13" s="1">
        <f t="shared" si="2"/>
        <v>0</v>
      </c>
      <c r="CB13" s="1">
        <f t="shared" si="3"/>
        <v>0</v>
      </c>
      <c r="CL13" s="1820">
        <v>12</v>
      </c>
      <c r="CM13" s="1119"/>
      <c r="DB13" s="1820">
        <v>14</v>
      </c>
      <c r="DE13" s="883">
        <v>75461.214365710446</v>
      </c>
      <c r="DF13" s="1">
        <f t="shared" si="24"/>
        <v>1136152.04973671</v>
      </c>
      <c r="DG13" s="1">
        <f t="shared" si="25"/>
        <v>1.0406345061760548E-3</v>
      </c>
      <c r="DP13" s="1820">
        <v>14</v>
      </c>
      <c r="DQ13" s="1">
        <v>3647387.8691194872</v>
      </c>
      <c r="DR13">
        <v>2</v>
      </c>
      <c r="DS13" s="57">
        <f t="shared" si="26"/>
        <v>205570.02954905425</v>
      </c>
      <c r="DT13" s="895">
        <v>2049085.5856323375</v>
      </c>
      <c r="DU13" s="57">
        <f t="shared" si="27"/>
        <v>2254655.6151813916</v>
      </c>
      <c r="DV13" s="1">
        <f t="shared" si="6"/>
        <v>3.8972890389494377E-2</v>
      </c>
      <c r="DW13" s="1">
        <f t="shared" si="28"/>
        <v>3.1011272768523648E-3</v>
      </c>
      <c r="DY13" s="2">
        <f t="shared" si="29"/>
        <v>5902043.4843008788</v>
      </c>
      <c r="EI13" s="1820">
        <v>14</v>
      </c>
      <c r="EJ13" s="2">
        <v>567424.34838645381</v>
      </c>
      <c r="EK13" s="2">
        <f t="shared" si="34"/>
        <v>1855691.4820938969</v>
      </c>
      <c r="EL13" s="1">
        <v>4</v>
      </c>
      <c r="EM13" s="2">
        <f t="shared" ref="EM13:EM39" si="40">EL13*$EL$59</f>
        <v>427895.00091848191</v>
      </c>
      <c r="EN13" s="2">
        <v>87176.661998719079</v>
      </c>
      <c r="EO13" s="2">
        <f t="shared" si="7"/>
        <v>613581.38689257018</v>
      </c>
      <c r="EP13" s="2">
        <f t="shared" si="8"/>
        <v>1041476.3878110521</v>
      </c>
      <c r="EQ13" s="30">
        <f t="shared" si="9"/>
        <v>2.9604710037937142E-3</v>
      </c>
      <c r="ER13" s="30">
        <f t="shared" si="10"/>
        <v>1.4539967236060786E-3</v>
      </c>
      <c r="ET13" s="2">
        <f t="shared" si="11"/>
        <v>2469272.8689864669</v>
      </c>
      <c r="FF13" s="1820">
        <v>14</v>
      </c>
      <c r="FG13" s="2">
        <v>719489.11381380307</v>
      </c>
      <c r="FH13" s="2">
        <f t="shared" si="35"/>
        <v>2449664.9050265257</v>
      </c>
      <c r="FI13" s="1">
        <v>364</v>
      </c>
      <c r="FJ13" s="2">
        <f t="shared" si="4"/>
        <v>18372.040506329115</v>
      </c>
      <c r="FK13" s="2">
        <v>3347680.4329742617</v>
      </c>
      <c r="FL13" s="2">
        <f t="shared" si="5"/>
        <v>14090812.368282098</v>
      </c>
      <c r="FM13" s="2">
        <f t="shared" si="12"/>
        <v>14109184.408788428</v>
      </c>
      <c r="FN13" s="30">
        <f t="shared" si="13"/>
        <v>8.0797068889984208E-3</v>
      </c>
      <c r="FO13" s="30">
        <f t="shared" si="14"/>
        <v>2.0817244124051362E-2</v>
      </c>
      <c r="FQ13" s="2">
        <f t="shared" si="15"/>
        <v>16558849.313814953</v>
      </c>
      <c r="GB13" s="1820">
        <v>14</v>
      </c>
      <c r="GE13">
        <v>37</v>
      </c>
      <c r="GF13" s="2">
        <f t="shared" si="30"/>
        <v>439.56741997857995</v>
      </c>
      <c r="GG13" s="1444">
        <v>5840039.973865916</v>
      </c>
      <c r="GH13" s="2">
        <f t="shared" si="16"/>
        <v>52808883.68507722</v>
      </c>
      <c r="GI13" s="2">
        <f t="shared" si="31"/>
        <v>52809323.252497196</v>
      </c>
      <c r="GJ13" s="2">
        <f t="shared" si="17"/>
        <v>0</v>
      </c>
      <c r="GK13" s="2">
        <f t="shared" si="18"/>
        <v>1.0502412716434852</v>
      </c>
      <c r="GL13" s="2"/>
      <c r="GM13" s="2">
        <f t="shared" si="19"/>
        <v>52809323.252497196</v>
      </c>
      <c r="HC13" s="1962">
        <v>14</v>
      </c>
      <c r="HD13" s="57">
        <v>7857990.6386506716</v>
      </c>
      <c r="HE13" s="2">
        <f t="shared" si="39"/>
        <v>67789072.095762119</v>
      </c>
      <c r="HF13" s="73"/>
      <c r="HG13" s="2">
        <f t="shared" si="32"/>
        <v>0</v>
      </c>
      <c r="HH13" s="2">
        <v>7</v>
      </c>
      <c r="HI13" s="2">
        <f t="shared" si="36"/>
        <v>1484840.8667679748</v>
      </c>
      <c r="HJ13" s="2">
        <f t="shared" si="33"/>
        <v>1484840.8667679748</v>
      </c>
      <c r="HK13" s="2">
        <f t="shared" si="21"/>
        <v>12.709335832087964</v>
      </c>
      <c r="HL13" s="2">
        <f t="shared" si="22"/>
        <v>9.0194562556371621E-2</v>
      </c>
      <c r="HM13" s="2"/>
      <c r="HN13" s="2">
        <f>HE13+HJ13</f>
        <v>69273912.962530091</v>
      </c>
    </row>
    <row r="14" spans="1:222" ht="14.4" thickTop="1" thickBot="1">
      <c r="A14" s="110">
        <v>15</v>
      </c>
      <c r="B14" s="1154">
        <v>0</v>
      </c>
      <c r="C14" s="2"/>
      <c r="D14" s="2">
        <v>0</v>
      </c>
      <c r="E14" s="2">
        <v>0</v>
      </c>
      <c r="G14" s="2">
        <v>0</v>
      </c>
      <c r="H14" s="74"/>
      <c r="I14" s="2">
        <v>0</v>
      </c>
      <c r="J14" s="2">
        <v>0</v>
      </c>
      <c r="K14" s="2">
        <v>0</v>
      </c>
      <c r="L14" s="1">
        <v>0</v>
      </c>
      <c r="M14" s="1">
        <v>0</v>
      </c>
      <c r="W14" s="1">
        <v>15</v>
      </c>
      <c r="Y14" s="57">
        <f t="shared" si="0"/>
        <v>0</v>
      </c>
      <c r="AO14" s="437">
        <v>13</v>
      </c>
      <c r="AP14" s="1821">
        <v>45322.918159159461</v>
      </c>
      <c r="AQ14" s="1821">
        <v>92129.414273485934</v>
      </c>
      <c r="AR14" s="1146">
        <v>0</v>
      </c>
      <c r="AS14" s="57">
        <f t="shared" si="37"/>
        <v>0</v>
      </c>
      <c r="AT14" s="1">
        <f>AQ14/$AQ$57</f>
        <v>1.3975020289530454E-3</v>
      </c>
      <c r="AU14" s="1">
        <f t="shared" si="1"/>
        <v>0</v>
      </c>
      <c r="BE14" s="437">
        <v>13</v>
      </c>
      <c r="BF14" s="465">
        <v>125795.72692057746</v>
      </c>
      <c r="BG14" s="1147">
        <f>BF14*$BF$60</f>
        <v>328421.04883670446</v>
      </c>
      <c r="BH14" s="1146"/>
      <c r="BI14" s="57"/>
      <c r="BJ14" s="1">
        <f t="shared" ref="BJ14:BJ49" si="41">BG14/$BG$57</f>
        <v>1.3586586713031229E-3</v>
      </c>
      <c r="BV14" s="1820">
        <v>13</v>
      </c>
      <c r="BW14" s="1119"/>
      <c r="BY14" s="1">
        <f t="shared" si="2"/>
        <v>0</v>
      </c>
      <c r="CB14" s="1">
        <f t="shared" si="3"/>
        <v>0</v>
      </c>
      <c r="CL14" s="1820">
        <v>13</v>
      </c>
      <c r="CM14" s="1119"/>
      <c r="DB14" s="1820">
        <v>15</v>
      </c>
      <c r="DE14" s="883">
        <v>227713.43603870162</v>
      </c>
      <c r="DF14" s="1">
        <f t="shared" si="24"/>
        <v>3428477.6528261257</v>
      </c>
      <c r="DG14" s="1">
        <f t="shared" si="25"/>
        <v>3.1402417924706015E-3</v>
      </c>
      <c r="DP14" s="1820">
        <v>15</v>
      </c>
      <c r="DQ14" s="1">
        <v>5456730.3518331004</v>
      </c>
      <c r="DR14">
        <v>9</v>
      </c>
      <c r="DS14" s="57">
        <f t="shared" si="26"/>
        <v>925065.13297074416</v>
      </c>
      <c r="DT14" s="895">
        <v>3685520.6861911123</v>
      </c>
      <c r="DU14" s="57">
        <f t="shared" si="27"/>
        <v>4610585.8191618565</v>
      </c>
      <c r="DV14" s="1">
        <f t="shared" si="6"/>
        <v>5.830598815320337E-2</v>
      </c>
      <c r="DW14" s="1">
        <f t="shared" si="28"/>
        <v>6.3415509445424699E-3</v>
      </c>
      <c r="DY14" s="2">
        <f t="shared" si="29"/>
        <v>10067316.170994956</v>
      </c>
      <c r="EI14" s="1820">
        <v>15</v>
      </c>
      <c r="EJ14" s="2">
        <v>3361847.0733461068</v>
      </c>
      <c r="EK14" s="2">
        <f t="shared" si="34"/>
        <v>10994507.013755774</v>
      </c>
      <c r="EL14" s="1">
        <v>6</v>
      </c>
      <c r="EM14" s="2">
        <f t="shared" si="40"/>
        <v>641842.50137772283</v>
      </c>
      <c r="EN14" s="2">
        <v>969058.57458391285</v>
      </c>
      <c r="EO14" s="2">
        <f t="shared" si="7"/>
        <v>6820590.402762509</v>
      </c>
      <c r="EP14" s="2">
        <f t="shared" si="8"/>
        <v>7462432.9041402321</v>
      </c>
      <c r="EQ14" s="30">
        <f t="shared" si="9"/>
        <v>1.7540048833173245E-2</v>
      </c>
      <c r="ER14" s="30">
        <f t="shared" si="10"/>
        <v>1.04182419493495E-2</v>
      </c>
      <c r="ET14" s="2">
        <f t="shared" si="11"/>
        <v>17815097.416518282</v>
      </c>
      <c r="FF14" s="1820">
        <v>15</v>
      </c>
      <c r="FG14" s="2">
        <v>2297314.0911191865</v>
      </c>
      <c r="FH14" s="2">
        <f t="shared" si="35"/>
        <v>7821730.164904153</v>
      </c>
      <c r="FI14" s="1">
        <v>541</v>
      </c>
      <c r="FJ14" s="2">
        <f t="shared" si="4"/>
        <v>27305.697565725415</v>
      </c>
      <c r="FK14" s="2">
        <v>7723076.7269557873</v>
      </c>
      <c r="FL14" s="2">
        <f t="shared" si="5"/>
        <v>32507411.398493223</v>
      </c>
      <c r="FM14" s="2">
        <f t="shared" si="12"/>
        <v>32534717.09605895</v>
      </c>
      <c r="FN14" s="30">
        <f t="shared" si="13"/>
        <v>2.5798339588237896E-2</v>
      </c>
      <c r="FO14" s="30">
        <f t="shared" si="14"/>
        <v>4.8002997811392681E-2</v>
      </c>
      <c r="FQ14" s="2">
        <f t="shared" si="15"/>
        <v>40356447.260963105</v>
      </c>
      <c r="GB14" s="1820">
        <v>15</v>
      </c>
      <c r="GE14">
        <v>16</v>
      </c>
      <c r="GF14" s="2">
        <f t="shared" si="30"/>
        <v>190.08320863938593</v>
      </c>
      <c r="GG14" s="1444">
        <v>8554825.5576281473</v>
      </c>
      <c r="GH14" s="2">
        <f t="shared" si="16"/>
        <v>77357482.113235116</v>
      </c>
      <c r="GI14" s="2">
        <f t="shared" si="31"/>
        <v>77357672.196443751</v>
      </c>
      <c r="GJ14" s="2">
        <f t="shared" si="17"/>
        <v>0</v>
      </c>
      <c r="GK14" s="2">
        <f t="shared" si="18"/>
        <v>0.45415838773772343</v>
      </c>
      <c r="GL14" s="2"/>
      <c r="GM14" s="2">
        <f t="shared" si="19"/>
        <v>77357672.196443751</v>
      </c>
      <c r="HC14" s="1962">
        <v>15</v>
      </c>
      <c r="HD14" s="57">
        <v>6701512.4721621405</v>
      </c>
      <c r="HE14" s="2">
        <f t="shared" si="39"/>
        <v>57812401.797930397</v>
      </c>
      <c r="HF14" s="73"/>
      <c r="HG14" s="2">
        <f t="shared" si="32"/>
        <v>0</v>
      </c>
      <c r="HH14" s="2">
        <v>11</v>
      </c>
      <c r="HI14" s="2">
        <f t="shared" si="36"/>
        <v>2333321.3620639602</v>
      </c>
      <c r="HJ14" s="2">
        <f t="shared" si="33"/>
        <v>2333321.3620639602</v>
      </c>
      <c r="HK14" s="2">
        <f t="shared" si="21"/>
        <v>10.838874275658322</v>
      </c>
      <c r="HL14" s="2">
        <f t="shared" si="22"/>
        <v>0.14173431258858396</v>
      </c>
      <c r="HM14" s="2"/>
      <c r="HN14" s="2">
        <f t="shared" si="23"/>
        <v>60145723.159994356</v>
      </c>
    </row>
    <row r="15" spans="1:222" ht="14.4" thickTop="1" thickBot="1">
      <c r="A15" s="110">
        <v>16</v>
      </c>
      <c r="B15" s="1154">
        <v>0</v>
      </c>
      <c r="C15" s="2"/>
      <c r="D15" s="2">
        <v>0</v>
      </c>
      <c r="E15" s="2">
        <v>0</v>
      </c>
      <c r="F15">
        <v>2</v>
      </c>
      <c r="G15" s="2">
        <v>13940</v>
      </c>
      <c r="H15" s="74"/>
      <c r="I15" s="2">
        <v>0</v>
      </c>
      <c r="J15" s="2">
        <v>2</v>
      </c>
      <c r="K15" s="2">
        <v>0</v>
      </c>
      <c r="L15" s="1">
        <v>4.5077489199394955E-9</v>
      </c>
      <c r="M15" s="1">
        <v>0</v>
      </c>
      <c r="W15" s="1">
        <v>16</v>
      </c>
      <c r="Y15" s="57">
        <f t="shared" si="0"/>
        <v>0</v>
      </c>
      <c r="AO15" s="437">
        <v>14</v>
      </c>
      <c r="AP15" s="1821">
        <v>147950.22627264497</v>
      </c>
      <c r="AQ15" s="1821">
        <v>300743.38197426603</v>
      </c>
      <c r="AR15" s="1146">
        <v>87.632907089317513</v>
      </c>
      <c r="AS15" s="57">
        <f t="shared" si="37"/>
        <v>583.85030667773526</v>
      </c>
      <c r="AT15" s="1">
        <f t="shared" si="38"/>
        <v>4.5619467986153612E-3</v>
      </c>
      <c r="AU15" s="1">
        <f t="shared" si="1"/>
        <v>1.1194290997434675E-6</v>
      </c>
      <c r="BE15" s="437">
        <v>14</v>
      </c>
      <c r="BF15" s="465">
        <v>3480647.1967693148</v>
      </c>
      <c r="BG15" s="1147">
        <f t="shared" ref="BG15:BG45" si="42">BF15*$BF$60</f>
        <v>9087095.6508342605</v>
      </c>
      <c r="BH15" s="1146">
        <v>5742.1842007478026</v>
      </c>
      <c r="BI15" s="57">
        <f>BH15*$BH$60</f>
        <v>76364.420537498416</v>
      </c>
      <c r="BJ15" s="1">
        <f t="shared" si="41"/>
        <v>3.7592783247901988E-2</v>
      </c>
      <c r="BK15" s="1">
        <f>BI15/$BI$57</f>
        <v>1.3931915912788841E-4</v>
      </c>
      <c r="BV15" s="1820">
        <v>14</v>
      </c>
      <c r="BW15" s="1119"/>
      <c r="BY15" s="1">
        <f t="shared" si="2"/>
        <v>0</v>
      </c>
      <c r="BZ15" s="1">
        <v>142604.57882911511</v>
      </c>
      <c r="CA15" s="2">
        <f>BZ15*$BZ$55</f>
        <v>748219.96257802343</v>
      </c>
      <c r="CB15" s="1">
        <f t="shared" si="3"/>
        <v>1.0023603237119991E-3</v>
      </c>
      <c r="CL15" s="1820">
        <v>14</v>
      </c>
      <c r="CM15" s="1119"/>
      <c r="CQ15" s="2"/>
      <c r="DB15" s="1820">
        <v>16</v>
      </c>
      <c r="DE15" s="883">
        <v>526668.51455413841</v>
      </c>
      <c r="DF15" s="1">
        <f t="shared" si="24"/>
        <v>7929577.0333424993</v>
      </c>
      <c r="DG15" s="1">
        <f t="shared" si="25"/>
        <v>7.262928832623779E-3</v>
      </c>
      <c r="DP15" s="1820">
        <v>16</v>
      </c>
      <c r="DQ15" s="1">
        <v>4736184.9624443632</v>
      </c>
      <c r="DR15">
        <v>89</v>
      </c>
      <c r="DS15" s="57">
        <f t="shared" si="26"/>
        <v>9147866.3149329145</v>
      </c>
      <c r="DT15" s="895">
        <v>4070617.6963485721</v>
      </c>
      <c r="DU15" s="57">
        <f t="shared" si="27"/>
        <v>13218484.011281487</v>
      </c>
      <c r="DV15" s="1">
        <f t="shared" si="6"/>
        <v>5.0606851815372104E-2</v>
      </c>
      <c r="DW15" s="1">
        <f t="shared" si="28"/>
        <v>1.8181136422789772E-2</v>
      </c>
      <c r="DY15" s="2">
        <f t="shared" si="29"/>
        <v>17954668.973725848</v>
      </c>
      <c r="EI15" s="1820">
        <v>16</v>
      </c>
      <c r="EJ15" s="2">
        <v>12845649.876196878</v>
      </c>
      <c r="EK15" s="2">
        <f t="shared" si="34"/>
        <v>42010116.634938791</v>
      </c>
      <c r="EL15" s="1">
        <v>12</v>
      </c>
      <c r="EM15" s="2">
        <f t="shared" si="40"/>
        <v>1283685.0027554457</v>
      </c>
      <c r="EN15" s="2">
        <v>4360530.2594024148</v>
      </c>
      <c r="EO15" s="2">
        <f t="shared" si="7"/>
        <v>30691014.576704778</v>
      </c>
      <c r="EP15" s="2">
        <f t="shared" si="8"/>
        <v>31974699.579460222</v>
      </c>
      <c r="EQ15" s="30">
        <f t="shared" si="9"/>
        <v>6.7020694637986822E-2</v>
      </c>
      <c r="ER15" s="30">
        <f t="shared" si="10"/>
        <v>4.4639618306217786E-2</v>
      </c>
      <c r="ET15" s="2">
        <f t="shared" si="11"/>
        <v>72701131.211643577</v>
      </c>
      <c r="FF15" s="1820">
        <v>16</v>
      </c>
      <c r="FG15" s="2">
        <v>4267499.532751834</v>
      </c>
      <c r="FH15" s="2">
        <f t="shared" si="35"/>
        <v>14529676.178401005</v>
      </c>
      <c r="FI15" s="1">
        <v>223</v>
      </c>
      <c r="FJ15" s="2">
        <f t="shared" si="4"/>
        <v>11255.398442064266</v>
      </c>
      <c r="FK15" s="2">
        <v>6947582.1587088751</v>
      </c>
      <c r="FL15" s="2">
        <f t="shared" si="5"/>
        <v>29243256.210275114</v>
      </c>
      <c r="FM15" s="2">
        <f t="shared" si="12"/>
        <v>29254511.608717177</v>
      </c>
      <c r="FN15" s="30">
        <f t="shared" si="13"/>
        <v>4.7923095306895314E-2</v>
      </c>
      <c r="FO15" s="30">
        <f t="shared" si="14"/>
        <v>4.3163253965921862E-2</v>
      </c>
      <c r="FQ15" s="2">
        <f t="shared" si="15"/>
        <v>43784187.787118182</v>
      </c>
      <c r="GB15" s="1820">
        <v>16</v>
      </c>
      <c r="GE15">
        <v>15</v>
      </c>
      <c r="GF15" s="2">
        <f t="shared" si="30"/>
        <v>178.20300809942432</v>
      </c>
      <c r="GG15" s="1444">
        <v>8924892.1597233918</v>
      </c>
      <c r="GH15" s="2">
        <f t="shared" si="16"/>
        <v>80703829.780928016</v>
      </c>
      <c r="GI15" s="2">
        <f t="shared" si="31"/>
        <v>80704007.983936116</v>
      </c>
      <c r="GJ15" s="2">
        <f t="shared" si="17"/>
        <v>0</v>
      </c>
      <c r="GK15" s="2">
        <f t="shared" si="18"/>
        <v>0.42577348850411578</v>
      </c>
      <c r="GL15" s="2"/>
      <c r="GM15" s="2">
        <f t="shared" si="19"/>
        <v>80704007.983936116</v>
      </c>
      <c r="HC15" s="1962">
        <v>16</v>
      </c>
      <c r="HD15" s="57">
        <v>4620219.1182991294</v>
      </c>
      <c r="HE15" s="2">
        <f t="shared" si="39"/>
        <v>39857564.269429967</v>
      </c>
      <c r="HF15" s="73"/>
      <c r="HG15" s="2">
        <f t="shared" si="32"/>
        <v>0</v>
      </c>
      <c r="HH15" s="2">
        <v>22</v>
      </c>
      <c r="HI15" s="2">
        <f t="shared" si="36"/>
        <v>4666642.7241279203</v>
      </c>
      <c r="HJ15" s="2">
        <f t="shared" si="33"/>
        <v>4666642.7241279203</v>
      </c>
      <c r="HK15" s="2">
        <f t="shared" si="21"/>
        <v>7.4726376108765677</v>
      </c>
      <c r="HL15" s="2">
        <f t="shared" si="22"/>
        <v>0.28346862517716792</v>
      </c>
      <c r="HM15" s="2"/>
      <c r="HN15" s="2">
        <f t="shared" si="23"/>
        <v>44524206.993557885</v>
      </c>
    </row>
    <row r="16" spans="1:222" ht="14.4" thickTop="1" thickBot="1">
      <c r="A16" s="110">
        <v>17</v>
      </c>
      <c r="B16" s="1154">
        <v>0</v>
      </c>
      <c r="C16" s="2"/>
      <c r="D16" s="2">
        <v>0</v>
      </c>
      <c r="E16" s="2">
        <v>0</v>
      </c>
      <c r="F16">
        <v>5</v>
      </c>
      <c r="G16" s="2">
        <v>34850</v>
      </c>
      <c r="H16" s="129">
        <v>25044.28695950572</v>
      </c>
      <c r="I16" s="2">
        <v>33771.606343076659</v>
      </c>
      <c r="J16" s="2">
        <v>5</v>
      </c>
      <c r="K16" s="2">
        <v>33771.606343076659</v>
      </c>
      <c r="L16" s="1">
        <v>1.126937229984874E-8</v>
      </c>
      <c r="M16" s="1">
        <v>1.2883915161279182E-4</v>
      </c>
      <c r="W16" s="391">
        <v>17</v>
      </c>
      <c r="X16" s="123">
        <v>3456.585031232079</v>
      </c>
      <c r="Y16" s="57">
        <f t="shared" si="0"/>
        <v>9245.0765801947655</v>
      </c>
      <c r="Z16"/>
      <c r="AC16" s="30">
        <f>(Y16/$Y$47)*100</f>
        <v>8.5267033118151241E-3</v>
      </c>
      <c r="AD16" s="30">
        <f>(AB16/$AB$47)*100</f>
        <v>0</v>
      </c>
      <c r="AO16" s="437">
        <v>15</v>
      </c>
      <c r="AP16" s="1821">
        <v>150731.70251861028</v>
      </c>
      <c r="AQ16" s="1821">
        <v>306397.38193200284</v>
      </c>
      <c r="AR16" s="1146">
        <v>0</v>
      </c>
      <c r="AS16" s="57">
        <f t="shared" si="37"/>
        <v>0</v>
      </c>
      <c r="AT16" s="1">
        <f t="shared" si="38"/>
        <v>4.647711768195892E-3</v>
      </c>
      <c r="AU16" s="1">
        <f t="shared" si="1"/>
        <v>0</v>
      </c>
      <c r="BE16" s="437">
        <v>15</v>
      </c>
      <c r="BF16" s="465">
        <v>10591756.370129999</v>
      </c>
      <c r="BG16" s="1147">
        <f t="shared" si="42"/>
        <v>27652415.715973921</v>
      </c>
      <c r="BH16" s="1146">
        <v>0</v>
      </c>
      <c r="BI16" s="57">
        <f t="shared" ref="BI16:BI49" si="43">BH16*$BH$60</f>
        <v>0</v>
      </c>
      <c r="BJ16" s="1">
        <f t="shared" si="41"/>
        <v>0.11439642656298546</v>
      </c>
      <c r="BK16" s="1">
        <f t="shared" ref="BK16:BK56" si="44">BI16/$BI$57</f>
        <v>0</v>
      </c>
      <c r="BV16" s="1820">
        <v>15</v>
      </c>
      <c r="BW16" s="1822">
        <v>4112.0686776730799</v>
      </c>
      <c r="BX16" s="57">
        <f>BW16*$BW$55</f>
        <v>4750.50279688721</v>
      </c>
      <c r="BY16" s="1">
        <f t="shared" si="2"/>
        <v>9.1143052240639336E-5</v>
      </c>
      <c r="BZ16" s="1">
        <v>2124440.4562495556</v>
      </c>
      <c r="CA16" s="2">
        <f t="shared" ref="CA16:CA53" si="45">BZ16*$BZ$55</f>
        <v>11146547.829849547</v>
      </c>
      <c r="CB16" s="1">
        <f t="shared" si="3"/>
        <v>1.49325837986235E-2</v>
      </c>
      <c r="CL16" s="1820">
        <v>15</v>
      </c>
      <c r="CM16" s="1822"/>
      <c r="CO16" s="57"/>
      <c r="CQ16" s="2"/>
      <c r="DB16" s="1823">
        <v>17</v>
      </c>
      <c r="DE16" s="883">
        <v>1597300.6642015309</v>
      </c>
      <c r="DF16" s="1">
        <f t="shared" si="24"/>
        <v>24049128.269833561</v>
      </c>
      <c r="DG16" s="1">
        <f t="shared" si="25"/>
        <v>2.2027291793244055E-2</v>
      </c>
      <c r="DP16" s="1823">
        <v>17</v>
      </c>
      <c r="DQ16" s="1">
        <v>4494267.7555968156</v>
      </c>
      <c r="DR16">
        <v>278</v>
      </c>
      <c r="DS16" s="57">
        <f t="shared" si="26"/>
        <v>28574234.107318539</v>
      </c>
      <c r="DT16" s="895">
        <v>4157247.9877815926</v>
      </c>
      <c r="DU16" s="57">
        <f t="shared" si="27"/>
        <v>32731482.095100131</v>
      </c>
      <c r="DV16" s="1">
        <f t="shared" si="6"/>
        <v>4.8021929913968135E-2</v>
      </c>
      <c r="DW16" s="1">
        <f t="shared" si="28"/>
        <v>4.5019953935959998E-2</v>
      </c>
      <c r="DY16" s="2">
        <f t="shared" si="29"/>
        <v>37225749.850696944</v>
      </c>
      <c r="EI16" s="1823">
        <v>17</v>
      </c>
      <c r="EJ16" s="2">
        <v>27506774.890737344</v>
      </c>
      <c r="EK16" s="2">
        <f t="shared" si="34"/>
        <v>89957521.226866961</v>
      </c>
      <c r="EL16" s="1">
        <v>5</v>
      </c>
      <c r="EM16" s="2">
        <f t="shared" si="40"/>
        <v>534868.75114810234</v>
      </c>
      <c r="EN16" s="2">
        <v>7993702.5529544689</v>
      </c>
      <c r="EO16" s="2">
        <f t="shared" si="7"/>
        <v>56262616.466326162</v>
      </c>
      <c r="EP16" s="2">
        <f t="shared" si="8"/>
        <v>56797485.217474267</v>
      </c>
      <c r="EQ16" s="30">
        <f t="shared" si="9"/>
        <v>0.14351342113441987</v>
      </c>
      <c r="ER16" s="30">
        <f t="shared" si="10"/>
        <v>7.9294507664109226E-2</v>
      </c>
      <c r="ET16" s="2">
        <f t="shared" si="11"/>
        <v>146220137.69319314</v>
      </c>
      <c r="FF16" s="1823">
        <v>17</v>
      </c>
      <c r="FG16" s="2">
        <v>4674947.6797949718</v>
      </c>
      <c r="FH16" s="2">
        <f t="shared" si="35"/>
        <v>15916926.391456991</v>
      </c>
      <c r="FI16" s="1">
        <v>86</v>
      </c>
      <c r="FJ16" s="2">
        <f t="shared" si="4"/>
        <v>4340.646932814022</v>
      </c>
      <c r="FK16" s="2">
        <v>8253748.5671651363</v>
      </c>
      <c r="FL16" s="2">
        <f t="shared" si="5"/>
        <v>34741076.612134121</v>
      </c>
      <c r="FM16" s="2">
        <f t="shared" si="12"/>
        <v>34745417.259066932</v>
      </c>
      <c r="FN16" s="30">
        <f t="shared" si="13"/>
        <v>5.249864973484742E-2</v>
      </c>
      <c r="FO16" s="30">
        <f t="shared" si="14"/>
        <v>5.1264751548890902E-2</v>
      </c>
      <c r="FQ16" s="2">
        <f t="shared" si="15"/>
        <v>50662343.650523923</v>
      </c>
      <c r="GB16" s="1823">
        <v>17</v>
      </c>
      <c r="GC16" s="2">
        <v>664923.01767340326</v>
      </c>
      <c r="GD16" s="2">
        <f>GC16*$GC$59</f>
        <v>2555674.8546618945</v>
      </c>
      <c r="GE16">
        <v>47</v>
      </c>
      <c r="GF16" s="2">
        <f t="shared" si="30"/>
        <v>558.36942537819618</v>
      </c>
      <c r="GG16" s="1444">
        <v>10948328.371228479</v>
      </c>
      <c r="GH16" s="2">
        <f t="shared" si="16"/>
        <v>99000863.36558184</v>
      </c>
      <c r="GI16" s="2">
        <f t="shared" si="31"/>
        <v>99001421.735007212</v>
      </c>
      <c r="GJ16" s="2">
        <f t="shared" si="17"/>
        <v>0.47914699230041807</v>
      </c>
      <c r="GK16" s="2">
        <f t="shared" si="18"/>
        <v>1.3340902639795624</v>
      </c>
      <c r="GL16" s="2"/>
      <c r="GM16" s="2">
        <f t="shared" si="19"/>
        <v>101557096.58966911</v>
      </c>
      <c r="HC16" s="1963">
        <v>17</v>
      </c>
      <c r="HD16" s="57">
        <v>4604883.3698512586</v>
      </c>
      <c r="HE16" s="2">
        <f t="shared" si="39"/>
        <v>39725266.306123443</v>
      </c>
      <c r="HF16" s="73"/>
      <c r="HG16" s="2">
        <f t="shared" si="32"/>
        <v>0</v>
      </c>
      <c r="HH16" s="2">
        <v>24</v>
      </c>
      <c r="HI16" s="2">
        <f t="shared" si="36"/>
        <v>5090882.9717759136</v>
      </c>
      <c r="HJ16" s="2">
        <f t="shared" si="33"/>
        <v>5090882.9717759136</v>
      </c>
      <c r="HK16" s="2">
        <f t="shared" si="21"/>
        <v>7.447833919166662</v>
      </c>
      <c r="HL16" s="2">
        <f t="shared" si="22"/>
        <v>0.30923850019327415</v>
      </c>
      <c r="HM16" s="2"/>
      <c r="HN16" s="2">
        <f t="shared" si="23"/>
        <v>44816149.277899355</v>
      </c>
    </row>
    <row r="17" spans="1:222" ht="14.4" thickTop="1" thickBot="1">
      <c r="A17" s="110">
        <v>18</v>
      </c>
      <c r="B17" s="1154">
        <v>0</v>
      </c>
      <c r="C17" s="2"/>
      <c r="D17" s="2">
        <v>0</v>
      </c>
      <c r="E17" s="2">
        <v>0</v>
      </c>
      <c r="F17">
        <v>14</v>
      </c>
      <c r="G17" s="2">
        <v>97580</v>
      </c>
      <c r="H17" s="129">
        <v>415931.85294622718</v>
      </c>
      <c r="I17" s="2">
        <v>560873.89614879515</v>
      </c>
      <c r="J17" s="2">
        <v>14</v>
      </c>
      <c r="K17" s="2">
        <v>560873.89614879515</v>
      </c>
      <c r="L17" s="1">
        <v>3.1554242439576473E-8</v>
      </c>
      <c r="M17" s="1">
        <v>2.1397417761973305E-3</v>
      </c>
      <c r="W17" s="391">
        <v>18</v>
      </c>
      <c r="X17" s="123">
        <v>12697.28013554568</v>
      </c>
      <c r="Y17" s="57">
        <f t="shared" si="0"/>
        <v>33960.491685478242</v>
      </c>
      <c r="Z17"/>
      <c r="AC17" s="30">
        <f t="shared" ref="AC17:AC47" si="46">(Y17/$Y$47)*100</f>
        <v>3.1321648275555655E-2</v>
      </c>
      <c r="AD17" s="30">
        <f t="shared" ref="AD17:AD47" si="47">(AB17/$AB$47)*100</f>
        <v>0</v>
      </c>
      <c r="AO17" s="437">
        <v>16</v>
      </c>
      <c r="AP17" s="1821">
        <v>84603.983134142443</v>
      </c>
      <c r="AQ17" s="1821">
        <v>171977.35114893978</v>
      </c>
      <c r="AR17" s="1146">
        <v>4695.6823572303556</v>
      </c>
      <c r="AS17" s="57">
        <f t="shared" si="37"/>
        <v>31284.772757063689</v>
      </c>
      <c r="AT17" s="1">
        <f t="shared" si="38"/>
        <v>2.6087075345032464E-3</v>
      </c>
      <c r="AU17" s="1">
        <f t="shared" si="1"/>
        <v>5.9982986396629852E-5</v>
      </c>
      <c r="BE17" s="437">
        <v>16</v>
      </c>
      <c r="BF17" s="465">
        <v>10222384.806178512</v>
      </c>
      <c r="BG17" s="1147">
        <f t="shared" si="42"/>
        <v>26688079.331797764</v>
      </c>
      <c r="BH17" s="1146">
        <v>27949.85249687565</v>
      </c>
      <c r="BI17" s="57">
        <f t="shared" si="43"/>
        <v>371700.77019725408</v>
      </c>
      <c r="BJ17" s="1">
        <f t="shared" si="41"/>
        <v>0.1104070233409481</v>
      </c>
      <c r="BK17" s="1">
        <f t="shared" si="44"/>
        <v>6.7813044853317652E-4</v>
      </c>
      <c r="BV17" s="1820">
        <v>16</v>
      </c>
      <c r="BW17" s="1822">
        <v>38334.38392501713</v>
      </c>
      <c r="BX17" s="57">
        <f t="shared" ref="BX17:BX53" si="48">BW17*$BW$55</f>
        <v>44286.12757406383</v>
      </c>
      <c r="BY17" s="1">
        <f t="shared" si="2"/>
        <v>8.4967276341009013E-4</v>
      </c>
      <c r="BZ17" s="1">
        <v>3294025.517744909</v>
      </c>
      <c r="CA17" s="2">
        <f t="shared" si="45"/>
        <v>17283145.252801307</v>
      </c>
      <c r="CB17" s="1">
        <f t="shared" si="3"/>
        <v>2.315353764509177E-2</v>
      </c>
      <c r="CL17" s="1820">
        <v>16</v>
      </c>
      <c r="CM17" s="1822"/>
      <c r="CO17" s="57"/>
      <c r="CQ17" s="2"/>
      <c r="DB17" s="1823">
        <v>18</v>
      </c>
      <c r="DE17" s="883">
        <v>3120456.7173411334</v>
      </c>
      <c r="DF17" s="1">
        <f t="shared" si="24"/>
        <v>46981927.408960484</v>
      </c>
      <c r="DG17" s="1">
        <f t="shared" si="25"/>
        <v>4.3032105464891571E-2</v>
      </c>
      <c r="DP17" s="1823">
        <v>18</v>
      </c>
      <c r="DQ17" s="1">
        <v>7571865.3104310678</v>
      </c>
      <c r="DR17">
        <v>342</v>
      </c>
      <c r="DS17" s="57">
        <f t="shared" si="26"/>
        <v>35152475.052888274</v>
      </c>
      <c r="DT17" s="895">
        <v>3561664.3732801131</v>
      </c>
      <c r="DU17" s="57">
        <f t="shared" si="27"/>
        <v>38714139.42616839</v>
      </c>
      <c r="DV17" s="1">
        <f t="shared" si="6"/>
        <v>8.0906524717560144E-2</v>
      </c>
      <c r="DW17" s="1">
        <f t="shared" si="28"/>
        <v>5.3248697036464031E-2</v>
      </c>
      <c r="DY17" s="2">
        <f t="shared" si="29"/>
        <v>46286004.73659946</v>
      </c>
      <c r="EI17" s="1823">
        <v>18</v>
      </c>
      <c r="EJ17" s="2">
        <v>46244478.572940499</v>
      </c>
      <c r="EK17" s="2">
        <f t="shared" si="34"/>
        <v>151236874.5291017</v>
      </c>
      <c r="EL17" s="1">
        <v>7</v>
      </c>
      <c r="EM17" s="2">
        <f t="shared" si="40"/>
        <v>748816.25160734332</v>
      </c>
      <c r="EN17" s="2">
        <v>7079253.8633321822</v>
      </c>
      <c r="EO17" s="2">
        <f t="shared" si="7"/>
        <v>49826390.504511058</v>
      </c>
      <c r="EP17" s="2">
        <f t="shared" si="8"/>
        <v>50575206.756118402</v>
      </c>
      <c r="EQ17" s="30">
        <f t="shared" si="9"/>
        <v>0.24127522601040785</v>
      </c>
      <c r="ER17" s="30">
        <f t="shared" si="10"/>
        <v>7.060763525676525E-2</v>
      </c>
      <c r="ET17" s="2">
        <f t="shared" si="11"/>
        <v>201063265.03361276</v>
      </c>
      <c r="FF17" s="1823">
        <v>18</v>
      </c>
      <c r="FG17" s="2">
        <v>6536523.1394899301</v>
      </c>
      <c r="FH17" s="2">
        <f t="shared" si="35"/>
        <v>22255084.932176076</v>
      </c>
      <c r="FI17" s="1">
        <v>64</v>
      </c>
      <c r="FJ17" s="2">
        <f t="shared" si="4"/>
        <v>3230.2488802336907</v>
      </c>
      <c r="FK17" s="2">
        <v>7228360.5147754885</v>
      </c>
      <c r="FL17" s="2">
        <f t="shared" si="5"/>
        <v>30425087.992496416</v>
      </c>
      <c r="FM17" s="2">
        <f t="shared" si="12"/>
        <v>30428318.24137665</v>
      </c>
      <c r="FN17" s="30">
        <f t="shared" si="13"/>
        <v>7.3403738883951936E-2</v>
      </c>
      <c r="FO17" s="30">
        <f t="shared" si="14"/>
        <v>4.4895134315524665E-2</v>
      </c>
      <c r="FQ17" s="2">
        <f t="shared" si="15"/>
        <v>52683403.173552722</v>
      </c>
      <c r="GB17" s="1823">
        <v>18</v>
      </c>
      <c r="GC17" s="2">
        <v>736657.4511153471</v>
      </c>
      <c r="GD17" s="2">
        <f t="shared" ref="GD17:GD38" si="49">GC17*$GC$59</f>
        <v>2831390.814085999</v>
      </c>
      <c r="GE17">
        <v>62</v>
      </c>
      <c r="GF17" s="2">
        <f t="shared" si="30"/>
        <v>736.57243347762051</v>
      </c>
      <c r="GG17" s="1444">
        <v>15881922.19132187</v>
      </c>
      <c r="GH17" s="2">
        <f t="shared" si="16"/>
        <v>143613157.69244075</v>
      </c>
      <c r="GI17" s="2">
        <f t="shared" si="31"/>
        <v>143613894.26487422</v>
      </c>
      <c r="GJ17" s="2">
        <f t="shared" si="17"/>
        <v>0.5308391989386374</v>
      </c>
      <c r="GK17" s="2">
        <f t="shared" si="18"/>
        <v>1.7598637524836782</v>
      </c>
      <c r="GL17" s="2"/>
      <c r="GM17" s="2">
        <f t="shared" si="19"/>
        <v>146445285.07896021</v>
      </c>
      <c r="HC17" s="1963">
        <v>18</v>
      </c>
      <c r="HD17" s="57">
        <v>5698499.4902108917</v>
      </c>
      <c r="HE17" s="2">
        <f t="shared" si="39"/>
        <v>49159640.236718617</v>
      </c>
      <c r="HF17" s="73"/>
      <c r="HG17" s="2">
        <f t="shared" si="32"/>
        <v>0</v>
      </c>
      <c r="HH17" s="2">
        <v>58</v>
      </c>
      <c r="HI17" s="2">
        <f t="shared" si="36"/>
        <v>12302967.181791792</v>
      </c>
      <c r="HJ17" s="2">
        <f t="shared" si="33"/>
        <v>12302967.181791792</v>
      </c>
      <c r="HK17" s="2">
        <f t="shared" si="21"/>
        <v>9.2166238279597295</v>
      </c>
      <c r="HL17" s="2">
        <f t="shared" si="22"/>
        <v>0.74732637546707914</v>
      </c>
      <c r="HM17" s="2"/>
      <c r="HN17" s="2">
        <f t="shared" si="23"/>
        <v>61462607.418510407</v>
      </c>
    </row>
    <row r="18" spans="1:222" ht="14.4" thickTop="1" thickBot="1">
      <c r="A18" s="110">
        <v>19</v>
      </c>
      <c r="B18" s="1154">
        <v>0</v>
      </c>
      <c r="C18" s="2"/>
      <c r="D18" s="2">
        <v>0</v>
      </c>
      <c r="E18" s="2">
        <v>0</v>
      </c>
      <c r="F18">
        <v>47</v>
      </c>
      <c r="G18" s="2">
        <v>327590</v>
      </c>
      <c r="H18" s="129">
        <v>3828752.0707327696</v>
      </c>
      <c r="I18" s="2">
        <v>5162978.2044542851</v>
      </c>
      <c r="J18" s="2">
        <v>47</v>
      </c>
      <c r="K18" s="2">
        <v>5162978.2044542851</v>
      </c>
      <c r="L18" s="1">
        <v>1.0593209961857816E-7</v>
      </c>
      <c r="M18" s="1">
        <v>1.969683422516836E-2</v>
      </c>
      <c r="W18" s="391">
        <v>19</v>
      </c>
      <c r="X18" s="123">
        <v>23659.271311019438</v>
      </c>
      <c r="Y18" s="57">
        <f t="shared" si="0"/>
        <v>63279.732199735321</v>
      </c>
      <c r="Z18" s="392">
        <v>19341.902507627121</v>
      </c>
      <c r="AA18" s="2">
        <v>131283.41646203201</v>
      </c>
      <c r="AB18" s="2">
        <f>AA18*$AA$50</f>
        <v>160788.66743237627</v>
      </c>
      <c r="AC18" s="30">
        <f t="shared" si="46"/>
        <v>5.8362686067321937E-2</v>
      </c>
      <c r="AD18" s="30">
        <f t="shared" si="47"/>
        <v>2.8042234566777659E-2</v>
      </c>
      <c r="AO18" s="438">
        <v>17</v>
      </c>
      <c r="AP18" s="1821">
        <v>11173.769968876009</v>
      </c>
      <c r="AQ18" s="1821">
        <v>22713.296589689522</v>
      </c>
      <c r="AR18" s="1146">
        <v>56161.193382473386</v>
      </c>
      <c r="AS18" s="57">
        <f t="shared" si="37"/>
        <v>374171.42793545144</v>
      </c>
      <c r="AT18" s="1">
        <f t="shared" si="38"/>
        <v>3.4453576329138174E-4</v>
      </c>
      <c r="AU18" s="1">
        <f t="shared" si="1"/>
        <v>7.1740715031379633E-4</v>
      </c>
      <c r="BE18" s="438">
        <v>17</v>
      </c>
      <c r="BF18" s="465">
        <v>5392012.1818322493</v>
      </c>
      <c r="BG18" s="1147">
        <f t="shared" si="42"/>
        <v>14077189.579067981</v>
      </c>
      <c r="BH18" s="1146">
        <v>392566.98734231089</v>
      </c>
      <c r="BI18" s="57">
        <f t="shared" si="43"/>
        <v>5220687.7143793125</v>
      </c>
      <c r="BJ18" s="1">
        <f t="shared" si="41"/>
        <v>5.8236509982916573E-2</v>
      </c>
      <c r="BK18" s="1">
        <f t="shared" si="44"/>
        <v>9.5246165336835813E-3</v>
      </c>
      <c r="BV18" s="1823">
        <v>17</v>
      </c>
      <c r="BW18" s="1822">
        <v>81991.234928906808</v>
      </c>
      <c r="BX18" s="57">
        <f t="shared" si="48"/>
        <v>94721.081134864828</v>
      </c>
      <c r="BY18" s="1">
        <f t="shared" si="2"/>
        <v>1.8173167799883725E-3</v>
      </c>
      <c r="BZ18" s="1">
        <v>4347322.9755901275</v>
      </c>
      <c r="CA18" s="2">
        <f t="shared" si="45"/>
        <v>22809603.035316583</v>
      </c>
      <c r="CB18" s="1">
        <f t="shared" si="3"/>
        <v>3.0557111846421712E-2</v>
      </c>
      <c r="CL18" s="1823">
        <v>17</v>
      </c>
      <c r="CM18" s="1822"/>
      <c r="CO18" s="57"/>
      <c r="CQ18" s="2"/>
      <c r="DB18" s="1823">
        <v>19</v>
      </c>
      <c r="DE18" s="883">
        <v>5440788.3278888529</v>
      </c>
      <c r="DF18" s="1">
        <f t="shared" si="24"/>
        <v>81917086.318761751</v>
      </c>
      <c r="DG18" s="1">
        <f t="shared" si="25"/>
        <v>7.5030227414068909E-2</v>
      </c>
      <c r="DP18" s="1823">
        <v>19</v>
      </c>
      <c r="DQ18" s="1">
        <v>11079449.138899844</v>
      </c>
      <c r="DR18">
        <v>294</v>
      </c>
      <c r="DS18" s="57">
        <f t="shared" si="26"/>
        <v>30218794.343710974</v>
      </c>
      <c r="DT18" s="895">
        <v>2009913.2526912957</v>
      </c>
      <c r="DU18" s="57">
        <f t="shared" si="27"/>
        <v>32228707.596402269</v>
      </c>
      <c r="DV18" s="1">
        <f t="shared" si="6"/>
        <v>0.11838558781261767</v>
      </c>
      <c r="DW18" s="1">
        <f t="shared" si="28"/>
        <v>4.4328421401448173E-2</v>
      </c>
      <c r="DY18" s="2">
        <f t="shared" si="29"/>
        <v>43308156.735302113</v>
      </c>
      <c r="EI18" s="1823">
        <v>19</v>
      </c>
      <c r="EJ18" s="2">
        <v>40568347.551142491</v>
      </c>
      <c r="EK18" s="2">
        <f t="shared" si="34"/>
        <v>132673786.74770515</v>
      </c>
      <c r="EL18" s="1">
        <v>7</v>
      </c>
      <c r="EM18" s="2">
        <f t="shared" si="40"/>
        <v>748816.25160734332</v>
      </c>
      <c r="EN18" s="2">
        <v>6307421.1381173646</v>
      </c>
      <c r="EO18" s="2">
        <f t="shared" si="7"/>
        <v>44393948.115361787</v>
      </c>
      <c r="EP18" s="2">
        <f t="shared" si="8"/>
        <v>45142764.366969131</v>
      </c>
      <c r="EQ18" s="30">
        <f t="shared" si="9"/>
        <v>0.21166066796130151</v>
      </c>
      <c r="ER18" s="30">
        <f t="shared" si="10"/>
        <v>6.3023446572849709E-2</v>
      </c>
      <c r="ET18" s="2">
        <f t="shared" si="11"/>
        <v>177067734.86306694</v>
      </c>
      <c r="FF18" s="1823">
        <v>19</v>
      </c>
      <c r="FG18" s="2">
        <v>8569525.6714283265</v>
      </c>
      <c r="FH18" s="2">
        <f t="shared" si="35"/>
        <v>29176906.067065936</v>
      </c>
      <c r="FI18" s="1">
        <v>134</v>
      </c>
      <c r="FJ18" s="2">
        <f t="shared" si="4"/>
        <v>6763.3335929892901</v>
      </c>
      <c r="FK18" s="2">
        <v>8621497.8797445558</v>
      </c>
      <c r="FL18" s="2">
        <f t="shared" si="5"/>
        <v>36288980.202656187</v>
      </c>
      <c r="FM18" s="2">
        <f t="shared" si="12"/>
        <v>36295743.536249176</v>
      </c>
      <c r="FN18" s="30">
        <f t="shared" si="13"/>
        <v>9.6233916919008067E-2</v>
      </c>
      <c r="FO18" s="30">
        <f t="shared" si="14"/>
        <v>5.3552163751394384E-2</v>
      </c>
      <c r="FQ18" s="2">
        <f t="shared" si="15"/>
        <v>65472649.603315115</v>
      </c>
      <c r="GB18" s="1823">
        <v>19</v>
      </c>
      <c r="GC18" s="2">
        <v>1262400.2030584593</v>
      </c>
      <c r="GD18" s="2">
        <f t="shared" si="49"/>
        <v>4852117.2672973406</v>
      </c>
      <c r="GE18">
        <v>116</v>
      </c>
      <c r="GF18" s="2">
        <f t="shared" si="30"/>
        <v>1378.1032626355479</v>
      </c>
      <c r="GG18" s="1444">
        <v>23778143.986495316</v>
      </c>
      <c r="GH18" s="2">
        <f t="shared" si="16"/>
        <v>215015178.94553363</v>
      </c>
      <c r="GI18" s="2">
        <f t="shared" si="31"/>
        <v>215016557.04879627</v>
      </c>
      <c r="GJ18" s="2">
        <f t="shared" si="17"/>
        <v>0.90969216630728889</v>
      </c>
      <c r="GK18" s="2">
        <f t="shared" si="18"/>
        <v>3.2926483110984943</v>
      </c>
      <c r="GL18" s="2"/>
      <c r="GM18" s="2">
        <f t="shared" si="19"/>
        <v>219868674.31609359</v>
      </c>
      <c r="HC18" s="1963">
        <v>19</v>
      </c>
      <c r="HD18" s="57">
        <v>5297911.8950494751</v>
      </c>
      <c r="HE18" s="2">
        <f t="shared" si="39"/>
        <v>45703863.484389961</v>
      </c>
      <c r="HF18" s="73"/>
      <c r="HG18" s="2">
        <f t="shared" si="32"/>
        <v>0</v>
      </c>
      <c r="HH18" s="2">
        <v>67</v>
      </c>
      <c r="HI18" s="2">
        <f t="shared" si="36"/>
        <v>14212048.29620776</v>
      </c>
      <c r="HJ18" s="2">
        <f t="shared" si="33"/>
        <v>14212048.29620776</v>
      </c>
      <c r="HK18" s="2">
        <f t="shared" si="21"/>
        <v>8.5687225372616851</v>
      </c>
      <c r="HL18" s="2">
        <f t="shared" si="22"/>
        <v>0.8632908130395569</v>
      </c>
      <c r="HM18" s="2"/>
      <c r="HN18" s="2">
        <f t="shared" si="23"/>
        <v>59915911.780597717</v>
      </c>
    </row>
    <row r="19" spans="1:222" ht="14.4" thickTop="1" thickBot="1">
      <c r="A19" s="110">
        <v>20</v>
      </c>
      <c r="B19" s="1154">
        <v>3</v>
      </c>
      <c r="C19" s="2"/>
      <c r="D19" s="2">
        <v>3</v>
      </c>
      <c r="E19" s="2">
        <v>233147.22222222225</v>
      </c>
      <c r="F19">
        <v>61</v>
      </c>
      <c r="G19" s="2">
        <v>425170</v>
      </c>
      <c r="H19" s="129">
        <v>15126696.965408161</v>
      </c>
      <c r="I19" s="2">
        <v>20397979.6275605</v>
      </c>
      <c r="J19" s="2">
        <v>233208.22222222225</v>
      </c>
      <c r="K19" s="2">
        <v>20397979.6275605</v>
      </c>
      <c r="L19" s="1">
        <v>5.2562205592161608E-4</v>
      </c>
      <c r="M19" s="1">
        <v>7.7818578220182011E-2</v>
      </c>
      <c r="W19" s="391">
        <v>20</v>
      </c>
      <c r="X19" s="123">
        <v>88990.81969402617</v>
      </c>
      <c r="Y19" s="57">
        <f t="shared" si="0"/>
        <v>238017.27299395273</v>
      </c>
      <c r="Z19" s="392">
        <v>261163.7314150586</v>
      </c>
      <c r="AA19" s="2">
        <v>1772652.245694092</v>
      </c>
      <c r="AB19" s="2">
        <f t="shared" ref="AB19:AB48" si="50">AA19*$AA$50</f>
        <v>2171046.4283094932</v>
      </c>
      <c r="AC19" s="30">
        <f t="shared" si="46"/>
        <v>0.21952253746112138</v>
      </c>
      <c r="AD19" s="30">
        <f t="shared" si="47"/>
        <v>0.37863982686232955</v>
      </c>
      <c r="AO19" s="438">
        <v>18</v>
      </c>
      <c r="AP19" s="1821">
        <v>236.93240182319082</v>
      </c>
      <c r="AQ19" s="1821">
        <v>481.62043153810907</v>
      </c>
      <c r="AR19" s="1146">
        <v>111708.50642153565</v>
      </c>
      <c r="AS19" s="57">
        <f t="shared" si="37"/>
        <v>744252.90566077572</v>
      </c>
      <c r="AT19" s="1">
        <f t="shared" si="38"/>
        <v>7.3056529835493733E-6</v>
      </c>
      <c r="AU19" s="1">
        <f t="shared" si="1"/>
        <v>1.4269725486761881E-3</v>
      </c>
      <c r="BE19" s="438">
        <v>18</v>
      </c>
      <c r="BF19" s="465">
        <v>2837574.0427990719</v>
      </c>
      <c r="BG19" s="1147">
        <f t="shared" si="42"/>
        <v>7408193.1564834183</v>
      </c>
      <c r="BH19" s="1146">
        <v>1882534.6448196555</v>
      </c>
      <c r="BI19" s="57">
        <f t="shared" si="43"/>
        <v>25035537.396152623</v>
      </c>
      <c r="BJ19" s="1">
        <f t="shared" si="41"/>
        <v>3.0647261819534626E-2</v>
      </c>
      <c r="BK19" s="1">
        <f t="shared" si="44"/>
        <v>4.5674805017790393E-2</v>
      </c>
      <c r="BV19" s="1823">
        <v>18</v>
      </c>
      <c r="BW19" s="1822">
        <v>96099.065612304519</v>
      </c>
      <c r="BX19" s="57">
        <f t="shared" si="48"/>
        <v>111019.2741790084</v>
      </c>
      <c r="BY19" s="1">
        <f t="shared" si="2"/>
        <v>2.13001358779233E-3</v>
      </c>
      <c r="BZ19" s="1">
        <v>3043001.7473057015</v>
      </c>
      <c r="CA19" s="2">
        <f t="shared" si="45"/>
        <v>15966069.758687707</v>
      </c>
      <c r="CB19" s="1">
        <f t="shared" si="3"/>
        <v>2.1389104343841558E-2</v>
      </c>
      <c r="CL19" s="1823">
        <v>18</v>
      </c>
      <c r="CM19" s="1822"/>
      <c r="CO19" s="57"/>
      <c r="CQ19" s="2"/>
      <c r="DB19" s="1823">
        <v>20</v>
      </c>
      <c r="DE19" s="883">
        <v>7782140.9917487493</v>
      </c>
      <c r="DF19" s="1">
        <f t="shared" si="24"/>
        <v>117168740.43751247</v>
      </c>
      <c r="DG19" s="1">
        <f t="shared" si="25"/>
        <v>0.10731823647434949</v>
      </c>
      <c r="DP19" s="1823">
        <v>20</v>
      </c>
      <c r="DQ19" s="1">
        <v>10112333.447260583</v>
      </c>
      <c r="DR19">
        <v>215</v>
      </c>
      <c r="DS19" s="57">
        <f t="shared" si="26"/>
        <v>22098778.176523332</v>
      </c>
      <c r="DT19" s="895">
        <v>711814.45610672201</v>
      </c>
      <c r="DU19" s="57">
        <f t="shared" si="27"/>
        <v>22810592.632630054</v>
      </c>
      <c r="DV19" s="1">
        <f t="shared" si="6"/>
        <v>0.10805181054606225</v>
      </c>
      <c r="DW19" s="1">
        <f t="shared" si="28"/>
        <v>3.1374437203584016E-2</v>
      </c>
      <c r="DY19" s="2">
        <f t="shared" si="29"/>
        <v>32922926.079890639</v>
      </c>
      <c r="EI19" s="1823">
        <v>20</v>
      </c>
      <c r="EJ19" s="2">
        <v>28425070.123408783</v>
      </c>
      <c r="EK19" s="2">
        <f t="shared" si="34"/>
        <v>92960692.744200632</v>
      </c>
      <c r="EL19" s="1">
        <v>8</v>
      </c>
      <c r="EM19" s="2">
        <f t="shared" si="40"/>
        <v>855790.00183696381</v>
      </c>
      <c r="EN19" s="2">
        <v>3277120.1318837227</v>
      </c>
      <c r="EO19" s="2">
        <f t="shared" si="7"/>
        <v>23065575.917145375</v>
      </c>
      <c r="EP19" s="2">
        <f t="shared" si="8"/>
        <v>23921365.918982338</v>
      </c>
      <c r="EQ19" s="30">
        <f t="shared" si="9"/>
        <v>0.14830452045360917</v>
      </c>
      <c r="ER19" s="30">
        <f t="shared" si="10"/>
        <v>3.3396424611685592E-2</v>
      </c>
      <c r="ET19" s="2">
        <f t="shared" si="11"/>
        <v>116026268.661346</v>
      </c>
      <c r="FF19" s="1823">
        <v>20</v>
      </c>
      <c r="FG19" s="2">
        <v>10169589.374343749</v>
      </c>
      <c r="FH19" s="2">
        <f t="shared" si="35"/>
        <v>34624688.144076012</v>
      </c>
      <c r="FI19" s="1">
        <v>296</v>
      </c>
      <c r="FJ19" s="2">
        <f t="shared" si="4"/>
        <v>14939.90107108082</v>
      </c>
      <c r="FK19" s="2">
        <v>11785702.720885787</v>
      </c>
      <c r="FL19" s="2">
        <f t="shared" si="5"/>
        <v>49607520.488688849</v>
      </c>
      <c r="FM19" s="2">
        <f t="shared" si="12"/>
        <v>49622460.389759928</v>
      </c>
      <c r="FN19" s="30">
        <f t="shared" si="13"/>
        <v>0.11420228568939049</v>
      </c>
      <c r="FO19" s="30">
        <f t="shared" si="14"/>
        <v>7.3214924551291374E-2</v>
      </c>
      <c r="FQ19" s="2">
        <f t="shared" si="15"/>
        <v>84247148.533835948</v>
      </c>
      <c r="GB19" s="1823">
        <v>20</v>
      </c>
      <c r="GC19" s="2">
        <v>7319976.350277042</v>
      </c>
      <c r="GD19" s="2">
        <f t="shared" si="49"/>
        <v>28134805.07951301</v>
      </c>
      <c r="GE19">
        <v>127</v>
      </c>
      <c r="GF19" s="2">
        <f t="shared" si="30"/>
        <v>1508.7854685751258</v>
      </c>
      <c r="GG19" s="1444">
        <v>22143480.587008327</v>
      </c>
      <c r="GH19" s="2">
        <f t="shared" si="16"/>
        <v>200233644.96390626</v>
      </c>
      <c r="GI19" s="2">
        <f t="shared" si="31"/>
        <v>200235153.74937484</v>
      </c>
      <c r="GJ19" s="2">
        <f t="shared" si="17"/>
        <v>5.2748131117761563</v>
      </c>
      <c r="GK19" s="2">
        <f t="shared" si="18"/>
        <v>3.6048822026681795</v>
      </c>
      <c r="GL19" s="2"/>
      <c r="GM19" s="2">
        <f t="shared" si="19"/>
        <v>228369958.82888785</v>
      </c>
      <c r="HC19" s="1963">
        <v>20</v>
      </c>
      <c r="HD19" s="57">
        <v>4919326.2427027728</v>
      </c>
      <c r="HE19" s="2">
        <f t="shared" si="39"/>
        <v>42437892.416020423</v>
      </c>
      <c r="HF19" s="73"/>
      <c r="HG19" s="2">
        <f t="shared" si="32"/>
        <v>0</v>
      </c>
      <c r="HH19" s="2">
        <v>159</v>
      </c>
      <c r="HI19" s="2">
        <f t="shared" si="36"/>
        <v>33727099.688015431</v>
      </c>
      <c r="HJ19" s="2">
        <f t="shared" si="33"/>
        <v>33727099.688015431</v>
      </c>
      <c r="HK19" s="2">
        <f t="shared" si="21"/>
        <v>7.9564066898467072</v>
      </c>
      <c r="HL19" s="2">
        <f t="shared" si="22"/>
        <v>2.0487050637804414</v>
      </c>
      <c r="HM19" s="2"/>
      <c r="HN19" s="2">
        <f t="shared" si="23"/>
        <v>76164992.104035854</v>
      </c>
    </row>
    <row r="20" spans="1:222" ht="14.4" thickTop="1" thickBot="1">
      <c r="A20" s="110">
        <v>21</v>
      </c>
      <c r="B20" s="1154">
        <v>12</v>
      </c>
      <c r="C20" s="2"/>
      <c r="D20" s="2">
        <v>12</v>
      </c>
      <c r="E20" s="2">
        <v>932588.88888888899</v>
      </c>
      <c r="F20">
        <v>65</v>
      </c>
      <c r="G20" s="2">
        <v>453050</v>
      </c>
      <c r="H20" s="129">
        <v>21619305.480450921</v>
      </c>
      <c r="I20" s="2">
        <v>29153102.872405283</v>
      </c>
      <c r="J20" s="2">
        <v>932653.88888888899</v>
      </c>
      <c r="K20" s="2">
        <v>29153102.872405283</v>
      </c>
      <c r="L20" s="1">
        <v>2.1020847801581301E-3</v>
      </c>
      <c r="M20" s="1">
        <v>0.11121949612950972</v>
      </c>
      <c r="W20" s="391">
        <v>21</v>
      </c>
      <c r="X20" s="123">
        <v>158020.06660571502</v>
      </c>
      <c r="Y20" s="57">
        <f t="shared" si="0"/>
        <v>422644.77910343237</v>
      </c>
      <c r="Z20" s="392">
        <v>1468272.7390204649</v>
      </c>
      <c r="AA20" s="2">
        <v>9965920.4362477176</v>
      </c>
      <c r="AB20" s="2">
        <f t="shared" si="50"/>
        <v>12205708.153129781</v>
      </c>
      <c r="AC20" s="30">
        <f t="shared" si="46"/>
        <v>0.3898038708973775</v>
      </c>
      <c r="AD20" s="30">
        <f t="shared" si="47"/>
        <v>2.1287279542113775</v>
      </c>
      <c r="AO20" s="438">
        <v>19</v>
      </c>
      <c r="AP20" s="1821">
        <v>0</v>
      </c>
      <c r="AQ20" s="1821">
        <v>0</v>
      </c>
      <c r="AR20" s="1146">
        <v>211963.66358415864</v>
      </c>
      <c r="AS20" s="57">
        <f t="shared" si="37"/>
        <v>1412198.3864122329</v>
      </c>
      <c r="AT20" s="1">
        <f t="shared" si="38"/>
        <v>0</v>
      </c>
      <c r="AU20" s="1">
        <f t="shared" si="1"/>
        <v>2.7076391847014989E-3</v>
      </c>
      <c r="BE20" s="438">
        <v>19</v>
      </c>
      <c r="BF20" s="465">
        <v>2482917.3047568733</v>
      </c>
      <c r="BG20" s="1147">
        <f t="shared" si="42"/>
        <v>6482273.4870628342</v>
      </c>
      <c r="BH20" s="1146">
        <v>2597810.6754961391</v>
      </c>
      <c r="BI20" s="57">
        <f t="shared" si="43"/>
        <v>34547882.820365638</v>
      </c>
      <c r="BJ20" s="1">
        <f t="shared" si="41"/>
        <v>2.6816786299636089E-2</v>
      </c>
      <c r="BK20" s="1">
        <f t="shared" si="44"/>
        <v>6.3029116836140597E-2</v>
      </c>
      <c r="BV20" s="1823">
        <v>19</v>
      </c>
      <c r="BW20" s="1822">
        <v>227677.66711502537</v>
      </c>
      <c r="BX20" s="57">
        <f t="shared" si="48"/>
        <v>263026.58812369959</v>
      </c>
      <c r="BY20" s="1">
        <f t="shared" si="2"/>
        <v>5.0464228918555591E-3</v>
      </c>
      <c r="BZ20" s="1">
        <v>1813259.0940953053</v>
      </c>
      <c r="CA20" s="2">
        <f t="shared" si="45"/>
        <v>9513836.5308313202</v>
      </c>
      <c r="CB20" s="1">
        <f t="shared" si="3"/>
        <v>1.274530584820195E-2</v>
      </c>
      <c r="CL20" s="1823">
        <v>19</v>
      </c>
      <c r="CM20" s="1822"/>
      <c r="CO20" s="57"/>
      <c r="CP20" s="1">
        <v>15127.127622059415</v>
      </c>
      <c r="CQ20" s="2">
        <f>CP20*$CP$55</f>
        <v>412153.85092403286</v>
      </c>
      <c r="CR20" s="1">
        <f>CQ20/$CQ$52</f>
        <v>5.3066118221105655E-4</v>
      </c>
      <c r="DB20" s="1823">
        <v>21</v>
      </c>
      <c r="DE20" s="883">
        <v>8106184.787395929</v>
      </c>
      <c r="DF20" s="1">
        <f t="shared" si="24"/>
        <v>122047578.20501466</v>
      </c>
      <c r="DG20" s="1">
        <f t="shared" si="25"/>
        <v>0.11178690502278389</v>
      </c>
      <c r="DP20" s="1823">
        <v>21</v>
      </c>
      <c r="DQ20" s="1">
        <v>7799122.1138273738</v>
      </c>
      <c r="DR20">
        <v>198</v>
      </c>
      <c r="DS20" s="57">
        <f t="shared" si="26"/>
        <v>20351432.925356369</v>
      </c>
      <c r="DT20" s="895">
        <v>573893.44045858108</v>
      </c>
      <c r="DU20" s="57">
        <f t="shared" si="27"/>
        <v>20925326.36581495</v>
      </c>
      <c r="DV20" s="1">
        <f t="shared" si="6"/>
        <v>8.3334797993352236E-2</v>
      </c>
      <c r="DW20" s="1">
        <f t="shared" si="28"/>
        <v>2.87813801509753E-2</v>
      </c>
      <c r="DY20" s="2">
        <f t="shared" si="29"/>
        <v>28724448.479642324</v>
      </c>
      <c r="EI20" s="1823">
        <v>21</v>
      </c>
      <c r="EJ20" s="2">
        <v>16068283.769500768</v>
      </c>
      <c r="EK20" s="2">
        <f t="shared" si="34"/>
        <v>52549344.080353588</v>
      </c>
      <c r="EL20" s="1">
        <v>6</v>
      </c>
      <c r="EM20" s="2">
        <f t="shared" si="40"/>
        <v>641842.50137772283</v>
      </c>
      <c r="EN20" s="2">
        <v>1937856.9435929258</v>
      </c>
      <c r="EO20" s="2">
        <f t="shared" si="7"/>
        <v>13639349.383056391</v>
      </c>
      <c r="EP20" s="2">
        <f t="shared" si="8"/>
        <v>14281191.884434113</v>
      </c>
      <c r="EQ20" s="30">
        <f t="shared" si="9"/>
        <v>8.3834414782528954E-2</v>
      </c>
      <c r="ER20" s="30">
        <f t="shared" si="10"/>
        <v>1.9937855963110068E-2</v>
      </c>
      <c r="ET20" s="2">
        <f t="shared" si="11"/>
        <v>66188693.463409975</v>
      </c>
      <c r="FF20" s="1823">
        <v>21</v>
      </c>
      <c r="FG20" s="2">
        <v>9458904.5247682407</v>
      </c>
      <c r="FH20" s="2">
        <f t="shared" si="35"/>
        <v>32204999.366144456</v>
      </c>
      <c r="FI20" s="1">
        <v>391</v>
      </c>
      <c r="FJ20" s="2">
        <f t="shared" si="4"/>
        <v>19734.801752677704</v>
      </c>
      <c r="FK20" s="2">
        <v>16313417.189366665</v>
      </c>
      <c r="FL20" s="2">
        <f t="shared" si="5"/>
        <v>68665246.072082564</v>
      </c>
      <c r="FM20" s="2">
        <f t="shared" si="12"/>
        <v>68684980.873835236</v>
      </c>
      <c r="FN20" s="30">
        <f t="shared" si="13"/>
        <v>0.1062214487805668</v>
      </c>
      <c r="FO20" s="30">
        <f t="shared" si="14"/>
        <v>0.10134051502054243</v>
      </c>
      <c r="FQ20" s="2">
        <f t="shared" si="15"/>
        <v>100889980.23997968</v>
      </c>
      <c r="GB20" s="1823">
        <v>21</v>
      </c>
      <c r="GC20" s="2">
        <v>14016404.29241848</v>
      </c>
      <c r="GD20" s="2">
        <f t="shared" si="49"/>
        <v>53872961.306482688</v>
      </c>
      <c r="GE20">
        <v>103</v>
      </c>
      <c r="GF20" s="2">
        <f t="shared" si="30"/>
        <v>1223.6606556160468</v>
      </c>
      <c r="GG20" s="1444">
        <v>23103868.998472564</v>
      </c>
      <c r="GH20" s="2">
        <f t="shared" si="16"/>
        <v>208918010.16353998</v>
      </c>
      <c r="GI20" s="2">
        <f t="shared" si="31"/>
        <v>208919233.82419559</v>
      </c>
      <c r="GJ20" s="2">
        <f t="shared" si="17"/>
        <v>10.100293990540884</v>
      </c>
      <c r="GK20" s="2">
        <f t="shared" si="18"/>
        <v>2.9236446210615941</v>
      </c>
      <c r="GL20" s="2"/>
      <c r="GM20" s="2">
        <f t="shared" si="19"/>
        <v>262792195.1306783</v>
      </c>
      <c r="HC20" s="1963">
        <v>21</v>
      </c>
      <c r="HD20" s="57">
        <v>3128815.1228006352</v>
      </c>
      <c r="HE20" s="2">
        <f t="shared" si="39"/>
        <v>26991566.12513648</v>
      </c>
      <c r="HF20" s="73"/>
      <c r="HG20" s="2">
        <f t="shared" si="32"/>
        <v>0</v>
      </c>
      <c r="HH20" s="2">
        <v>303</v>
      </c>
      <c r="HI20" s="2">
        <f t="shared" si="36"/>
        <v>64272397.518670909</v>
      </c>
      <c r="HJ20" s="2">
        <f t="shared" si="33"/>
        <v>64272397.518670909</v>
      </c>
      <c r="HK20" s="2">
        <f t="shared" si="21"/>
        <v>5.0604746150495616</v>
      </c>
      <c r="HL20" s="2">
        <f t="shared" si="22"/>
        <v>3.9041360649400856</v>
      </c>
      <c r="HM20" s="2"/>
      <c r="HN20" s="2">
        <f t="shared" si="23"/>
        <v>91263963.643807381</v>
      </c>
    </row>
    <row r="21" spans="1:222" ht="14.4" thickTop="1" thickBot="1">
      <c r="A21" s="110">
        <v>22</v>
      </c>
      <c r="B21" s="1154">
        <v>110</v>
      </c>
      <c r="C21" s="2"/>
      <c r="D21" s="2">
        <v>110</v>
      </c>
      <c r="E21" s="2">
        <v>8548731.4814814813</v>
      </c>
      <c r="F21">
        <v>261</v>
      </c>
      <c r="G21" s="2">
        <v>1819170</v>
      </c>
      <c r="H21" s="129">
        <v>24856536.649702687</v>
      </c>
      <c r="I21" s="2">
        <v>33518429.657962371</v>
      </c>
      <c r="J21" s="2">
        <v>8548992.4814814813</v>
      </c>
      <c r="K21" s="2">
        <v>33518429.657962371</v>
      </c>
      <c r="L21" s="1">
        <v>1.9268355812484508E-2</v>
      </c>
      <c r="M21" s="1">
        <v>0.12787327901002324</v>
      </c>
      <c r="W21" s="391">
        <v>22</v>
      </c>
      <c r="X21" s="123">
        <v>427219.16370714729</v>
      </c>
      <c r="Y21" s="57">
        <f t="shared" si="0"/>
        <v>1142652.0248487864</v>
      </c>
      <c r="Z21" s="392">
        <v>3062831.3846376627</v>
      </c>
      <c r="AA21" s="2">
        <v>20789008.116642512</v>
      </c>
      <c r="AB21" s="2">
        <f t="shared" si="50"/>
        <v>25461227.338507876</v>
      </c>
      <c r="AC21" s="30">
        <f t="shared" si="46"/>
        <v>1.0538641535325335</v>
      </c>
      <c r="AD21" s="30">
        <f t="shared" si="47"/>
        <v>4.4405474638613835</v>
      </c>
      <c r="AO21" s="438">
        <v>20</v>
      </c>
      <c r="AP21" s="1821">
        <v>0</v>
      </c>
      <c r="AQ21" s="1821">
        <v>0</v>
      </c>
      <c r="AR21" s="1146">
        <v>449040.16295206995</v>
      </c>
      <c r="AS21" s="57">
        <f t="shared" si="37"/>
        <v>2991709.9130692328</v>
      </c>
      <c r="AT21" s="1">
        <f t="shared" si="38"/>
        <v>0</v>
      </c>
      <c r="AU21" s="1">
        <f t="shared" si="1"/>
        <v>5.7360715518630914E-3</v>
      </c>
      <c r="BE21" s="438">
        <v>20</v>
      </c>
      <c r="BF21" s="465">
        <v>4811874.3089886112</v>
      </c>
      <c r="BG21" s="1147">
        <f t="shared" si="42"/>
        <v>12562595.297264632</v>
      </c>
      <c r="BH21" s="1146">
        <v>1716078.4875721768</v>
      </c>
      <c r="BI21" s="57">
        <f t="shared" si="43"/>
        <v>22821862.677837763</v>
      </c>
      <c r="BJ21" s="1">
        <f t="shared" si="41"/>
        <v>5.1970722020277735E-2</v>
      </c>
      <c r="BK21" s="1">
        <f t="shared" si="44"/>
        <v>4.163617946196823E-2</v>
      </c>
      <c r="BV21" s="1823">
        <v>20</v>
      </c>
      <c r="BW21" s="1822">
        <v>534598.66993057623</v>
      </c>
      <c r="BX21" s="57">
        <f t="shared" si="48"/>
        <v>617599.72310445213</v>
      </c>
      <c r="BY21" s="1">
        <f t="shared" si="2"/>
        <v>1.1849256012142066E-2</v>
      </c>
      <c r="BZ21" s="1">
        <v>1365353.2835731199</v>
      </c>
      <c r="CA21" s="2">
        <f t="shared" si="45"/>
        <v>7163757.2308603013</v>
      </c>
      <c r="CB21" s="1">
        <f t="shared" si="3"/>
        <v>9.5969987116863581E-3</v>
      </c>
      <c r="CL21" s="1823">
        <v>20</v>
      </c>
      <c r="CM21" s="1822"/>
      <c r="CO21" s="57"/>
      <c r="CP21" s="1">
        <v>231481.90022642026</v>
      </c>
      <c r="CQ21" s="2">
        <f>CP21*$CP$55</f>
        <v>6306957.8694109814</v>
      </c>
      <c r="CR21" s="1">
        <f t="shared" ref="CR21:CR51" si="51">CQ21/$CQ$52</f>
        <v>8.1204087057137365E-3</v>
      </c>
      <c r="DB21" s="1823">
        <v>22</v>
      </c>
      <c r="DE21" s="883">
        <v>6223912.6664063064</v>
      </c>
      <c r="DF21" s="1">
        <f t="shared" si="24"/>
        <v>93707889.447019011</v>
      </c>
      <c r="DG21" s="1">
        <f t="shared" si="25"/>
        <v>8.5829764847140902E-2</v>
      </c>
      <c r="DP21" s="1823">
        <v>22</v>
      </c>
      <c r="DQ21" s="1">
        <v>4400934.5820259973</v>
      </c>
      <c r="DR21">
        <v>215</v>
      </c>
      <c r="DS21" s="57">
        <f t="shared" si="26"/>
        <v>22098778.176523332</v>
      </c>
      <c r="DT21" s="895">
        <v>982669.79158933752</v>
      </c>
      <c r="DU21" s="57">
        <f t="shared" si="27"/>
        <v>23081447.96811267</v>
      </c>
      <c r="DV21" s="1">
        <f t="shared" si="6"/>
        <v>4.7024650854596457E-2</v>
      </c>
      <c r="DW21" s="1">
        <f t="shared" si="28"/>
        <v>3.1746980514983952E-2</v>
      </c>
      <c r="DY21" s="2">
        <f t="shared" si="29"/>
        <v>27482382.550138667</v>
      </c>
      <c r="EI21" s="1823">
        <v>22</v>
      </c>
      <c r="EJ21" s="2">
        <v>8540590.3874719422</v>
      </c>
      <c r="EK21" s="2">
        <f t="shared" si="34"/>
        <v>27930949.525082197</v>
      </c>
      <c r="EL21" s="1">
        <v>18</v>
      </c>
      <c r="EM21" s="2">
        <f t="shared" si="40"/>
        <v>1925527.5041331686</v>
      </c>
      <c r="EN21" s="2">
        <v>2610026.130774566</v>
      </c>
      <c r="EO21" s="2">
        <f t="shared" si="7"/>
        <v>18370323.16252299</v>
      </c>
      <c r="EP21" s="2">
        <f t="shared" si="8"/>
        <v>20295850.666656159</v>
      </c>
      <c r="EQ21" s="30">
        <f t="shared" si="9"/>
        <v>4.4559543962624952E-2</v>
      </c>
      <c r="ER21" s="30">
        <f t="shared" si="10"/>
        <v>2.833487222320984E-2</v>
      </c>
      <c r="ET21" s="2">
        <f t="shared" si="11"/>
        <v>46301272.687605187</v>
      </c>
      <c r="FF21" s="1823">
        <v>22</v>
      </c>
      <c r="FG21" s="2">
        <v>9365529.5710342042</v>
      </c>
      <c r="FH21" s="2">
        <f t="shared" si="35"/>
        <v>31887083.024146903</v>
      </c>
      <c r="FI21" s="1">
        <v>355</v>
      </c>
      <c r="FJ21" s="2">
        <f t="shared" si="4"/>
        <v>17917.786757546251</v>
      </c>
      <c r="FK21" s="2">
        <v>16019160.970391899</v>
      </c>
      <c r="FL21" s="2">
        <f t="shared" si="5"/>
        <v>67426684.252103314</v>
      </c>
      <c r="FM21" s="2">
        <f t="shared" si="12"/>
        <v>67444602.038860857</v>
      </c>
      <c r="FN21" s="30">
        <f t="shared" si="13"/>
        <v>0.10517286827745714</v>
      </c>
      <c r="FO21" s="30">
        <f t="shared" si="14"/>
        <v>9.9510411432280857E-2</v>
      </c>
      <c r="FQ21" s="2">
        <f t="shared" si="15"/>
        <v>99331685.063007757</v>
      </c>
      <c r="GB21" s="1823">
        <v>22</v>
      </c>
      <c r="GC21" s="2">
        <v>21585257.495056994</v>
      </c>
      <c r="GD21" s="2">
        <f t="shared" si="49"/>
        <v>82964340.75112021</v>
      </c>
      <c r="GE21">
        <v>141</v>
      </c>
      <c r="GF21" s="2">
        <f t="shared" si="30"/>
        <v>1675.1082761345886</v>
      </c>
      <c r="GG21" s="1444">
        <v>24024037.408570785</v>
      </c>
      <c r="GH21" s="2">
        <f t="shared" si="16"/>
        <v>217238683.78170228</v>
      </c>
      <c r="GI21" s="2">
        <f t="shared" si="31"/>
        <v>217240358.88997841</v>
      </c>
      <c r="GJ21" s="2">
        <f t="shared" si="17"/>
        <v>15.554449059344563</v>
      </c>
      <c r="GK21" s="2">
        <f t="shared" si="18"/>
        <v>4.0022707919386873</v>
      </c>
      <c r="GL21" s="2"/>
      <c r="GM21" s="2">
        <f t="shared" si="19"/>
        <v>300204699.64109862</v>
      </c>
      <c r="HC21" s="1963">
        <v>22</v>
      </c>
      <c r="HD21" s="57">
        <v>3187224.8113278025</v>
      </c>
      <c r="HE21" s="2">
        <f t="shared" si="39"/>
        <v>27495453.030674849</v>
      </c>
      <c r="HF21" s="73"/>
      <c r="HG21" s="2">
        <f t="shared" si="32"/>
        <v>0</v>
      </c>
      <c r="HH21" s="2">
        <v>526</v>
      </c>
      <c r="HI21" s="2">
        <f t="shared" si="36"/>
        <v>111575185.1314221</v>
      </c>
      <c r="HJ21" s="2">
        <f t="shared" si="33"/>
        <v>111575185.1314221</v>
      </c>
      <c r="HK21" s="2">
        <f t="shared" si="21"/>
        <v>5.154945120484892</v>
      </c>
      <c r="HL21" s="2">
        <f t="shared" si="22"/>
        <v>6.7774771292359244</v>
      </c>
      <c r="HM21" s="2"/>
      <c r="HN21" s="2">
        <f t="shared" si="23"/>
        <v>139070638.16209695</v>
      </c>
    </row>
    <row r="22" spans="1:222" ht="14.4" thickTop="1" thickBot="1">
      <c r="A22" s="110">
        <v>23</v>
      </c>
      <c r="B22" s="1154">
        <v>395</v>
      </c>
      <c r="C22" s="2"/>
      <c r="D22" s="2">
        <v>395</v>
      </c>
      <c r="E22" s="2">
        <v>30697717.592592593</v>
      </c>
      <c r="F22">
        <v>408</v>
      </c>
      <c r="G22" s="2">
        <v>2843760</v>
      </c>
      <c r="H22" s="129">
        <v>22087501.767920874</v>
      </c>
      <c r="I22" s="2">
        <v>29784454.075867027</v>
      </c>
      <c r="J22" s="2">
        <v>30698125.592592593</v>
      </c>
      <c r="K22" s="2">
        <v>29784454.075867027</v>
      </c>
      <c r="L22" s="1">
        <v>6.9189721242088123E-2</v>
      </c>
      <c r="M22" s="1">
        <v>0.11362810982106433</v>
      </c>
      <c r="W22" s="391">
        <v>23</v>
      </c>
      <c r="X22" s="123">
        <v>681226.93654214824</v>
      </c>
      <c r="Y22" s="57">
        <f t="shared" si="0"/>
        <v>1822028.1404675173</v>
      </c>
      <c r="Z22" s="392">
        <v>1915763.2103531451</v>
      </c>
      <c r="AA22" s="2">
        <v>13003267.868207579</v>
      </c>
      <c r="AB22" s="2">
        <f t="shared" si="50"/>
        <v>15925683.297554944</v>
      </c>
      <c r="AC22" s="30">
        <f t="shared" si="46"/>
        <v>1.6804504802941762</v>
      </c>
      <c r="AD22" s="30">
        <f t="shared" si="47"/>
        <v>2.7775076054665</v>
      </c>
      <c r="AO22" s="438">
        <v>21</v>
      </c>
      <c r="AP22" s="1821">
        <v>564.17635326894992</v>
      </c>
      <c r="AQ22" s="1821">
        <v>1146.8201758565579</v>
      </c>
      <c r="AR22" s="1146">
        <v>275433.27977643366</v>
      </c>
      <c r="AS22" s="57">
        <f t="shared" si="37"/>
        <v>1835061.8529957253</v>
      </c>
      <c r="AT22" s="1">
        <f t="shared" si="38"/>
        <v>1.7396002517136016E-5</v>
      </c>
      <c r="AU22" s="1">
        <f t="shared" si="1"/>
        <v>3.5184046571143479E-3</v>
      </c>
      <c r="BE22" s="438">
        <v>21</v>
      </c>
      <c r="BF22" s="465">
        <v>5583221.8705252511</v>
      </c>
      <c r="BG22" s="1147">
        <f t="shared" si="42"/>
        <v>14576390.05308681</v>
      </c>
      <c r="BH22" s="1146">
        <v>987489.94191403943</v>
      </c>
      <c r="BI22" s="57">
        <f t="shared" si="43"/>
        <v>13132476.173622763</v>
      </c>
      <c r="BJ22" s="1">
        <f t="shared" si="41"/>
        <v>6.0301673148148237E-2</v>
      </c>
      <c r="BK22" s="1">
        <f t="shared" si="44"/>
        <v>2.3958874105221985E-2</v>
      </c>
      <c r="BV22" s="1823">
        <v>21</v>
      </c>
      <c r="BW22" s="1822">
        <v>1424869.3182366709</v>
      </c>
      <c r="BX22" s="57">
        <f t="shared" si="48"/>
        <v>1646092.5660688146</v>
      </c>
      <c r="BY22" s="1">
        <f t="shared" si="2"/>
        <v>3.1581899255052719E-2</v>
      </c>
      <c r="BZ22" s="1">
        <v>1220416.2596718115</v>
      </c>
      <c r="CA22" s="2">
        <f t="shared" si="45"/>
        <v>6403299.3585394006</v>
      </c>
      <c r="CB22" s="1">
        <f t="shared" si="3"/>
        <v>8.578243750321065E-3</v>
      </c>
      <c r="CL22" s="1823">
        <v>21</v>
      </c>
      <c r="CM22" s="1822"/>
      <c r="CO22" s="57"/>
      <c r="CP22" s="1">
        <v>833813.61948370188</v>
      </c>
      <c r="CQ22" s="2">
        <f t="shared" ref="CQ22:CQ51" si="52">CP22*$CP$55</f>
        <v>22718093.137653314</v>
      </c>
      <c r="CR22" s="1">
        <f t="shared" si="51"/>
        <v>2.9250266945170574E-2</v>
      </c>
      <c r="DB22" s="1823">
        <v>23</v>
      </c>
      <c r="DE22" s="883">
        <v>4231273.3601809181</v>
      </c>
      <c r="DF22" s="1">
        <f t="shared" si="24"/>
        <v>63706500.638430677</v>
      </c>
      <c r="DG22" s="1">
        <f t="shared" si="25"/>
        <v>5.8350625558824587E-2</v>
      </c>
      <c r="DP22" s="1823">
        <v>23</v>
      </c>
      <c r="DQ22" s="1">
        <v>2560180.5341735687</v>
      </c>
      <c r="DR22">
        <v>204</v>
      </c>
      <c r="DS22" s="57">
        <f t="shared" si="26"/>
        <v>20968143.014003534</v>
      </c>
      <c r="DT22" s="895">
        <v>1676035.8309722352</v>
      </c>
      <c r="DU22" s="57">
        <f t="shared" si="27"/>
        <v>22644178.84497577</v>
      </c>
      <c r="DV22" s="1">
        <f t="shared" si="6"/>
        <v>2.7355915772059331E-2</v>
      </c>
      <c r="DW22" s="1">
        <f t="shared" si="28"/>
        <v>3.1145546222334314E-2</v>
      </c>
      <c r="DY22" s="2">
        <f t="shared" si="29"/>
        <v>25204359.37914934</v>
      </c>
      <c r="EI22" s="1823">
        <v>23</v>
      </c>
      <c r="EJ22" s="2">
        <v>3324123.5891394867</v>
      </c>
      <c r="EK22" s="2">
        <f t="shared" si="34"/>
        <v>10871137.002376826</v>
      </c>
      <c r="EL22" s="1">
        <v>18</v>
      </c>
      <c r="EM22" s="2">
        <f t="shared" si="40"/>
        <v>1925527.5041331686</v>
      </c>
      <c r="EN22" s="2">
        <v>3597618.4297538176</v>
      </c>
      <c r="EO22" s="2">
        <f t="shared" si="7"/>
        <v>25321360.729217332</v>
      </c>
      <c r="EP22" s="2">
        <f t="shared" si="8"/>
        <v>27246888.2333505</v>
      </c>
      <c r="EQ22" s="30">
        <f t="shared" si="9"/>
        <v>1.7343230911148318E-2</v>
      </c>
      <c r="ER22" s="30">
        <f t="shared" si="10"/>
        <v>3.8039159296754083E-2</v>
      </c>
      <c r="ET22" s="2">
        <f t="shared" si="11"/>
        <v>36192497.73159416</v>
      </c>
      <c r="FF22" s="1823">
        <v>23</v>
      </c>
      <c r="FG22" s="2">
        <v>7663489.9664932694</v>
      </c>
      <c r="FH22" s="2">
        <f t="shared" si="35"/>
        <v>26092100.714952216</v>
      </c>
      <c r="FI22" s="1">
        <v>456</v>
      </c>
      <c r="FJ22" s="2">
        <f t="shared" si="4"/>
        <v>23015.523271665046</v>
      </c>
      <c r="FK22" s="2">
        <v>12726671.42455031</v>
      </c>
      <c r="FL22" s="2">
        <f t="shared" si="5"/>
        <v>53568177.34146449</v>
      </c>
      <c r="FM22" s="2">
        <f>FJ22+FL22</f>
        <v>53591192.864736155</v>
      </c>
      <c r="FN22" s="30">
        <f t="shared" si="13"/>
        <v>8.605933222232176E-2</v>
      </c>
      <c r="FO22" s="30">
        <f t="shared" si="14"/>
        <v>7.9070548122500001E-2</v>
      </c>
      <c r="FQ22" s="2">
        <f t="shared" si="15"/>
        <v>79683293.57968837</v>
      </c>
      <c r="GB22" s="1823">
        <v>23</v>
      </c>
      <c r="GC22" s="2">
        <v>16628713.795628253</v>
      </c>
      <c r="GD22" s="2">
        <f t="shared" si="49"/>
        <v>63913542.745982111</v>
      </c>
      <c r="GE22">
        <v>160</v>
      </c>
      <c r="GF22" s="2">
        <f t="shared" si="30"/>
        <v>1900.8320863938593</v>
      </c>
      <c r="GG22" s="1444">
        <v>29482349.588544786</v>
      </c>
      <c r="GH22" s="2">
        <f t="shared" si="16"/>
        <v>266595772.82886454</v>
      </c>
      <c r="GI22" s="2">
        <f t="shared" si="31"/>
        <v>266597673.66095093</v>
      </c>
      <c r="GJ22" s="2">
        <f t="shared" si="17"/>
        <v>11.98273783464249</v>
      </c>
      <c r="GK22" s="2">
        <f t="shared" si="18"/>
        <v>4.5415838773772341</v>
      </c>
      <c r="GL22" s="2"/>
      <c r="GM22" s="2">
        <f t="shared" si="19"/>
        <v>330511216.40693307</v>
      </c>
      <c r="HC22" s="1963">
        <v>23</v>
      </c>
      <c r="HD22" s="57">
        <v>4315229.2454065327</v>
      </c>
      <c r="HE22" s="2">
        <f t="shared" si="39"/>
        <v>37226487.009004042</v>
      </c>
      <c r="HF22" s="73"/>
      <c r="HG22" s="2">
        <f t="shared" si="32"/>
        <v>0</v>
      </c>
      <c r="HH22" s="2">
        <v>756</v>
      </c>
      <c r="HI22" s="2">
        <f t="shared" si="36"/>
        <v>160362813.61094129</v>
      </c>
      <c r="HJ22" s="2">
        <f t="shared" si="33"/>
        <v>160362813.61094129</v>
      </c>
      <c r="HK22" s="2">
        <f t="shared" si="21"/>
        <v>6.9793539079268481</v>
      </c>
      <c r="HL22" s="2">
        <f>HJ22/$HJ$56*100</f>
        <v>9.7410127560881357</v>
      </c>
      <c r="HM22" s="2"/>
      <c r="HN22" s="2">
        <f t="shared" si="23"/>
        <v>197589300.61994535</v>
      </c>
    </row>
    <row r="23" spans="1:222" ht="14.4" thickTop="1" thickBot="1">
      <c r="A23" s="110">
        <v>24</v>
      </c>
      <c r="B23" s="1154">
        <v>539</v>
      </c>
      <c r="C23" s="2"/>
      <c r="D23" s="2">
        <v>539</v>
      </c>
      <c r="E23" s="2">
        <v>41888784.259259261</v>
      </c>
      <c r="F23">
        <v>518</v>
      </c>
      <c r="G23" s="2">
        <v>3610460</v>
      </c>
      <c r="H23" s="129">
        <v>16245960.294334626</v>
      </c>
      <c r="I23" s="2">
        <v>21907278.758330885</v>
      </c>
      <c r="J23" s="2">
        <v>41889302.259259261</v>
      </c>
      <c r="K23" s="2">
        <v>21907278.758330885</v>
      </c>
      <c r="L23" s="1">
        <v>9.441322850809751E-2</v>
      </c>
      <c r="M23" s="1">
        <v>8.3576575561586097E-2</v>
      </c>
      <c r="W23" s="391">
        <v>24</v>
      </c>
      <c r="X23" s="123">
        <v>906429.92104030633</v>
      </c>
      <c r="Y23" s="57">
        <f t="shared" si="0"/>
        <v>2424362.1837390531</v>
      </c>
      <c r="Z23" s="392">
        <v>1517977.866784778</v>
      </c>
      <c r="AA23" s="2">
        <v>10303294.641603557</v>
      </c>
      <c r="AB23" s="2">
        <f t="shared" si="50"/>
        <v>12618905.420287363</v>
      </c>
      <c r="AC23" s="30">
        <f t="shared" si="46"/>
        <v>2.2359811605467135</v>
      </c>
      <c r="AD23" s="30">
        <f t="shared" si="47"/>
        <v>2.2007913332605109</v>
      </c>
      <c r="AO23" s="438">
        <v>22</v>
      </c>
      <c r="AP23" s="1821">
        <v>2756.1946502157407</v>
      </c>
      <c r="AQ23" s="1821">
        <v>5602.6092110040963</v>
      </c>
      <c r="AR23" s="1146">
        <v>176395.48629012954</v>
      </c>
      <c r="AS23" s="57">
        <f t="shared" si="37"/>
        <v>1175227.0030491175</v>
      </c>
      <c r="AT23" s="1">
        <f t="shared" si="38"/>
        <v>8.4985428394963262E-5</v>
      </c>
      <c r="AU23" s="1">
        <f t="shared" si="1"/>
        <v>2.2532887128269377E-3</v>
      </c>
      <c r="BE23" s="438">
        <v>22</v>
      </c>
      <c r="BF23" s="465">
        <v>4286088.447022032</v>
      </c>
      <c r="BG23" s="1147">
        <f t="shared" si="42"/>
        <v>11189900.465113476</v>
      </c>
      <c r="BH23" s="1146">
        <v>566979.23954767198</v>
      </c>
      <c r="BI23" s="57">
        <f t="shared" si="43"/>
        <v>7540169.3103489978</v>
      </c>
      <c r="BJ23" s="1">
        <f t="shared" si="41"/>
        <v>4.629196378184805E-2</v>
      </c>
      <c r="BK23" s="1">
        <f t="shared" si="44"/>
        <v>1.3756276032814182E-2</v>
      </c>
      <c r="BV23" s="1823">
        <v>22</v>
      </c>
      <c r="BW23" s="1822">
        <v>1769175.8036332512</v>
      </c>
      <c r="BX23" s="57">
        <f t="shared" si="48"/>
        <v>2043855.6021639274</v>
      </c>
      <c r="BY23" s="1">
        <f t="shared" si="2"/>
        <v>3.9213372959681907E-2</v>
      </c>
      <c r="BZ23" s="1">
        <v>1641248.7834822116</v>
      </c>
      <c r="CA23" s="2">
        <f t="shared" si="45"/>
        <v>8611330.1090411209</v>
      </c>
      <c r="CB23" s="1">
        <f t="shared" si="3"/>
        <v>1.1536254133007372E-2</v>
      </c>
      <c r="CL23" s="1823">
        <v>22</v>
      </c>
      <c r="CM23" s="1822"/>
      <c r="CO23" s="57"/>
      <c r="CP23" s="1">
        <v>1056566.796691136</v>
      </c>
      <c r="CQ23" s="2">
        <f t="shared" si="52"/>
        <v>28787228.143675599</v>
      </c>
      <c r="CR23" s="1">
        <f t="shared" si="51"/>
        <v>3.7064471155743184E-2</v>
      </c>
      <c r="DB23" s="1823">
        <v>24</v>
      </c>
      <c r="DE23" s="883">
        <v>2916095.7935600234</v>
      </c>
      <c r="DF23" s="1">
        <f t="shared" si="24"/>
        <v>43905047.658327945</v>
      </c>
      <c r="DG23" s="1">
        <f t="shared" si="25"/>
        <v>4.0213902355013278E-2</v>
      </c>
      <c r="DP23" s="1823">
        <v>24</v>
      </c>
      <c r="DQ23" s="1">
        <v>1724377.657918216</v>
      </c>
      <c r="DR23">
        <v>229</v>
      </c>
      <c r="DS23" s="57">
        <f t="shared" si="26"/>
        <v>23537768.383366711</v>
      </c>
      <c r="DT23" s="895">
        <v>2759218.352038587</v>
      </c>
      <c r="DU23" s="57">
        <f t="shared" si="27"/>
        <v>26296986.7354053</v>
      </c>
      <c r="DV23" s="1">
        <f t="shared" si="6"/>
        <v>1.8425235775202411E-2</v>
      </c>
      <c r="DW23" s="1">
        <f t="shared" si="28"/>
        <v>3.6169737992393709E-2</v>
      </c>
      <c r="DY23" s="2">
        <f t="shared" si="29"/>
        <v>28021364.393323515</v>
      </c>
      <c r="EI23" s="1823">
        <v>24</v>
      </c>
      <c r="EJ23" s="2">
        <v>839480.30438798689</v>
      </c>
      <c r="EK23" s="2">
        <f t="shared" si="34"/>
        <v>2745416.996412361</v>
      </c>
      <c r="EL23" s="1">
        <v>33</v>
      </c>
      <c r="EM23" s="2">
        <f t="shared" si="40"/>
        <v>3530133.7575774756</v>
      </c>
      <c r="EN23" s="2">
        <v>6091770.2332419101</v>
      </c>
      <c r="EO23" s="2">
        <f t="shared" si="7"/>
        <v>42876117.789396062</v>
      </c>
      <c r="EP23" s="2">
        <f t="shared" si="8"/>
        <v>46406251.546973541</v>
      </c>
      <c r="EQ23" s="30">
        <f t="shared" si="9"/>
        <v>4.3798915334946655E-3</v>
      </c>
      <c r="ER23" s="30">
        <f t="shared" si="10"/>
        <v>6.4787390759722605E-2</v>
      </c>
      <c r="ET23" s="2">
        <f t="shared" si="11"/>
        <v>45621534.785808422</v>
      </c>
      <c r="FF23" s="1823">
        <v>24</v>
      </c>
      <c r="FG23" s="2">
        <v>6218806.2964461623</v>
      </c>
      <c r="FH23" s="2">
        <f t="shared" si="35"/>
        <v>21173345.423965037</v>
      </c>
      <c r="FI23" s="1">
        <v>571</v>
      </c>
      <c r="FJ23" s="2">
        <f t="shared" si="4"/>
        <v>28819.876728334959</v>
      </c>
      <c r="FK23" s="2">
        <v>11066310.893367536</v>
      </c>
      <c r="FL23" s="2">
        <f t="shared" si="5"/>
        <v>46579508.86577861</v>
      </c>
      <c r="FM23" s="2">
        <f t="shared" si="12"/>
        <v>46608328.742506944</v>
      </c>
      <c r="FN23" s="30">
        <f t="shared" si="13"/>
        <v>6.9835847561893802E-2</v>
      </c>
      <c r="FO23" s="30">
        <f t="shared" si="14"/>
        <v>6.8767756486508638E-2</v>
      </c>
      <c r="FQ23" s="2">
        <f t="shared" si="15"/>
        <v>67781674.166471988</v>
      </c>
      <c r="GB23" s="1823">
        <v>24</v>
      </c>
      <c r="GC23" s="2">
        <v>14457714.191591706</v>
      </c>
      <c r="GD23" s="2">
        <f t="shared" si="49"/>
        <v>55569164.599875614</v>
      </c>
      <c r="GE23">
        <v>225</v>
      </c>
      <c r="GF23" s="2">
        <f t="shared" si="30"/>
        <v>2673.0451214913646</v>
      </c>
      <c r="GG23" s="1444">
        <v>20084929.484577522</v>
      </c>
      <c r="GH23" s="2">
        <f t="shared" si="16"/>
        <v>181619083.04060942</v>
      </c>
      <c r="GI23" s="2">
        <f t="shared" si="31"/>
        <v>181621756.08573091</v>
      </c>
      <c r="GJ23" s="2">
        <f t="shared" si="17"/>
        <v>10.418304204115882</v>
      </c>
      <c r="GK23" s="2">
        <f t="shared" si="18"/>
        <v>6.3866023275617358</v>
      </c>
      <c r="GL23" s="2"/>
      <c r="GM23" s="2">
        <f t="shared" si="19"/>
        <v>237190920.68560654</v>
      </c>
      <c r="HC23" s="1963">
        <v>24</v>
      </c>
      <c r="HD23" s="57">
        <v>5679434.5861203391</v>
      </c>
      <c r="HE23" s="2">
        <f t="shared" si="39"/>
        <v>48995171.708143838</v>
      </c>
      <c r="HF23" s="73"/>
      <c r="HG23" s="2">
        <f t="shared" si="32"/>
        <v>0</v>
      </c>
      <c r="HH23" s="2">
        <v>863</v>
      </c>
      <c r="HI23" s="2">
        <f t="shared" si="36"/>
        <v>183059666.86010888</v>
      </c>
      <c r="HJ23" s="2">
        <f t="shared" si="33"/>
        <v>183059666.86010888</v>
      </c>
      <c r="HK23" s="2">
        <f t="shared" si="21"/>
        <v>9.1857886844942254</v>
      </c>
      <c r="HL23" s="2">
        <f t="shared" si="22"/>
        <v>11.119701069449816</v>
      </c>
      <c r="HM23" s="2"/>
      <c r="HN23" s="2">
        <f t="shared" si="23"/>
        <v>232054838.56825271</v>
      </c>
    </row>
    <row r="24" spans="1:222" ht="14.4" thickTop="1" thickBot="1">
      <c r="A24" s="110">
        <v>25</v>
      </c>
      <c r="B24" s="1154">
        <v>602</v>
      </c>
      <c r="C24" s="2"/>
      <c r="D24" s="2">
        <v>602</v>
      </c>
      <c r="E24" s="2">
        <v>46784875.925925925</v>
      </c>
      <c r="F24">
        <v>460</v>
      </c>
      <c r="G24" s="2">
        <v>3206200</v>
      </c>
      <c r="H24" s="129">
        <v>11820816.748471377</v>
      </c>
      <c r="I24" s="2">
        <v>15940081.285943773</v>
      </c>
      <c r="J24" s="2">
        <v>46785335.925925925</v>
      </c>
      <c r="K24" s="2">
        <v>15940081.285943773</v>
      </c>
      <c r="L24" s="1">
        <v>0.10544827374454954</v>
      </c>
      <c r="M24" s="1">
        <v>6.0811633555623135E-2</v>
      </c>
      <c r="W24" s="391">
        <v>25</v>
      </c>
      <c r="X24" s="123">
        <v>791149.34346271749</v>
      </c>
      <c r="Y24" s="57">
        <f t="shared" si="0"/>
        <v>2116029.607429191</v>
      </c>
      <c r="Z24" s="392">
        <v>1739602.9408858223</v>
      </c>
      <c r="AA24" s="2">
        <v>11807577.733205469</v>
      </c>
      <c r="AB24" s="2">
        <f t="shared" si="50"/>
        <v>14461268.151681373</v>
      </c>
      <c r="AC24" s="30">
        <f t="shared" si="46"/>
        <v>1.951607053230622</v>
      </c>
      <c r="AD24" s="30">
        <f t="shared" si="47"/>
        <v>2.522107310909051</v>
      </c>
      <c r="AO24" s="438">
        <v>23</v>
      </c>
      <c r="AP24" s="1821">
        <v>5625.8364047777186</v>
      </c>
      <c r="AQ24" s="1821">
        <v>11435.826152025455</v>
      </c>
      <c r="AR24" s="1146">
        <v>74293.371349720372</v>
      </c>
      <c r="AS24" s="57">
        <f t="shared" si="37"/>
        <v>494976.24907555629</v>
      </c>
      <c r="AT24" s="1">
        <f t="shared" si="38"/>
        <v>1.7346892277821891E-4</v>
      </c>
      <c r="AU24" s="1">
        <f t="shared" si="1"/>
        <v>9.4902890442924242E-4</v>
      </c>
      <c r="BE24" s="438">
        <v>23</v>
      </c>
      <c r="BF24" s="465">
        <v>1702575.1382155877</v>
      </c>
      <c r="BG24" s="1147">
        <f t="shared" si="42"/>
        <v>4444996.0766083356</v>
      </c>
      <c r="BH24" s="1146">
        <v>232268.15278312407</v>
      </c>
      <c r="BI24" s="57">
        <f t="shared" si="43"/>
        <v>3088898.2792102927</v>
      </c>
      <c r="BJ24" s="1">
        <f t="shared" si="41"/>
        <v>1.8388688802936825E-2</v>
      </c>
      <c r="BK24" s="1">
        <f t="shared" si="44"/>
        <v>5.6353823922469437E-3</v>
      </c>
      <c r="BV24" s="1823">
        <v>23</v>
      </c>
      <c r="BW24" s="1822">
        <v>2014985.1142576812</v>
      </c>
      <c r="BX24" s="57">
        <f t="shared" si="48"/>
        <v>2327828.9277950195</v>
      </c>
      <c r="BY24" s="1">
        <f t="shared" si="2"/>
        <v>4.4661679541019392E-2</v>
      </c>
      <c r="BZ24" s="1">
        <v>3188322.3719482371</v>
      </c>
      <c r="CA24" s="2">
        <f t="shared" si="45"/>
        <v>16728540.313452626</v>
      </c>
      <c r="CB24" s="1">
        <f t="shared" si="3"/>
        <v>2.2410555615285464E-2</v>
      </c>
      <c r="CL24" s="1823">
        <v>23</v>
      </c>
      <c r="CM24" s="1822"/>
      <c r="CO24" s="57"/>
      <c r="CP24" s="1">
        <v>604963.10058618011</v>
      </c>
      <c r="CQ24" s="2">
        <f t="shared" si="52"/>
        <v>16482829.906844679</v>
      </c>
      <c r="CR24" s="1">
        <f t="shared" si="51"/>
        <v>2.1222167365269006E-2</v>
      </c>
      <c r="DB24" s="1824">
        <v>25</v>
      </c>
      <c r="DE24" s="883">
        <v>1929338.4010428414</v>
      </c>
      <c r="DF24" s="1">
        <f t="shared" si="24"/>
        <v>29048323.664091799</v>
      </c>
      <c r="DG24" s="1">
        <f t="shared" si="25"/>
        <v>2.6606199371316121E-2</v>
      </c>
      <c r="DP24" s="1824">
        <v>25</v>
      </c>
      <c r="DQ24" s="1">
        <v>1881218.6344625908</v>
      </c>
      <c r="DR24">
        <v>420</v>
      </c>
      <c r="DS24" s="57">
        <f t="shared" si="26"/>
        <v>43169706.205301389</v>
      </c>
      <c r="DT24" s="895">
        <v>4072248.0655453699</v>
      </c>
      <c r="DU24" s="57">
        <f t="shared" si="27"/>
        <v>47241954.270846762</v>
      </c>
      <c r="DV24" s="1">
        <f t="shared" si="6"/>
        <v>2.010110530341927E-2</v>
      </c>
      <c r="DW24" s="1">
        <f t="shared" si="28"/>
        <v>6.4978133252225526E-2</v>
      </c>
      <c r="DY24" s="2">
        <f t="shared" si="29"/>
        <v>49123172.905309349</v>
      </c>
      <c r="EI24" s="1824">
        <v>25</v>
      </c>
      <c r="EJ24" s="2">
        <v>420182.77624636854</v>
      </c>
      <c r="EK24" s="2">
        <f t="shared" si="34"/>
        <v>1374156.0456829462</v>
      </c>
      <c r="EL24" s="1">
        <v>62</v>
      </c>
      <c r="EM24" s="2">
        <f t="shared" si="40"/>
        <v>6632372.5142364698</v>
      </c>
      <c r="EN24" s="2">
        <v>5994867.4586393656</v>
      </c>
      <c r="EO24" s="2">
        <f t="shared" si="7"/>
        <v>42194080.4473923</v>
      </c>
      <c r="EP24" s="2">
        <f t="shared" si="8"/>
        <v>48826452.961628772</v>
      </c>
      <c r="EQ24" s="30">
        <f t="shared" si="9"/>
        <v>2.192255106620329E-3</v>
      </c>
      <c r="ER24" s="30">
        <f t="shared" si="10"/>
        <v>6.8166214291931121E-2</v>
      </c>
      <c r="ET24" s="2">
        <f t="shared" si="11"/>
        <v>43568236.493075244</v>
      </c>
      <c r="FF24" s="1824">
        <v>25</v>
      </c>
      <c r="FG24" s="2">
        <v>4663196.4429245265</v>
      </c>
      <c r="FH24" s="2">
        <f t="shared" si="35"/>
        <v>15876916.62341534</v>
      </c>
      <c r="FI24" s="1">
        <v>706</v>
      </c>
      <c r="FJ24" s="2">
        <f t="shared" si="4"/>
        <v>35633.682960077902</v>
      </c>
      <c r="FK24" s="2">
        <v>9483617.3986459747</v>
      </c>
      <c r="FL24" s="2">
        <f t="shared" si="5"/>
        <v>39917750.816546775</v>
      </c>
      <c r="FM24" s="2">
        <f t="shared" si="12"/>
        <v>39953384.499506854</v>
      </c>
      <c r="FN24" s="30">
        <f t="shared" si="13"/>
        <v>5.2366685890400756E-2</v>
      </c>
      <c r="FO24" s="30">
        <f t="shared" si="14"/>
        <v>5.894879070332773E-2</v>
      </c>
      <c r="FQ24" s="2">
        <f t="shared" si="15"/>
        <v>55830301.122922197</v>
      </c>
      <c r="GB24" s="1824">
        <v>25</v>
      </c>
      <c r="GC24" s="2">
        <v>17464047.774479643</v>
      </c>
      <c r="GD24" s="2">
        <f t="shared" si="49"/>
        <v>67124203.210805669</v>
      </c>
      <c r="GE24">
        <v>330</v>
      </c>
      <c r="GF24" s="2">
        <f t="shared" si="30"/>
        <v>3920.4661781873347</v>
      </c>
      <c r="GG24" s="1444">
        <v>15052329.508340333</v>
      </c>
      <c r="GH24" s="2">
        <f t="shared" si="16"/>
        <v>136111520.08420321</v>
      </c>
      <c r="GI24" s="2">
        <f t="shared" si="31"/>
        <v>136115440.55038139</v>
      </c>
      <c r="GJ24" s="2">
        <f t="shared" si="17"/>
        <v>12.584683853797415</v>
      </c>
      <c r="GK24" s="2">
        <f t="shared" si="18"/>
        <v>9.3670167470905454</v>
      </c>
      <c r="GL24" s="2"/>
      <c r="GM24" s="2">
        <f t="shared" si="19"/>
        <v>203239643.76118708</v>
      </c>
      <c r="HC24" s="1963">
        <v>25</v>
      </c>
      <c r="HD24" s="57">
        <v>7205984.5385572007</v>
      </c>
      <c r="HE24" s="2">
        <f t="shared" si="39"/>
        <v>62164365.913406245</v>
      </c>
      <c r="HF24" s="73"/>
      <c r="HG24" s="2">
        <f t="shared" si="32"/>
        <v>0</v>
      </c>
      <c r="HH24" s="2">
        <v>902</v>
      </c>
      <c r="HI24" s="2">
        <f t="shared" si="36"/>
        <v>191332351.68924475</v>
      </c>
      <c r="HJ24" s="2">
        <f t="shared" si="33"/>
        <v>191332351.68924475</v>
      </c>
      <c r="HK24" s="2">
        <f t="shared" si="21"/>
        <v>11.654795953928883</v>
      </c>
      <c r="HL24" s="2">
        <f t="shared" si="22"/>
        <v>11.622213632263886</v>
      </c>
      <c r="HM24" s="2"/>
      <c r="HN24" s="2">
        <f t="shared" si="23"/>
        <v>253496717.602651</v>
      </c>
    </row>
    <row r="25" spans="1:222" ht="14.4" thickTop="1" thickBot="1">
      <c r="A25" s="110">
        <v>26</v>
      </c>
      <c r="B25" s="1154">
        <v>613</v>
      </c>
      <c r="C25" s="2"/>
      <c r="D25" s="2">
        <v>613</v>
      </c>
      <c r="E25" s="2">
        <v>47639749.074074075</v>
      </c>
      <c r="F25">
        <v>564</v>
      </c>
      <c r="G25" s="2">
        <v>3931080</v>
      </c>
      <c r="H25" s="129">
        <v>10706717.846398752</v>
      </c>
      <c r="I25" s="2">
        <v>14437746.258043535</v>
      </c>
      <c r="J25" s="2">
        <v>47640313.074074075</v>
      </c>
      <c r="K25" s="2">
        <v>14437746.258043535</v>
      </c>
      <c r="L25" s="1">
        <v>0.10737528490261843</v>
      </c>
      <c r="M25" s="1">
        <v>5.5080204364292187E-2</v>
      </c>
      <c r="W25" s="391">
        <v>26</v>
      </c>
      <c r="X25" s="123">
        <v>627693.2091054481</v>
      </c>
      <c r="Y25" s="57">
        <f t="shared" si="0"/>
        <v>1678845.3732843956</v>
      </c>
      <c r="Z25" s="392">
        <v>3367659.8861412141</v>
      </c>
      <c r="AA25" s="2">
        <v>22858035.560897656</v>
      </c>
      <c r="AB25" s="2">
        <f t="shared" si="50"/>
        <v>27995257.71803423</v>
      </c>
      <c r="AC25" s="30">
        <f t="shared" si="46"/>
        <v>1.5483934914152957</v>
      </c>
      <c r="AD25" s="30">
        <f t="shared" si="47"/>
        <v>4.8824932516881576</v>
      </c>
      <c r="AO25" s="438">
        <v>24</v>
      </c>
      <c r="AP25" s="1821">
        <v>22170.301144487559</v>
      </c>
      <c r="AQ25" s="1821">
        <v>45066.313945975489</v>
      </c>
      <c r="AR25" s="1146">
        <v>192947.99560422931</v>
      </c>
      <c r="AS25" s="57">
        <f t="shared" si="37"/>
        <v>1285507.3527523773</v>
      </c>
      <c r="AT25" s="1">
        <f t="shared" si="38"/>
        <v>6.8360648630608808E-4</v>
      </c>
      <c r="AU25" s="1">
        <f t="shared" si="1"/>
        <v>2.4647316651997546E-3</v>
      </c>
      <c r="BE25" s="438">
        <v>24</v>
      </c>
      <c r="BF25" s="465">
        <v>737074.76994669077</v>
      </c>
      <c r="BG25" s="1147">
        <f t="shared" si="42"/>
        <v>1924317.1047439394</v>
      </c>
      <c r="BH25" s="1146">
        <v>115002.58571740118</v>
      </c>
      <c r="BI25" s="57">
        <f t="shared" si="43"/>
        <v>1529401.6199410046</v>
      </c>
      <c r="BJ25" s="1">
        <f t="shared" si="41"/>
        <v>7.9607873184682331E-3</v>
      </c>
      <c r="BK25" s="1">
        <f t="shared" si="44"/>
        <v>2.7902385189236341E-3</v>
      </c>
      <c r="BV25" s="1823">
        <v>24</v>
      </c>
      <c r="BW25" s="1822">
        <v>3785666.2230250887</v>
      </c>
      <c r="BX25" s="57">
        <f t="shared" si="48"/>
        <v>4373423.5466949278</v>
      </c>
      <c r="BY25" s="1">
        <f t="shared" si="2"/>
        <v>8.3908417241233338E-2</v>
      </c>
      <c r="BZ25" s="1">
        <v>5634406.8838844076</v>
      </c>
      <c r="CA25" s="2">
        <f t="shared" si="45"/>
        <v>29562695.268439922</v>
      </c>
      <c r="CB25" s="1">
        <f t="shared" si="3"/>
        <v>3.9603959104449304E-2</v>
      </c>
      <c r="CL25" s="1823">
        <v>24</v>
      </c>
      <c r="CM25" s="1822"/>
      <c r="CO25" s="57"/>
      <c r="CP25" s="1">
        <v>380734.96937119187</v>
      </c>
      <c r="CQ25" s="2">
        <f t="shared" si="52"/>
        <v>10373508.29108805</v>
      </c>
      <c r="CR25" s="1">
        <f t="shared" si="51"/>
        <v>1.3356221617445509E-2</v>
      </c>
      <c r="DB25" s="1823">
        <v>26</v>
      </c>
      <c r="DE25" s="883">
        <v>1466227.17451174</v>
      </c>
      <c r="DF25" s="1">
        <f t="shared" si="24"/>
        <v>22075671.902493834</v>
      </c>
      <c r="DG25" s="1">
        <f t="shared" si="25"/>
        <v>2.0219746057827323E-2</v>
      </c>
      <c r="DP25" s="1823">
        <v>26</v>
      </c>
      <c r="DQ25" s="1">
        <v>2735471.2708329051</v>
      </c>
      <c r="DR25">
        <v>579</v>
      </c>
      <c r="DS25" s="57">
        <f t="shared" si="26"/>
        <v>59512523.554451205</v>
      </c>
      <c r="DT25" s="895">
        <v>6850355.5222123377</v>
      </c>
      <c r="DU25" s="57">
        <f t="shared" si="27"/>
        <v>66362879.076663539</v>
      </c>
      <c r="DV25" s="1">
        <f t="shared" si="6"/>
        <v>2.9228923774294983E-2</v>
      </c>
      <c r="DW25" s="1">
        <f t="shared" si="28"/>
        <v>9.1277680320388702E-2</v>
      </c>
      <c r="DY25" s="2">
        <f t="shared" si="29"/>
        <v>69098350.34749645</v>
      </c>
      <c r="EI25" s="1823">
        <v>26</v>
      </c>
      <c r="EJ25" s="2">
        <v>492144.19768468343</v>
      </c>
      <c r="EK25" s="2">
        <f t="shared" si="34"/>
        <v>1609497.0161262902</v>
      </c>
      <c r="EL25" s="1">
        <v>50</v>
      </c>
      <c r="EM25" s="2">
        <f t="shared" si="40"/>
        <v>5348687.5114810234</v>
      </c>
      <c r="EN25" s="2">
        <v>5039466.983268436</v>
      </c>
      <c r="EO25" s="2">
        <f t="shared" si="7"/>
        <v>35469620.766606063</v>
      </c>
      <c r="EP25" s="2">
        <f t="shared" si="8"/>
        <v>40818308.278087087</v>
      </c>
      <c r="EQ25" s="30">
        <f t="shared" si="9"/>
        <v>2.5677055118870705E-3</v>
      </c>
      <c r="ER25" s="30">
        <f t="shared" si="10"/>
        <v>5.6986108560964227E-2</v>
      </c>
      <c r="ET25" s="2">
        <f t="shared" si="11"/>
        <v>37079117.782732353</v>
      </c>
      <c r="FF25" s="1823">
        <v>26</v>
      </c>
      <c r="FG25" s="2">
        <v>3127730.699804937</v>
      </c>
      <c r="FH25" s="2">
        <f t="shared" si="35"/>
        <v>10649073.044445025</v>
      </c>
      <c r="FI25" s="1">
        <v>610</v>
      </c>
      <c r="FJ25" s="2">
        <f t="shared" si="4"/>
        <v>30788.309639727366</v>
      </c>
      <c r="FK25" s="2">
        <v>8131784.7381420461</v>
      </c>
      <c r="FL25" s="2">
        <f t="shared" si="5"/>
        <v>34227715.35651549</v>
      </c>
      <c r="FM25" s="2">
        <f t="shared" si="12"/>
        <v>34258503.666155219</v>
      </c>
      <c r="FN25" s="30">
        <f t="shared" si="13"/>
        <v>3.5123738215010344E-2</v>
      </c>
      <c r="FO25" s="30">
        <f t="shared" si="14"/>
        <v>5.0546340134220581E-2</v>
      </c>
      <c r="FQ25" s="2">
        <f t="shared" si="15"/>
        <v>44907576.710600242</v>
      </c>
      <c r="GB25" s="1823">
        <v>26</v>
      </c>
      <c r="GC25" s="2">
        <v>18707760.380561247</v>
      </c>
      <c r="GD25" s="2">
        <f t="shared" si="49"/>
        <v>71904493.483972296</v>
      </c>
      <c r="GE25">
        <v>352</v>
      </c>
      <c r="GF25" s="2">
        <f t="shared" si="30"/>
        <v>4181.8305900664909</v>
      </c>
      <c r="GG25" s="1444">
        <v>11821244.727986021</v>
      </c>
      <c r="GH25" s="2">
        <f t="shared" si="16"/>
        <v>106894257.68430175</v>
      </c>
      <c r="GI25" s="2">
        <f t="shared" si="31"/>
        <v>106898439.51489182</v>
      </c>
      <c r="GJ25" s="2">
        <f t="shared" si="17"/>
        <v>13.480909640318195</v>
      </c>
      <c r="GK25" s="2">
        <f t="shared" si="18"/>
        <v>9.9914845302299167</v>
      </c>
      <c r="GL25" s="2"/>
      <c r="GM25" s="2">
        <f t="shared" si="19"/>
        <v>178802932.99886411</v>
      </c>
      <c r="HC25" s="1963">
        <v>26</v>
      </c>
      <c r="HD25" s="57">
        <v>5786039.8226956856</v>
      </c>
      <c r="HE25" s="2">
        <f t="shared" si="39"/>
        <v>49914830.486107573</v>
      </c>
      <c r="HF25" s="73"/>
      <c r="HG25" s="2">
        <f t="shared" si="32"/>
        <v>0</v>
      </c>
      <c r="HH25" s="2">
        <v>821</v>
      </c>
      <c r="HI25" s="2">
        <f t="shared" si="36"/>
        <v>174150621.65950105</v>
      </c>
      <c r="HJ25" s="2">
        <f t="shared" si="33"/>
        <v>174150621.65950105</v>
      </c>
      <c r="HK25" s="2">
        <f t="shared" si="21"/>
        <v>9.3582095762208066</v>
      </c>
      <c r="HL25" s="2">
        <f t="shared" si="22"/>
        <v>10.578533694111586</v>
      </c>
      <c r="HM25" s="2"/>
      <c r="HN25" s="2">
        <f t="shared" si="23"/>
        <v>224065452.1456086</v>
      </c>
    </row>
    <row r="26" spans="1:222" ht="14.4" thickTop="1" thickBot="1">
      <c r="A26" s="110">
        <v>27</v>
      </c>
      <c r="B26" s="1154">
        <v>537</v>
      </c>
      <c r="C26" s="2"/>
      <c r="D26" s="2">
        <v>537</v>
      </c>
      <c r="E26" s="2">
        <v>41733352.777777776</v>
      </c>
      <c r="F26">
        <v>576</v>
      </c>
      <c r="G26" s="2">
        <v>4014720</v>
      </c>
      <c r="H26" s="129">
        <v>10959602.811249968</v>
      </c>
      <c r="I26" s="2">
        <v>14778755.426994799</v>
      </c>
      <c r="J26" s="2">
        <v>41733928.777777776</v>
      </c>
      <c r="K26" s="2">
        <v>14778755.426994799</v>
      </c>
      <c r="L26" s="1">
        <v>9.4063036186429805E-2</v>
      </c>
      <c r="M26" s="1">
        <v>5.6381159124143904E-2</v>
      </c>
      <c r="W26" s="391">
        <v>27</v>
      </c>
      <c r="X26" s="123">
        <v>962730.80644906685</v>
      </c>
      <c r="Y26" s="57">
        <f t="shared" si="0"/>
        <v>2574946.0670903125</v>
      </c>
      <c r="Z26" s="392">
        <v>5044150.754276705</v>
      </c>
      <c r="AA26" s="2">
        <v>34237239.274153613</v>
      </c>
      <c r="AB26" s="2">
        <f t="shared" si="50"/>
        <v>41931877.062680237</v>
      </c>
      <c r="AC26" s="30">
        <f t="shared" si="46"/>
        <v>2.374864174196138</v>
      </c>
      <c r="AD26" s="30">
        <f t="shared" si="47"/>
        <v>7.3130995560461498</v>
      </c>
      <c r="AO26" s="438">
        <v>25</v>
      </c>
      <c r="AP26" s="1821">
        <v>153008.41643301028</v>
      </c>
      <c r="AQ26" s="1821">
        <v>311025.3345864499</v>
      </c>
      <c r="AR26" s="1146">
        <v>790969.63243677188</v>
      </c>
      <c r="AS26" s="57">
        <f t="shared" si="37"/>
        <v>5269799.6427335152</v>
      </c>
      <c r="AT26" s="1">
        <f t="shared" si="38"/>
        <v>4.7179127270914889E-3</v>
      </c>
      <c r="AU26" s="1">
        <f t="shared" si="1"/>
        <v>1.0103903350606198E-2</v>
      </c>
      <c r="BE26" s="438">
        <v>25</v>
      </c>
      <c r="BF26" s="465">
        <v>350960.9985086777</v>
      </c>
      <c r="BG26" s="1147">
        <f t="shared" si="42"/>
        <v>916271.02169988316</v>
      </c>
      <c r="BH26" s="1146">
        <v>65375.648082421343</v>
      </c>
      <c r="BI26" s="57">
        <f t="shared" si="43"/>
        <v>869420.64352922875</v>
      </c>
      <c r="BJ26" s="1">
        <f t="shared" si="41"/>
        <v>3.7905596285800172E-3</v>
      </c>
      <c r="BK26" s="1">
        <f t="shared" si="44"/>
        <v>1.5861700007982237E-3</v>
      </c>
      <c r="BV26" s="1824">
        <v>25</v>
      </c>
      <c r="BW26" s="1822">
        <v>5811266.1923008859</v>
      </c>
      <c r="BX26" s="57">
        <f t="shared" si="48"/>
        <v>6713515.3772780029</v>
      </c>
      <c r="BY26" s="1">
        <f t="shared" si="2"/>
        <v>0.12880537259140834</v>
      </c>
      <c r="BZ26" s="1">
        <v>9177976.1147345267</v>
      </c>
      <c r="CA26" s="2">
        <f t="shared" si="45"/>
        <v>48155150.427095674</v>
      </c>
      <c r="CB26" s="1">
        <f t="shared" si="3"/>
        <v>6.4511526803149449E-2</v>
      </c>
      <c r="CL26" s="1824">
        <v>25</v>
      </c>
      <c r="CM26" s="1822">
        <v>36334.278454175619</v>
      </c>
      <c r="CN26" s="2">
        <f>CM26*$CM$55</f>
        <v>82216.25051674775</v>
      </c>
      <c r="CO26" s="1">
        <f>CN26/$CN$52</f>
        <v>6.3724617686657603E-2</v>
      </c>
      <c r="CP26" s="1">
        <v>476589.92832702247</v>
      </c>
      <c r="CQ26" s="2">
        <f t="shared" si="52"/>
        <v>12985173.337543989</v>
      </c>
      <c r="CR26" s="1">
        <f t="shared" si="51"/>
        <v>1.6718823369156546E-2</v>
      </c>
      <c r="DB26" s="1823">
        <v>27</v>
      </c>
      <c r="DE26" s="883">
        <v>1262626.9705345691</v>
      </c>
      <c r="DF26" s="1">
        <f t="shared" si="24"/>
        <v>19010245.629939876</v>
      </c>
      <c r="DG26" s="1">
        <f t="shared" si="25"/>
        <v>1.7412033519617731E-2</v>
      </c>
      <c r="DP26" s="1823">
        <v>27</v>
      </c>
      <c r="DQ26" s="1">
        <v>3567110.6459371811</v>
      </c>
      <c r="DR26">
        <v>688</v>
      </c>
      <c r="DS26" s="57">
        <f t="shared" si="26"/>
        <v>70716090.164874658</v>
      </c>
      <c r="DT26" s="895">
        <v>9362455.1825273745</v>
      </c>
      <c r="DU26" s="57">
        <f t="shared" si="27"/>
        <v>80078545.347402036</v>
      </c>
      <c r="DV26" s="1">
        <f t="shared" si="6"/>
        <v>3.8115116132375879E-2</v>
      </c>
      <c r="DW26" s="1">
        <f t="shared" si="28"/>
        <v>0.11014265752843524</v>
      </c>
      <c r="DY26" s="2">
        <f t="shared" si="29"/>
        <v>83645655.993339211</v>
      </c>
      <c r="EI26" s="1823">
        <v>27</v>
      </c>
      <c r="EJ26" s="2">
        <v>527310.7319813692</v>
      </c>
      <c r="EK26" s="2">
        <f t="shared" si="34"/>
        <v>1724504.8375824774</v>
      </c>
      <c r="EL26" s="1">
        <v>55</v>
      </c>
      <c r="EM26" s="2">
        <f t="shared" si="40"/>
        <v>5883556.2626291262</v>
      </c>
      <c r="EN26" s="2">
        <v>4558009.3288071118</v>
      </c>
      <c r="EO26" s="2">
        <f t="shared" si="7"/>
        <v>32080944.84599369</v>
      </c>
      <c r="EP26" s="2">
        <f t="shared" si="8"/>
        <v>37964501.108622819</v>
      </c>
      <c r="EQ26" s="30">
        <f t="shared" si="9"/>
        <v>2.7511828430684068E-3</v>
      </c>
      <c r="ER26" s="30">
        <f t="shared" si="10"/>
        <v>5.3001931557272633E-2</v>
      </c>
      <c r="ET26" s="2">
        <f t="shared" si="11"/>
        <v>33805449.683576167</v>
      </c>
      <c r="FF26" s="1823">
        <v>27</v>
      </c>
      <c r="FG26" s="2">
        <v>2464421.4970399104</v>
      </c>
      <c r="FH26" s="2">
        <f t="shared" si="35"/>
        <v>8390685.4691534918</v>
      </c>
      <c r="FI26" s="1">
        <v>381</v>
      </c>
      <c r="FJ26" s="2">
        <f t="shared" si="4"/>
        <v>19230.075365141191</v>
      </c>
      <c r="FK26" s="2">
        <v>7080610.5390884746</v>
      </c>
      <c r="FL26" s="2">
        <f t="shared" si="5"/>
        <v>29803189.568645287</v>
      </c>
      <c r="FM26" s="2">
        <f>FJ26+FL26</f>
        <v>29822419.644010428</v>
      </c>
      <c r="FN26" s="30">
        <f t="shared" si="13"/>
        <v>2.7674919557131968E-2</v>
      </c>
      <c r="FO26" s="30">
        <f t="shared" si="14"/>
        <v>4.4001167757972526E-2</v>
      </c>
      <c r="FQ26" s="2">
        <f t="shared" si="15"/>
        <v>38213105.113163918</v>
      </c>
      <c r="GB26" s="1823">
        <v>27</v>
      </c>
      <c r="GC26" s="2">
        <v>13131908.204350952</v>
      </c>
      <c r="GD26" s="2">
        <f t="shared" si="49"/>
        <v>50473343.078149222</v>
      </c>
      <c r="GE26">
        <v>310</v>
      </c>
      <c r="GF26" s="2">
        <f t="shared" si="30"/>
        <v>3682.8621673881025</v>
      </c>
      <c r="GG26" s="1444">
        <v>10956900.787794273</v>
      </c>
      <c r="GH26" s="2">
        <f t="shared" si="16"/>
        <v>99078379.915356994</v>
      </c>
      <c r="GI26" s="2">
        <f>GF26+GH26</f>
        <v>99082062.777524382</v>
      </c>
      <c r="GJ26" s="2">
        <f t="shared" si="17"/>
        <v>9.4629214992381314</v>
      </c>
      <c r="GK26" s="2">
        <f t="shared" si="18"/>
        <v>8.7993187624183911</v>
      </c>
      <c r="GL26" s="2"/>
      <c r="GM26" s="2">
        <f t="shared" si="19"/>
        <v>149555405.85567361</v>
      </c>
      <c r="HC26" s="1963">
        <v>27</v>
      </c>
      <c r="HD26" s="57">
        <v>7001748.3389676455</v>
      </c>
      <c r="HE26" s="2">
        <f t="shared" si="39"/>
        <v>60402467.344776973</v>
      </c>
      <c r="HF26" s="73"/>
      <c r="HG26" s="2">
        <f t="shared" si="32"/>
        <v>0</v>
      </c>
      <c r="HH26" s="2">
        <v>819</v>
      </c>
      <c r="HI26" s="2">
        <f t="shared" si="36"/>
        <v>173726381.41185305</v>
      </c>
      <c r="HJ26" s="2">
        <f>HG26+HI26</f>
        <v>173726381.41185305</v>
      </c>
      <c r="HK26" s="2">
        <f t="shared" si="21"/>
        <v>11.324468956988259</v>
      </c>
      <c r="HL26" s="2">
        <f t="shared" si="22"/>
        <v>10.55276381909548</v>
      </c>
      <c r="HM26" s="2"/>
      <c r="HN26" s="2">
        <f t="shared" si="23"/>
        <v>234128848.75663</v>
      </c>
    </row>
    <row r="27" spans="1:222" ht="14.4" thickTop="1" thickBot="1">
      <c r="A27" s="110">
        <v>28</v>
      </c>
      <c r="B27" s="1154">
        <v>493</v>
      </c>
      <c r="C27" s="2"/>
      <c r="D27" s="2">
        <v>493</v>
      </c>
      <c r="E27" s="2">
        <v>38313860.185185187</v>
      </c>
      <c r="F27">
        <v>441</v>
      </c>
      <c r="G27" s="2">
        <v>3073770</v>
      </c>
      <c r="H27" s="129">
        <v>8782102.2162282486</v>
      </c>
      <c r="I27" s="2">
        <v>11842449.31351701</v>
      </c>
      <c r="J27" s="2">
        <v>38314301.185185187</v>
      </c>
      <c r="K27" s="2">
        <v>11842449.31351701</v>
      </c>
      <c r="L27" s="1">
        <v>8.6355624892877528E-2</v>
      </c>
      <c r="M27" s="1">
        <v>4.5179110139776067E-2</v>
      </c>
      <c r="W27" s="391">
        <v>28</v>
      </c>
      <c r="X27" s="123">
        <v>1393937.4956387512</v>
      </c>
      <c r="Y27" s="57">
        <f t="shared" si="0"/>
        <v>3728263.2363282689</v>
      </c>
      <c r="Z27" s="392">
        <v>6616900.5104182651</v>
      </c>
      <c r="AA27" s="2">
        <v>44912298.831747375</v>
      </c>
      <c r="AB27" s="2">
        <f t="shared" si="50"/>
        <v>55006099.590421624</v>
      </c>
      <c r="AC27" s="30">
        <f t="shared" si="46"/>
        <v>3.4385647548469644</v>
      </c>
      <c r="AD27" s="30">
        <f t="shared" si="47"/>
        <v>9.5933001495075541</v>
      </c>
      <c r="AO27" s="438">
        <v>26</v>
      </c>
      <c r="AP27" s="1821">
        <v>640711.29934677039</v>
      </c>
      <c r="AQ27" s="1821">
        <v>1302395.3250303417</v>
      </c>
      <c r="AR27" s="1146">
        <v>2606552.5798909026</v>
      </c>
      <c r="AS27" s="57">
        <f t="shared" si="37"/>
        <v>17366039.467227235</v>
      </c>
      <c r="AT27" s="1">
        <f t="shared" si="38"/>
        <v>1.9755906662186098E-2</v>
      </c>
      <c r="AU27" s="1">
        <f t="shared" si="1"/>
        <v>3.3296291368804451E-2</v>
      </c>
      <c r="BE27" s="438">
        <v>26</v>
      </c>
      <c r="BF27" s="465">
        <v>284718.93956787174</v>
      </c>
      <c r="BG27" s="1147">
        <f t="shared" si="42"/>
        <v>743329.64279137913</v>
      </c>
      <c r="BH27" s="1146">
        <v>268165.84448671411</v>
      </c>
      <c r="BI27" s="57">
        <f t="shared" si="43"/>
        <v>3566296.1351030762</v>
      </c>
      <c r="BJ27" s="1">
        <f t="shared" si="41"/>
        <v>3.0751112585275012E-3</v>
      </c>
      <c r="BK27" s="1">
        <f t="shared" si="44"/>
        <v>6.5063464797669905E-3</v>
      </c>
      <c r="BV27" s="1823">
        <v>26</v>
      </c>
      <c r="BW27" s="1822">
        <v>8770722.8302716855</v>
      </c>
      <c r="BX27" s="57">
        <f t="shared" si="48"/>
        <v>10132453.176707534</v>
      </c>
      <c r="BY27" s="1">
        <f t="shared" si="2"/>
        <v>0.194401045256855</v>
      </c>
      <c r="BZ27" s="1">
        <v>15214675.456808358</v>
      </c>
      <c r="CA27" s="2">
        <f t="shared" si="45"/>
        <v>79828600.136124834</v>
      </c>
      <c r="CB27" s="1">
        <f t="shared" si="3"/>
        <v>0.10694317911302421</v>
      </c>
      <c r="CL27" s="1823">
        <v>26</v>
      </c>
      <c r="CM27" s="1822">
        <v>107989.73087261082</v>
      </c>
      <c r="CN27" s="2">
        <f t="shared" ref="CN27:CN39" si="53">CM27*$CM$55</f>
        <v>244356.32533218508</v>
      </c>
      <c r="CO27" s="1">
        <f t="shared" ref="CO27:CO41" si="54">CN27/$CN$52</f>
        <v>0.18939702690452961</v>
      </c>
      <c r="CP27" s="1">
        <v>612384.46276556514</v>
      </c>
      <c r="CQ27" s="2">
        <f t="shared" si="52"/>
        <v>16685032.405412553</v>
      </c>
      <c r="CR27" s="1">
        <f t="shared" si="51"/>
        <v>2.1482509508610605E-2</v>
      </c>
      <c r="DB27" s="1823">
        <v>28</v>
      </c>
      <c r="DE27" s="883">
        <v>1369342.6930154848</v>
      </c>
      <c r="DF27" s="1">
        <f t="shared" si="24"/>
        <v>20616968.86988445</v>
      </c>
      <c r="DG27" s="1">
        <f t="shared" si="25"/>
        <v>1.8883677782151765E-2</v>
      </c>
      <c r="DP27" s="1823">
        <v>28</v>
      </c>
      <c r="DQ27" s="1">
        <v>4254616.6001411909</v>
      </c>
      <c r="DR27">
        <v>676</v>
      </c>
      <c r="DS27" s="57">
        <f t="shared" si="26"/>
        <v>69482669.987580329</v>
      </c>
      <c r="DT27" s="895">
        <v>9307523.6328852493</v>
      </c>
      <c r="DU27" s="57">
        <f t="shared" si="27"/>
        <v>78790193.620465577</v>
      </c>
      <c r="DV27" s="1">
        <f t="shared" si="6"/>
        <v>4.5461221114017424E-2</v>
      </c>
      <c r="DW27" s="1">
        <f t="shared" si="28"/>
        <v>0.10837061631039713</v>
      </c>
      <c r="DY27" s="2">
        <f t="shared" si="29"/>
        <v>83044810.220606774</v>
      </c>
      <c r="EI27" s="1823">
        <v>28</v>
      </c>
      <c r="EJ27" s="2">
        <v>350961.8682706554</v>
      </c>
      <c r="EK27" s="2">
        <f t="shared" si="34"/>
        <v>1147777.5871648928</v>
      </c>
      <c r="EL27" s="1">
        <v>84</v>
      </c>
      <c r="EM27" s="2">
        <f t="shared" si="40"/>
        <v>8985795.0192881208</v>
      </c>
      <c r="EN27" s="2">
        <v>4260959.4354105303</v>
      </c>
      <c r="EO27" s="2">
        <f t="shared" si="7"/>
        <v>29990198.522519607</v>
      </c>
      <c r="EP27" s="2">
        <f t="shared" si="8"/>
        <v>38975993.541807726</v>
      </c>
      <c r="EQ27" s="30">
        <f t="shared" si="9"/>
        <v>1.8311030138327931E-3</v>
      </c>
      <c r="ER27" s="30">
        <f t="shared" si="10"/>
        <v>5.441406792542812E-2</v>
      </c>
      <c r="ET27" s="2">
        <f t="shared" si="11"/>
        <v>31137976.109684501</v>
      </c>
      <c r="FF27" s="1823">
        <v>28</v>
      </c>
      <c r="FG27" s="2">
        <v>2143986.4903932409</v>
      </c>
      <c r="FH27" s="2">
        <f t="shared" si="35"/>
        <v>7299691.3525594948</v>
      </c>
      <c r="FI27" s="1">
        <v>223</v>
      </c>
      <c r="FJ27" s="2">
        <f t="shared" si="4"/>
        <v>11255.398442064266</v>
      </c>
      <c r="FK27" s="2">
        <v>5870530.2721407441</v>
      </c>
      <c r="FL27" s="2">
        <f t="shared" si="5"/>
        <v>24709807.947099011</v>
      </c>
      <c r="FM27" s="2">
        <f>FJ27+FL27</f>
        <v>24721063.345541075</v>
      </c>
      <c r="FN27" s="30">
        <f t="shared" si="13"/>
        <v>2.4076503846634692E-2</v>
      </c>
      <c r="FO27" s="30">
        <f t="shared" si="14"/>
        <v>3.6474426569243337E-2</v>
      </c>
      <c r="FQ27" s="2">
        <f t="shared" si="15"/>
        <v>32020754.698100571</v>
      </c>
      <c r="GB27" s="1823">
        <v>28</v>
      </c>
      <c r="GC27" s="2">
        <v>6384783.1767241098</v>
      </c>
      <c r="GD27" s="2">
        <f t="shared" si="49"/>
        <v>24540329.306567773</v>
      </c>
      <c r="GE27">
        <v>273</v>
      </c>
      <c r="GF27" s="2">
        <f t="shared" si="30"/>
        <v>3243.2947474095226</v>
      </c>
      <c r="GG27" s="1444">
        <v>5157027.58400332</v>
      </c>
      <c r="GH27" s="2">
        <f t="shared" si="16"/>
        <v>46632706.464864828</v>
      </c>
      <c r="GI27" s="2">
        <f t="shared" si="31"/>
        <v>46635949.75961224</v>
      </c>
      <c r="GJ27" s="2">
        <f t="shared" si="17"/>
        <v>4.6009080364252144</v>
      </c>
      <c r="GK27" s="2">
        <f t="shared" si="18"/>
        <v>7.7490774907749058</v>
      </c>
      <c r="GL27" s="2"/>
      <c r="GM27" s="2">
        <f t="shared" si="19"/>
        <v>71176279.066180021</v>
      </c>
      <c r="HC27" s="1963">
        <v>28</v>
      </c>
      <c r="HD27" s="57">
        <v>5106167.2010407317</v>
      </c>
      <c r="HE27" s="2">
        <f t="shared" si="39"/>
        <v>44049726.252130471</v>
      </c>
      <c r="HF27" s="73"/>
      <c r="HG27" s="2">
        <f t="shared" si="32"/>
        <v>0</v>
      </c>
      <c r="HH27" s="2">
        <v>658</v>
      </c>
      <c r="HI27" s="2">
        <f t="shared" si="36"/>
        <v>139575041.47618964</v>
      </c>
      <c r="HJ27" s="2">
        <f t="shared" ref="HJ27:HJ36" si="55">HG27+HI27</f>
        <v>139575041.47618964</v>
      </c>
      <c r="HK27" s="2">
        <f t="shared" si="21"/>
        <v>8.2585990181279776</v>
      </c>
      <c r="HL27" s="2">
        <f t="shared" si="22"/>
        <v>8.4782888802989333</v>
      </c>
      <c r="HM27" s="2"/>
      <c r="HN27" s="2">
        <f t="shared" si="23"/>
        <v>183624767.72832012</v>
      </c>
    </row>
    <row r="28" spans="1:222" ht="14.4" thickTop="1" thickBot="1">
      <c r="A28" s="110">
        <v>29</v>
      </c>
      <c r="B28" s="1154">
        <v>382</v>
      </c>
      <c r="C28" s="2"/>
      <c r="D28" s="2">
        <v>382</v>
      </c>
      <c r="E28" s="2">
        <v>29687412.962962963</v>
      </c>
      <c r="F28">
        <v>359</v>
      </c>
      <c r="G28" s="2">
        <v>2502230</v>
      </c>
      <c r="H28" s="129">
        <v>7509349.6180654066</v>
      </c>
      <c r="I28" s="2">
        <v>10126173.670022633</v>
      </c>
      <c r="J28" s="2">
        <v>29687771.962962963</v>
      </c>
      <c r="K28" s="2">
        <v>10126173.670022633</v>
      </c>
      <c r="L28" s="1">
        <v>6.6912511000728175E-2</v>
      </c>
      <c r="M28" s="1">
        <v>3.863149450091128E-2</v>
      </c>
      <c r="W28" s="391">
        <v>29</v>
      </c>
      <c r="X28" s="123">
        <v>1567666.8287834642</v>
      </c>
      <c r="Y28" s="57">
        <f t="shared" si="0"/>
        <v>4192924.4480840061</v>
      </c>
      <c r="Z28" s="392">
        <v>4197191.1940733716</v>
      </c>
      <c r="AA28" s="2">
        <v>28488490.172309712</v>
      </c>
      <c r="AB28" s="2">
        <f t="shared" si="50"/>
        <v>34891127.115744829</v>
      </c>
      <c r="AC28" s="30">
        <f t="shared" si="46"/>
        <v>3.8671202415194403</v>
      </c>
      <c r="AD28" s="30">
        <f t="shared" si="47"/>
        <v>6.0851625086729095</v>
      </c>
      <c r="AO28" s="438">
        <v>27</v>
      </c>
      <c r="AP28" s="1821">
        <v>1197208.628355812</v>
      </c>
      <c r="AQ28" s="1821">
        <v>2433606.0909902807</v>
      </c>
      <c r="AR28" s="1146">
        <v>6191522.2660930706</v>
      </c>
      <c r="AS28" s="57">
        <f t="shared" si="37"/>
        <v>41250738.951020442</v>
      </c>
      <c r="AT28" s="1">
        <f t="shared" si="38"/>
        <v>3.6915131574978194E-2</v>
      </c>
      <c r="AU28" s="1">
        <f t="shared" si="1"/>
        <v>7.909095369060383E-2</v>
      </c>
      <c r="BE28" s="438">
        <v>27</v>
      </c>
      <c r="BF28" s="465">
        <v>706423.34532683343</v>
      </c>
      <c r="BG28" s="1147">
        <f t="shared" si="42"/>
        <v>1844293.9333022863</v>
      </c>
      <c r="BH28" s="1146">
        <v>962746.27394316474</v>
      </c>
      <c r="BI28" s="57">
        <f t="shared" si="43"/>
        <v>12803413.956092013</v>
      </c>
      <c r="BJ28" s="1">
        <f t="shared" si="41"/>
        <v>7.6297361383764308E-3</v>
      </c>
      <c r="BK28" s="1">
        <f t="shared" si="44"/>
        <v>2.3358533382088618E-2</v>
      </c>
      <c r="BV28" s="1823">
        <v>27</v>
      </c>
      <c r="BW28" s="1822">
        <v>9469173.6866607536</v>
      </c>
      <c r="BX28" s="57">
        <f t="shared" si="48"/>
        <v>10939344.55106126</v>
      </c>
      <c r="BY28" s="1">
        <f t="shared" si="2"/>
        <v>0.20988204712752687</v>
      </c>
      <c r="BZ28" s="1">
        <v>18880496.540717725</v>
      </c>
      <c r="CA28" s="2">
        <f t="shared" si="45"/>
        <v>99062488.253470466</v>
      </c>
      <c r="CB28" s="1">
        <f t="shared" si="3"/>
        <v>0.13271004886228263</v>
      </c>
      <c r="CL28" s="1823">
        <v>27</v>
      </c>
      <c r="CM28" s="1822">
        <v>110054.05045277359</v>
      </c>
      <c r="CN28" s="2">
        <f t="shared" si="53"/>
        <v>249027.41343328331</v>
      </c>
      <c r="CO28" s="1">
        <f t="shared" si="54"/>
        <v>0.19301751922268201</v>
      </c>
      <c r="CP28" s="1">
        <v>1281079.1417675826</v>
      </c>
      <c r="CQ28" s="2">
        <f t="shared" si="52"/>
        <v>34904293.452776581</v>
      </c>
      <c r="CR28" s="1">
        <f t="shared" si="51"/>
        <v>4.4940387154858957E-2</v>
      </c>
      <c r="DB28" s="1823">
        <v>29</v>
      </c>
      <c r="DE28" s="883">
        <v>2283490.2224669144</v>
      </c>
      <c r="DF28" s="1">
        <f t="shared" si="24"/>
        <v>34380471.062077314</v>
      </c>
      <c r="DG28" s="1">
        <f t="shared" si="25"/>
        <v>3.1490067314560569E-2</v>
      </c>
      <c r="DP28" s="1823">
        <v>29</v>
      </c>
      <c r="DQ28" s="1">
        <v>4106249.3421845082</v>
      </c>
      <c r="DR28">
        <v>571</v>
      </c>
      <c r="DS28" s="57">
        <f t="shared" si="26"/>
        <v>58690243.436254986</v>
      </c>
      <c r="DT28" s="895">
        <v>8071972.6283363895</v>
      </c>
      <c r="DU28" s="57">
        <f t="shared" si="27"/>
        <v>66762216.064591378</v>
      </c>
      <c r="DV28" s="1">
        <f t="shared" si="6"/>
        <v>4.3875894549027912E-2</v>
      </c>
      <c r="DW28" s="1">
        <f t="shared" si="28"/>
        <v>9.1826941510248714E-2</v>
      </c>
      <c r="DY28" s="2">
        <f t="shared" si="29"/>
        <v>70868465.406775892</v>
      </c>
      <c r="EI28" s="1823">
        <v>29</v>
      </c>
      <c r="EJ28" s="2">
        <v>335916.27430106892</v>
      </c>
      <c r="EK28" s="2">
        <f t="shared" si="34"/>
        <v>1098572.8241831858</v>
      </c>
      <c r="EL28" s="1">
        <v>70</v>
      </c>
      <c r="EM28" s="2">
        <f t="shared" si="40"/>
        <v>7488162.5160734337</v>
      </c>
      <c r="EN28" s="2">
        <v>6038547.6653530877</v>
      </c>
      <c r="EO28" s="2">
        <f t="shared" si="7"/>
        <v>42501517.795883037</v>
      </c>
      <c r="EP28" s="2">
        <f t="shared" si="8"/>
        <v>49989680.311956473</v>
      </c>
      <c r="EQ28" s="30">
        <f t="shared" si="9"/>
        <v>1.7526043649671327E-3</v>
      </c>
      <c r="ER28" s="30">
        <f t="shared" si="10"/>
        <v>6.9790186545147778E-2</v>
      </c>
      <c r="ET28" s="2">
        <f t="shared" si="11"/>
        <v>43600090.620066226</v>
      </c>
      <c r="FF28" s="1823">
        <v>29</v>
      </c>
      <c r="FG28" s="2">
        <v>1432386.4804428674</v>
      </c>
      <c r="FH28" s="2">
        <f t="shared" si="35"/>
        <v>4876886.7022544239</v>
      </c>
      <c r="FI28" s="1">
        <v>118</v>
      </c>
      <c r="FJ28" s="2">
        <f t="shared" si="4"/>
        <v>5955.7713729308671</v>
      </c>
      <c r="FK28" s="2">
        <v>6824092.1399175161</v>
      </c>
      <c r="FL28" s="2">
        <f t="shared" si="5"/>
        <v>28723471.027972426</v>
      </c>
      <c r="FM28" s="2">
        <f t="shared" si="12"/>
        <v>28729426.799345355</v>
      </c>
      <c r="FN28" s="30">
        <f t="shared" si="13"/>
        <v>1.6085389885047638E-2</v>
      </c>
      <c r="FO28" s="30">
        <f>FM28/$FM$56</f>
        <v>4.2388523241180927E-2</v>
      </c>
      <c r="FQ28" s="2">
        <f t="shared" si="15"/>
        <v>33606313.501599781</v>
      </c>
      <c r="GB28" s="1823">
        <v>29</v>
      </c>
      <c r="GC28" s="2">
        <v>3433727.135090813</v>
      </c>
      <c r="GD28" s="2">
        <f t="shared" si="49"/>
        <v>13197753.519840037</v>
      </c>
      <c r="GE28">
        <v>238</v>
      </c>
      <c r="GF28" s="2">
        <f t="shared" si="30"/>
        <v>2827.4877285108655</v>
      </c>
      <c r="GG28" s="1444">
        <v>3505798.533447932</v>
      </c>
      <c r="GH28" s="2">
        <f t="shared" si="16"/>
        <v>31701376.669449624</v>
      </c>
      <c r="GI28" s="2">
        <f t="shared" si="31"/>
        <v>31704204.157178134</v>
      </c>
      <c r="GJ28" s="2">
        <f t="shared" si="17"/>
        <v>2.4743616710938001</v>
      </c>
      <c r="GK28" s="2">
        <f t="shared" si="18"/>
        <v>6.7556060175986348</v>
      </c>
      <c r="GL28" s="2"/>
      <c r="GM28" s="2">
        <f t="shared" si="19"/>
        <v>44901957.677018173</v>
      </c>
      <c r="HC28" s="1963">
        <v>29</v>
      </c>
      <c r="HD28" s="57">
        <v>4696451.1418340979</v>
      </c>
      <c r="HE28" s="2">
        <f t="shared" si="39"/>
        <v>40515200.346775196</v>
      </c>
      <c r="HF28" s="73"/>
      <c r="HG28" s="2">
        <f t="shared" si="32"/>
        <v>0</v>
      </c>
      <c r="HH28" s="2">
        <v>474</v>
      </c>
      <c r="HI28" s="2">
        <f t="shared" si="36"/>
        <v>100544938.69257429</v>
      </c>
      <c r="HJ28" s="2">
        <f t="shared" si="55"/>
        <v>100544938.69257429</v>
      </c>
      <c r="HK28" s="2">
        <f t="shared" si="21"/>
        <v>7.5959335567256332</v>
      </c>
      <c r="HL28" s="2">
        <f t="shared" si="22"/>
        <v>6.107460378817164</v>
      </c>
      <c r="HM28" s="2"/>
      <c r="HN28" s="2">
        <f t="shared" si="23"/>
        <v>141060139.0393495</v>
      </c>
    </row>
    <row r="29" spans="1:222" ht="14.4" thickTop="1" thickBot="1">
      <c r="A29" s="110">
        <v>30</v>
      </c>
      <c r="B29" s="1154">
        <v>321</v>
      </c>
      <c r="C29" s="2"/>
      <c r="D29" s="2">
        <v>321</v>
      </c>
      <c r="E29" s="2">
        <v>24946752.77777778</v>
      </c>
      <c r="F29">
        <v>309</v>
      </c>
      <c r="G29" s="2">
        <v>2153730</v>
      </c>
      <c r="H29" s="129">
        <v>7143561.9164469037</v>
      </c>
      <c r="I29" s="2">
        <v>9632917.9313316923</v>
      </c>
      <c r="J29" s="2">
        <v>24947061.77777778</v>
      </c>
      <c r="K29" s="2">
        <v>9632917.9313316923</v>
      </c>
      <c r="L29" s="1">
        <v>5.6227545392220829E-2</v>
      </c>
      <c r="M29" s="1">
        <v>3.6749716943294167E-2</v>
      </c>
      <c r="W29" s="391">
        <v>30</v>
      </c>
      <c r="X29" s="123">
        <v>1888755.915818132</v>
      </c>
      <c r="Y29" s="57">
        <f t="shared" si="0"/>
        <v>5051718.0758635672</v>
      </c>
      <c r="Z29" s="392">
        <v>4496101.6439399831</v>
      </c>
      <c r="AA29" s="2">
        <v>30517348.76360999</v>
      </c>
      <c r="AB29" s="2">
        <f t="shared" si="50"/>
        <v>37375960.905839287</v>
      </c>
      <c r="AC29" s="30">
        <f t="shared" si="46"/>
        <v>4.6591827416658091</v>
      </c>
      <c r="AD29" s="30">
        <f t="shared" si="47"/>
        <v>6.5185281998873705</v>
      </c>
      <c r="AO29" s="438">
        <v>28</v>
      </c>
      <c r="AP29" s="1821">
        <v>1512390.8396682325</v>
      </c>
      <c r="AQ29" s="1821">
        <v>3074287.5320145516</v>
      </c>
      <c r="AR29" s="1146">
        <v>8800206.7806838006</v>
      </c>
      <c r="AS29" s="57">
        <f t="shared" si="37"/>
        <v>58630982.337410629</v>
      </c>
      <c r="AT29" s="1">
        <f t="shared" si="38"/>
        <v>4.6633565376002092E-2</v>
      </c>
      <c r="AU29" s="1">
        <f t="shared" si="1"/>
        <v>0.11241447854761502</v>
      </c>
      <c r="BE29" s="438">
        <v>28</v>
      </c>
      <c r="BF29" s="465">
        <v>1042836.7209621021</v>
      </c>
      <c r="BG29" s="1147">
        <f t="shared" si="42"/>
        <v>2722584.7653794941</v>
      </c>
      <c r="BH29" s="1146">
        <v>1726350.2445944429</v>
      </c>
      <c r="BI29" s="57">
        <f t="shared" si="43"/>
        <v>22958465.187524788</v>
      </c>
      <c r="BJ29" s="1">
        <f t="shared" si="41"/>
        <v>1.1263173943762216E-2</v>
      </c>
      <c r="BK29" s="1">
        <f t="shared" si="44"/>
        <v>4.1885396920182429E-2</v>
      </c>
      <c r="BV29" s="1823">
        <v>28</v>
      </c>
      <c r="BW29" s="1822">
        <v>5114644.4410532666</v>
      </c>
      <c r="BX29" s="57">
        <f t="shared" si="48"/>
        <v>5908737.0924107041</v>
      </c>
      <c r="BY29" s="1">
        <f t="shared" si="2"/>
        <v>0.11336491241362354</v>
      </c>
      <c r="BZ29" s="1">
        <v>16775318.689377092</v>
      </c>
      <c r="CA29" s="2">
        <f t="shared" si="45"/>
        <v>88017007.764111996</v>
      </c>
      <c r="CB29" s="1">
        <f t="shared" si="3"/>
        <v>0.11791286093278604</v>
      </c>
      <c r="CL29" s="1823">
        <v>28</v>
      </c>
      <c r="CM29" s="1822">
        <v>113930.66945131602</v>
      </c>
      <c r="CN29" s="2">
        <f t="shared" si="53"/>
        <v>257799.32503582459</v>
      </c>
      <c r="CO29" s="1">
        <f t="shared" si="54"/>
        <v>0.19981650007792343</v>
      </c>
      <c r="CP29" s="1">
        <v>1708345.1187384729</v>
      </c>
      <c r="CQ29" s="2">
        <f t="shared" si="52"/>
        <v>46545585.982137635</v>
      </c>
      <c r="CR29" s="1">
        <f t="shared" si="51"/>
        <v>5.9928921272023171E-2</v>
      </c>
      <c r="DB29" s="1823">
        <v>30</v>
      </c>
      <c r="DE29" s="883">
        <v>3109514.6131117214</v>
      </c>
      <c r="DF29" s="1">
        <f t="shared" si="24"/>
        <v>46817181.9267525</v>
      </c>
      <c r="DG29" s="1">
        <f t="shared" si="25"/>
        <v>4.288121031528376E-2</v>
      </c>
      <c r="DP29" s="1823">
        <v>30</v>
      </c>
      <c r="DQ29" s="1">
        <v>3253319.1845665351</v>
      </c>
      <c r="DR29">
        <v>397</v>
      </c>
      <c r="DS29" s="57">
        <f t="shared" si="26"/>
        <v>40805650.86548727</v>
      </c>
      <c r="DT29" s="895">
        <v>5843134.0077199405</v>
      </c>
      <c r="DU29" s="57">
        <f t="shared" si="27"/>
        <v>46648784.873207211</v>
      </c>
      <c r="DV29" s="1">
        <f t="shared" si="6"/>
        <v>3.4762206963406761E-2</v>
      </c>
      <c r="DW29" s="1">
        <f t="shared" si="28"/>
        <v>6.4162268609116335E-2</v>
      </c>
      <c r="DY29" s="2">
        <f t="shared" si="29"/>
        <v>49902104.057773747</v>
      </c>
      <c r="EI29" s="1823">
        <v>30</v>
      </c>
      <c r="EJ29" s="2">
        <v>364211.3857910884</v>
      </c>
      <c r="EK29" s="2">
        <f t="shared" si="34"/>
        <v>1191108.5032146496</v>
      </c>
      <c r="EL29" s="1">
        <v>88</v>
      </c>
      <c r="EM29" s="2">
        <f t="shared" si="40"/>
        <v>9413690.0202066023</v>
      </c>
      <c r="EN29" s="2">
        <v>5982095.9920288045</v>
      </c>
      <c r="EO29" s="2">
        <f t="shared" si="7"/>
        <v>42104190.171532966</v>
      </c>
      <c r="EP29" s="2">
        <f t="shared" si="8"/>
        <v>51517880.191739567</v>
      </c>
      <c r="EQ29" s="30">
        <f t="shared" si="9"/>
        <v>1.900230841260431E-3</v>
      </c>
      <c r="ER29" s="30">
        <f t="shared" si="10"/>
        <v>7.1923693981538112E-2</v>
      </c>
      <c r="ET29" s="2">
        <f t="shared" si="11"/>
        <v>43295298.674747616</v>
      </c>
      <c r="FF29" s="1823">
        <v>30</v>
      </c>
      <c r="FG29" s="2">
        <v>1021135.4312101015</v>
      </c>
      <c r="FH29" s="2">
        <f t="shared" si="35"/>
        <v>3476688.6407149481</v>
      </c>
      <c r="FI29" s="1">
        <v>108</v>
      </c>
      <c r="FJ29" s="2">
        <f t="shared" si="4"/>
        <v>5451.0449853943528</v>
      </c>
      <c r="FK29" s="2">
        <v>4651368.4197544986</v>
      </c>
      <c r="FL29" s="2">
        <f t="shared" si="5"/>
        <v>19578200.778346922</v>
      </c>
      <c r="FM29" s="2">
        <f t="shared" si="12"/>
        <v>19583651.823332317</v>
      </c>
      <c r="FN29" s="30">
        <f t="shared" si="13"/>
        <v>1.1467129689308648E-2</v>
      </c>
      <c r="FO29" s="30">
        <f t="shared" si="14"/>
        <v>2.8894488089105656E-2</v>
      </c>
      <c r="FQ29" s="2">
        <f t="shared" si="15"/>
        <v>23060340.464047264</v>
      </c>
      <c r="GB29" s="1823">
        <v>30</v>
      </c>
      <c r="GC29" s="2">
        <v>1564829.8042981897</v>
      </c>
      <c r="GD29" s="2">
        <f t="shared" si="49"/>
        <v>6014525.1049719285</v>
      </c>
      <c r="GE29">
        <v>239</v>
      </c>
      <c r="GF29" s="2">
        <f t="shared" si="30"/>
        <v>2839.3679290508271</v>
      </c>
      <c r="GG29" s="1444">
        <v>2363201.0232413872</v>
      </c>
      <c r="GH29" s="2">
        <f t="shared" si="16"/>
        <v>21369375.641139265</v>
      </c>
      <c r="GI29" s="2">
        <f t="shared" si="31"/>
        <v>21372215.009068318</v>
      </c>
      <c r="GJ29" s="2">
        <f t="shared" si="17"/>
        <v>1.1276245133084082</v>
      </c>
      <c r="GK29" s="2">
        <f t="shared" si="18"/>
        <v>6.7839909168322432</v>
      </c>
      <c r="GL29" s="2"/>
      <c r="GM29" s="2">
        <f t="shared" si="19"/>
        <v>27386740.114040248</v>
      </c>
      <c r="HC29" s="1963">
        <v>30</v>
      </c>
      <c r="HD29" s="57">
        <v>3997747.5484687071</v>
      </c>
      <c r="HE29" s="2">
        <f t="shared" si="39"/>
        <v>34487645.664889283</v>
      </c>
      <c r="HF29" s="73"/>
      <c r="HG29" s="2">
        <f t="shared" si="32"/>
        <v>0</v>
      </c>
      <c r="HH29" s="2">
        <v>429</v>
      </c>
      <c r="HI29" s="2">
        <f t="shared" si="36"/>
        <v>90999533.120494455</v>
      </c>
      <c r="HJ29" s="2">
        <f t="shared" si="55"/>
        <v>90999533.120494455</v>
      </c>
      <c r="HK29" s="2">
        <f t="shared" si="21"/>
        <v>6.4658662120930854</v>
      </c>
      <c r="HL29" s="2">
        <f t="shared" si="22"/>
        <v>5.5276381909547752</v>
      </c>
      <c r="HM29" s="2"/>
      <c r="HN29" s="2">
        <f t="shared" si="23"/>
        <v>125487178.78538373</v>
      </c>
    </row>
    <row r="30" spans="1:222" ht="14.4" thickTop="1" thickBot="1">
      <c r="A30" s="110">
        <v>31</v>
      </c>
      <c r="B30" s="1154">
        <v>211</v>
      </c>
      <c r="C30" s="2"/>
      <c r="D30" s="2">
        <v>211</v>
      </c>
      <c r="E30" s="2">
        <v>16398021.296296297</v>
      </c>
      <c r="F30">
        <v>363</v>
      </c>
      <c r="G30" s="2">
        <v>2530110</v>
      </c>
      <c r="H30" s="129">
        <v>5784538.1871425454</v>
      </c>
      <c r="I30" s="2">
        <v>7800307.7847071551</v>
      </c>
      <c r="J30" s="2">
        <v>16398384.296296297</v>
      </c>
      <c r="K30" s="2">
        <v>7800307.7847071551</v>
      </c>
      <c r="L30" s="1">
        <v>3.6959899550191209E-2</v>
      </c>
      <c r="M30" s="1">
        <v>2.9758283544198433E-2</v>
      </c>
      <c r="W30" s="391">
        <v>31</v>
      </c>
      <c r="X30" s="123">
        <v>1967657.9949645444</v>
      </c>
      <c r="Y30" s="57">
        <f t="shared" si="0"/>
        <v>5262751.7282847147</v>
      </c>
      <c r="Z30" s="392">
        <v>4601240.2738155806</v>
      </c>
      <c r="AA30" s="2">
        <v>31230978.590187937</v>
      </c>
      <c r="AB30" s="2">
        <f t="shared" si="50"/>
        <v>38249975.247846074</v>
      </c>
      <c r="AC30" s="30">
        <f t="shared" si="46"/>
        <v>4.8538183758214686</v>
      </c>
      <c r="AD30" s="30">
        <f t="shared" si="47"/>
        <v>6.6709600570864502</v>
      </c>
      <c r="AO30" s="438">
        <v>29</v>
      </c>
      <c r="AP30" s="1821">
        <v>1304471.9503764207</v>
      </c>
      <c r="AQ30" s="1821">
        <v>2651643.8394883852</v>
      </c>
      <c r="AR30" s="1146">
        <v>7798469.171002863</v>
      </c>
      <c r="AS30" s="57">
        <f t="shared" si="37"/>
        <v>51956950.514790289</v>
      </c>
      <c r="AT30" s="1">
        <f t="shared" si="38"/>
        <v>4.0222524749213832E-2</v>
      </c>
      <c r="AU30" s="1">
        <f t="shared" si="1"/>
        <v>9.9618209796181564E-2</v>
      </c>
      <c r="BE30" s="438">
        <v>29</v>
      </c>
      <c r="BF30" s="465">
        <v>1242654.2066522236</v>
      </c>
      <c r="BG30" s="1147">
        <f t="shared" si="42"/>
        <v>3244258.0354715339</v>
      </c>
      <c r="BH30" s="1146">
        <v>1724712.2844259567</v>
      </c>
      <c r="BI30" s="57">
        <f t="shared" si="43"/>
        <v>22936682.208303455</v>
      </c>
      <c r="BJ30" s="1">
        <f t="shared" si="41"/>
        <v>1.3421305752025272E-2</v>
      </c>
      <c r="BK30" s="1">
        <f t="shared" si="44"/>
        <v>4.1845656078478198E-2</v>
      </c>
      <c r="BV30" s="1823">
        <v>29</v>
      </c>
      <c r="BW30" s="1822">
        <v>2293147.4221579623</v>
      </c>
      <c r="BX30" s="57">
        <f t="shared" si="48"/>
        <v>2649178.3324982119</v>
      </c>
      <c r="BY30" s="1">
        <f t="shared" si="2"/>
        <v>5.0827082832551614E-2</v>
      </c>
      <c r="BZ30" s="1">
        <v>11972349.462353393</v>
      </c>
      <c r="CA30" s="2">
        <f t="shared" si="45"/>
        <v>62816712.760867953</v>
      </c>
      <c r="CB30" s="1">
        <f t="shared" si="3"/>
        <v>8.4153034784796146E-2</v>
      </c>
      <c r="CL30" s="1823">
        <v>29</v>
      </c>
      <c r="CM30" s="1822">
        <v>34536.922439891452</v>
      </c>
      <c r="CN30" s="2">
        <f t="shared" si="53"/>
        <v>78149.240557418612</v>
      </c>
      <c r="CO30" s="1">
        <f t="shared" si="54"/>
        <v>6.0572337533316326E-2</v>
      </c>
      <c r="CP30" s="1">
        <v>1329737.9614387588</v>
      </c>
      <c r="CQ30" s="2">
        <f t="shared" si="52"/>
        <v>36230052.077278949</v>
      </c>
      <c r="CR30" s="1">
        <f t="shared" si="51"/>
        <v>4.6647343519400135E-2</v>
      </c>
      <c r="DB30" s="1823">
        <v>31</v>
      </c>
      <c r="DE30" s="883">
        <v>3624228.6096310122</v>
      </c>
      <c r="DF30" s="1">
        <f t="shared" si="24"/>
        <v>54566770.46821779</v>
      </c>
      <c r="DG30" s="1">
        <f t="shared" si="25"/>
        <v>4.9979282485099592E-2</v>
      </c>
      <c r="DP30" s="1823">
        <v>31</v>
      </c>
      <c r="DQ30" s="1">
        <v>2430004.7016766551</v>
      </c>
      <c r="DR30">
        <v>287</v>
      </c>
      <c r="DS30" s="57">
        <f t="shared" si="26"/>
        <v>29499299.240289286</v>
      </c>
      <c r="DT30" s="895">
        <v>4206023.567626371</v>
      </c>
      <c r="DU30" s="57">
        <f t="shared" si="27"/>
        <v>33705322.807915658</v>
      </c>
      <c r="DV30" s="1">
        <f t="shared" si="6"/>
        <v>2.5964967336271464E-2</v>
      </c>
      <c r="DW30" s="1">
        <f t="shared" si="28"/>
        <v>4.6359406390466505E-2</v>
      </c>
      <c r="DY30" s="2">
        <f t="shared" si="29"/>
        <v>36135327.50959231</v>
      </c>
      <c r="EI30" s="1823">
        <v>31</v>
      </c>
      <c r="EJ30" s="2">
        <v>233810.58112061265</v>
      </c>
      <c r="EK30" s="2">
        <f t="shared" si="34"/>
        <v>764648.72373337706</v>
      </c>
      <c r="EL30" s="1">
        <v>75</v>
      </c>
      <c r="EM30" s="2">
        <f t="shared" si="40"/>
        <v>8023031.2672215356</v>
      </c>
      <c r="EN30" s="2">
        <v>4939396.4645138951</v>
      </c>
      <c r="EO30" s="2">
        <f t="shared" si="7"/>
        <v>34765287.677030183</v>
      </c>
      <c r="EP30" s="2">
        <f t="shared" si="8"/>
        <v>42788318.944251716</v>
      </c>
      <c r="EQ30" s="30">
        <f t="shared" si="9"/>
        <v>1.219879703357926E-3</v>
      </c>
      <c r="ER30" s="30">
        <f t="shared" si="10"/>
        <v>5.9736424446754685E-2</v>
      </c>
      <c r="ET30" s="2">
        <f t="shared" si="11"/>
        <v>35529936.400763564</v>
      </c>
      <c r="FF30" s="1823">
        <v>31</v>
      </c>
      <c r="FG30" s="2">
        <v>809406.64231980371</v>
      </c>
      <c r="FH30" s="2">
        <f t="shared" si="35"/>
        <v>2755809.6537084007</v>
      </c>
      <c r="FI30" s="1">
        <v>51</v>
      </c>
      <c r="FJ30" s="2">
        <f t="shared" si="4"/>
        <v>2574.104576436222</v>
      </c>
      <c r="FK30" s="2">
        <v>3398786.4354618615</v>
      </c>
      <c r="FL30" s="2">
        <f t="shared" si="5"/>
        <v>14305924.027343873</v>
      </c>
      <c r="FM30" s="2">
        <f t="shared" si="12"/>
        <v>14308498.13192031</v>
      </c>
      <c r="FN30" s="30">
        <f t="shared" si="13"/>
        <v>9.0894612557610253E-3</v>
      </c>
      <c r="FO30" s="30">
        <f t="shared" si="14"/>
        <v>2.1111319409446706E-2</v>
      </c>
      <c r="FQ30" s="2">
        <f t="shared" si="15"/>
        <v>17064307.78562871</v>
      </c>
      <c r="GB30" s="1823">
        <v>31</v>
      </c>
      <c r="GC30" s="2">
        <v>637271.64321114402</v>
      </c>
      <c r="GD30" s="2">
        <f t="shared" si="49"/>
        <v>2449394.9989015898</v>
      </c>
      <c r="GE30">
        <v>177</v>
      </c>
      <c r="GF30" s="2">
        <f t="shared" si="30"/>
        <v>2102.7954955732071</v>
      </c>
      <c r="GG30" s="1444">
        <v>1559158.5638591736</v>
      </c>
      <c r="GH30" s="2">
        <f t="shared" si="16"/>
        <v>14098777.339519896</v>
      </c>
      <c r="GI30" s="2">
        <f t="shared" si="31"/>
        <v>14100880.135015469</v>
      </c>
      <c r="GJ30" s="2">
        <f t="shared" si="17"/>
        <v>0.45922126773620725</v>
      </c>
      <c r="GK30" s="2">
        <f t="shared" si="18"/>
        <v>5.0241271643485659</v>
      </c>
      <c r="GL30" s="2"/>
      <c r="GM30" s="2">
        <f t="shared" si="19"/>
        <v>16550275.13391706</v>
      </c>
      <c r="HC30" s="1963">
        <v>31</v>
      </c>
      <c r="HD30" s="57">
        <v>1919689.9695035454</v>
      </c>
      <c r="HE30" s="2">
        <f t="shared" si="39"/>
        <v>16560722.419813555</v>
      </c>
      <c r="HF30" s="73"/>
      <c r="HG30" s="2">
        <f t="shared" si="32"/>
        <v>0</v>
      </c>
      <c r="HH30" s="2">
        <v>311</v>
      </c>
      <c r="HI30" s="2">
        <f t="shared" si="36"/>
        <v>65969358.509262882</v>
      </c>
      <c r="HJ30" s="2">
        <f t="shared" si="55"/>
        <v>65969358.509262882</v>
      </c>
      <c r="HK30" s="2">
        <f t="shared" si="21"/>
        <v>3.1048630162405919</v>
      </c>
      <c r="HL30" s="2">
        <f t="shared" si="22"/>
        <v>4.0072155650045103</v>
      </c>
      <c r="HM30" s="2"/>
      <c r="HN30" s="2">
        <f t="shared" si="23"/>
        <v>82530080.929076433</v>
      </c>
    </row>
    <row r="31" spans="1:222" ht="14.4" thickTop="1" thickBot="1">
      <c r="A31" s="110">
        <v>32</v>
      </c>
      <c r="B31" s="1154">
        <v>162</v>
      </c>
      <c r="C31" s="2"/>
      <c r="D31" s="2">
        <v>162</v>
      </c>
      <c r="E31" s="2">
        <v>12589950</v>
      </c>
      <c r="F31">
        <v>244</v>
      </c>
      <c r="G31" s="2">
        <v>1700680</v>
      </c>
      <c r="H31" s="129">
        <v>5581881.6404749546</v>
      </c>
      <c r="I31" s="2">
        <v>7527030.4050009018</v>
      </c>
      <c r="J31" s="2">
        <v>12590194</v>
      </c>
      <c r="K31" s="2">
        <v>7527030.4050009018</v>
      </c>
      <c r="L31" s="1">
        <v>2.837671670266436E-2</v>
      </c>
      <c r="M31" s="1">
        <v>2.8715726509787824E-2</v>
      </c>
      <c r="W31" s="391">
        <v>32</v>
      </c>
      <c r="X31" s="123">
        <v>2302933.1465491154</v>
      </c>
      <c r="Y31" s="57">
        <f t="shared" si="0"/>
        <v>6159487.7911412148</v>
      </c>
      <c r="Z31" s="392">
        <v>5455272.1281686556</v>
      </c>
      <c r="AA31" s="2">
        <v>37027730.981151737</v>
      </c>
      <c r="AB31" s="2">
        <f t="shared" si="50"/>
        <v>45349516.968319699</v>
      </c>
      <c r="AC31" s="30">
        <f t="shared" si="46"/>
        <v>5.6808750573596853</v>
      </c>
      <c r="AD31" s="30">
        <f t="shared" si="47"/>
        <v>7.909150642414092</v>
      </c>
      <c r="AO31" s="438">
        <v>30</v>
      </c>
      <c r="AP31" s="1821">
        <v>1788601.206332264</v>
      </c>
      <c r="AQ31" s="1821">
        <v>3635749.5986815742</v>
      </c>
      <c r="AR31" s="1146">
        <v>6622513.4149218174</v>
      </c>
      <c r="AS31" s="57">
        <f t="shared" si="37"/>
        <v>44122198.118323676</v>
      </c>
      <c r="AT31" s="1">
        <f t="shared" si="38"/>
        <v>5.5150328274527843E-2</v>
      </c>
      <c r="AU31" s="1">
        <f t="shared" si="1"/>
        <v>8.4596465829314779E-2</v>
      </c>
      <c r="BE31" s="438">
        <v>30</v>
      </c>
      <c r="BF31" s="465">
        <v>2002871.0541255637</v>
      </c>
      <c r="BG31" s="1147">
        <f t="shared" si="42"/>
        <v>5228993.2924024789</v>
      </c>
      <c r="BH31" s="1146">
        <v>2293658.1721184533</v>
      </c>
      <c r="BI31" s="57">
        <f t="shared" si="43"/>
        <v>30503005.668489918</v>
      </c>
      <c r="BJ31" s="1">
        <f t="shared" si="41"/>
        <v>2.1632039432530129E-2</v>
      </c>
      <c r="BK31" s="1">
        <f t="shared" si="44"/>
        <v>5.5649647711534134E-2</v>
      </c>
      <c r="BV31" s="1823">
        <v>30</v>
      </c>
      <c r="BW31" s="1822">
        <v>708851.43805244647</v>
      </c>
      <c r="BX31" s="57">
        <f t="shared" si="48"/>
        <v>818906.73600111133</v>
      </c>
      <c r="BY31" s="1">
        <f t="shared" si="2"/>
        <v>1.5711528360422694E-2</v>
      </c>
      <c r="BZ31" s="1">
        <v>8731811.8910159115</v>
      </c>
      <c r="CA31" s="2">
        <f t="shared" si="45"/>
        <v>45814208.912346512</v>
      </c>
      <c r="CB31" s="1">
        <f t="shared" si="3"/>
        <v>6.1375461191601241E-2</v>
      </c>
      <c r="CL31" s="1823">
        <v>30</v>
      </c>
      <c r="CM31" s="1822">
        <v>20830.815045023013</v>
      </c>
      <c r="CN31" s="2">
        <f t="shared" si="53"/>
        <v>47135.4209047966</v>
      </c>
      <c r="CO31" s="1">
        <f t="shared" si="54"/>
        <v>3.6533977866650462E-2</v>
      </c>
      <c r="CP31" s="1">
        <v>1896044.1448658174</v>
      </c>
      <c r="CQ31" s="2">
        <f t="shared" si="52"/>
        <v>51659635.282565482</v>
      </c>
      <c r="CR31" s="1">
        <f t="shared" si="51"/>
        <v>6.651342228194064E-2</v>
      </c>
      <c r="DB31" s="1823">
        <v>32</v>
      </c>
      <c r="DE31" s="883">
        <v>3606815.9168987959</v>
      </c>
      <c r="DF31" s="1">
        <f t="shared" si="24"/>
        <v>54304603.118998289</v>
      </c>
      <c r="DG31" s="1">
        <f t="shared" si="25"/>
        <v>4.9739155831229849E-2</v>
      </c>
      <c r="DP31" s="1823">
        <v>32</v>
      </c>
      <c r="DQ31" s="1">
        <v>1607522.6829587775</v>
      </c>
      <c r="DR31">
        <v>176</v>
      </c>
      <c r="DS31" s="57">
        <f t="shared" si="26"/>
        <v>18090162.600316774</v>
      </c>
      <c r="DT31" s="895">
        <v>3067951.755671306</v>
      </c>
      <c r="DU31" s="57">
        <f t="shared" si="27"/>
        <v>21158114.355988082</v>
      </c>
      <c r="DV31" s="1">
        <f t="shared" si="6"/>
        <v>1.7176622714573701E-2</v>
      </c>
      <c r="DW31" s="1">
        <f t="shared" si="28"/>
        <v>2.9101564387179132E-2</v>
      </c>
      <c r="DY31" s="2">
        <f t="shared" si="29"/>
        <v>22765637.03894686</v>
      </c>
      <c r="EI31" s="1823">
        <v>32</v>
      </c>
      <c r="EJ31" s="2">
        <v>138831.2475112133</v>
      </c>
      <c r="EK31" s="2">
        <f t="shared" si="34"/>
        <v>454030.50501379999</v>
      </c>
      <c r="EL31" s="1">
        <v>61</v>
      </c>
      <c r="EM31" s="2">
        <f t="shared" si="40"/>
        <v>6525398.7640068494</v>
      </c>
      <c r="EN31" s="2">
        <v>3058394.6196062407</v>
      </c>
      <c r="EO31" s="2">
        <f t="shared" si="7"/>
        <v>21526105.374284063</v>
      </c>
      <c r="EP31" s="2">
        <f t="shared" si="8"/>
        <v>28051504.138290912</v>
      </c>
      <c r="EQ31" s="30">
        <f t="shared" si="9"/>
        <v>7.243359997613862E-4</v>
      </c>
      <c r="ER31" s="30">
        <f t="shared" si="10"/>
        <v>3.9162477024584266E-2</v>
      </c>
      <c r="ET31" s="2">
        <f t="shared" si="11"/>
        <v>21980135.879297864</v>
      </c>
      <c r="FF31" s="1823">
        <v>32</v>
      </c>
      <c r="FG31" s="2">
        <v>1001022.9922966503</v>
      </c>
      <c r="FH31" s="2">
        <f t="shared" si="35"/>
        <v>3408211.2519472265</v>
      </c>
      <c r="FI31" s="1">
        <v>26</v>
      </c>
      <c r="FJ31" s="2">
        <f t="shared" si="4"/>
        <v>1312.2886075949368</v>
      </c>
      <c r="FK31" s="2">
        <v>2156582.3356434177</v>
      </c>
      <c r="FL31" s="2">
        <f t="shared" si="5"/>
        <v>9077329.1109225191</v>
      </c>
      <c r="FM31" s="2">
        <f t="shared" si="12"/>
        <v>9078641.3995301146</v>
      </c>
      <c r="FN31" s="30">
        <f t="shared" si="13"/>
        <v>1.1241271357162116E-2</v>
      </c>
      <c r="FO31" s="30">
        <f t="shared" si="14"/>
        <v>1.339498363994852E-2</v>
      </c>
      <c r="FQ31" s="2">
        <f t="shared" si="15"/>
        <v>12486852.651477341</v>
      </c>
      <c r="GB31" s="1823">
        <v>32</v>
      </c>
      <c r="GC31" s="2">
        <v>222624.83983331727</v>
      </c>
      <c r="GD31" s="2">
        <f t="shared" si="49"/>
        <v>855673.0479506437</v>
      </c>
      <c r="GE31">
        <v>105</v>
      </c>
      <c r="GF31" s="2">
        <f t="shared" si="30"/>
        <v>1247.4210566959703</v>
      </c>
      <c r="GG31" s="1444">
        <v>931692.2090271468</v>
      </c>
      <c r="GH31" s="2">
        <f t="shared" si="16"/>
        <v>8424878.2057971731</v>
      </c>
      <c r="GI31" s="2">
        <f t="shared" si="31"/>
        <v>8426125.6268538684</v>
      </c>
      <c r="GJ31" s="2">
        <f t="shared" si="17"/>
        <v>0.16042461996689433</v>
      </c>
      <c r="GK31" s="2">
        <f t="shared" si="18"/>
        <v>2.98041441952881</v>
      </c>
      <c r="GL31" s="2"/>
      <c r="GM31" s="2">
        <f t="shared" si="19"/>
        <v>9281798.6748045124</v>
      </c>
      <c r="HC31" s="1963">
        <v>32</v>
      </c>
      <c r="HD31" s="57">
        <v>1471391.7288854599</v>
      </c>
      <c r="HE31" s="2">
        <f t="shared" si="39"/>
        <v>12693356.937830612</v>
      </c>
      <c r="HF31" s="73"/>
      <c r="HG31" s="2">
        <f t="shared" si="32"/>
        <v>0</v>
      </c>
      <c r="HH31" s="2">
        <v>193</v>
      </c>
      <c r="HI31" s="2">
        <f t="shared" si="36"/>
        <v>40939183.898031302</v>
      </c>
      <c r="HJ31" s="2">
        <f t="shared" si="55"/>
        <v>40939183.898031302</v>
      </c>
      <c r="HK31" s="2">
        <f t="shared" si="21"/>
        <v>2.3797956097047424</v>
      </c>
      <c r="HL31" s="2">
        <f t="shared" si="22"/>
        <v>2.4867929390542458</v>
      </c>
      <c r="HM31" s="2"/>
      <c r="HN31" s="2">
        <f t="shared" si="23"/>
        <v>53632540.835861914</v>
      </c>
    </row>
    <row r="32" spans="1:222" ht="14.4" thickTop="1" thickBot="1">
      <c r="A32" s="110">
        <v>33</v>
      </c>
      <c r="B32" s="1154">
        <v>137</v>
      </c>
      <c r="C32" s="2"/>
      <c r="D32" s="2">
        <v>137</v>
      </c>
      <c r="E32" s="2">
        <v>10647056.481481481</v>
      </c>
      <c r="F32">
        <v>236</v>
      </c>
      <c r="G32" s="2">
        <v>1644920</v>
      </c>
      <c r="H32" s="129">
        <v>6038850.7447095998</v>
      </c>
      <c r="I32" s="2">
        <v>8143242.0274006072</v>
      </c>
      <c r="J32" s="2">
        <v>10647292.481481481</v>
      </c>
      <c r="K32" s="2">
        <v>8143242.0274006072</v>
      </c>
      <c r="L32" s="1">
        <v>2.399766059183903E-2</v>
      </c>
      <c r="M32" s="1">
        <v>3.1066582487362483E-2</v>
      </c>
      <c r="W32" s="391">
        <v>33</v>
      </c>
      <c r="X32" s="123">
        <v>3043917.9125939975</v>
      </c>
      <c r="Y32" s="57">
        <f t="shared" si="0"/>
        <v>8141345.8518991852</v>
      </c>
      <c r="Z32" s="392">
        <v>5131830.7980911015</v>
      </c>
      <c r="AA32" s="2">
        <v>34832368.719302841</v>
      </c>
      <c r="AB32" s="2">
        <f t="shared" si="50"/>
        <v>42660758.691556707</v>
      </c>
      <c r="AC32" s="30">
        <f t="shared" si="46"/>
        <v>7.5087361403510053</v>
      </c>
      <c r="AD32" s="30">
        <f t="shared" si="47"/>
        <v>7.4402196443879811</v>
      </c>
      <c r="AO32" s="438">
        <v>31</v>
      </c>
      <c r="AP32" s="1821">
        <v>2386663.4642252969</v>
      </c>
      <c r="AQ32" s="1821">
        <v>4851450.7882050127</v>
      </c>
      <c r="AR32" s="1146">
        <v>4654595.2948246803</v>
      </c>
      <c r="AS32" s="57">
        <f t="shared" si="37"/>
        <v>31011032.049573623</v>
      </c>
      <c r="AT32" s="1">
        <f t="shared" si="38"/>
        <v>7.359118011709273E-2</v>
      </c>
      <c r="AU32" s="1">
        <f t="shared" si="1"/>
        <v>5.9458137286774224E-2</v>
      </c>
      <c r="BE32" s="438">
        <v>31</v>
      </c>
      <c r="BF32" s="465">
        <v>2507758.683973047</v>
      </c>
      <c r="BG32" s="1147">
        <f t="shared" si="42"/>
        <v>6547128.0891740564</v>
      </c>
      <c r="BH32" s="1146">
        <v>2481607.2074694093</v>
      </c>
      <c r="BI32" s="57">
        <f t="shared" si="43"/>
        <v>33002510.852125168</v>
      </c>
      <c r="BJ32" s="1">
        <f t="shared" si="41"/>
        <v>2.7085085995543028E-2</v>
      </c>
      <c r="BK32" s="1">
        <f t="shared" si="44"/>
        <v>6.0209742032538836E-2</v>
      </c>
      <c r="BV32" s="1823">
        <v>31</v>
      </c>
      <c r="BW32" s="1822">
        <v>406769.23235376022</v>
      </c>
      <c r="BX32" s="57">
        <f t="shared" si="48"/>
        <v>469923.66311296052</v>
      </c>
      <c r="BY32" s="1">
        <f t="shared" si="2"/>
        <v>9.0159460603374247E-3</v>
      </c>
      <c r="BZ32" s="1">
        <v>5986065.5106184818</v>
      </c>
      <c r="CA32" s="2">
        <f t="shared" si="45"/>
        <v>31407783.320279449</v>
      </c>
      <c r="CB32" s="1">
        <f t="shared" si="3"/>
        <v>4.2075749686655471E-2</v>
      </c>
      <c r="CL32" s="1823">
        <v>31</v>
      </c>
      <c r="CM32" s="1822">
        <v>20739.305175728572</v>
      </c>
      <c r="CN32" s="2">
        <f t="shared" si="53"/>
        <v>46928.354777196044</v>
      </c>
      <c r="CO32" s="1">
        <f t="shared" si="54"/>
        <v>3.6373483928599681E-2</v>
      </c>
      <c r="CP32" s="1">
        <v>1998389.8467881554</v>
      </c>
      <c r="CQ32" s="2">
        <f t="shared" si="52"/>
        <v>54448147.168411002</v>
      </c>
      <c r="CR32" s="1">
        <f t="shared" si="51"/>
        <v>7.0103719959943189E-2</v>
      </c>
      <c r="DB32" s="1823">
        <v>33</v>
      </c>
      <c r="DE32" s="883">
        <v>3458371.2659255136</v>
      </c>
      <c r="DF32" s="1">
        <f t="shared" si="24"/>
        <v>52069604.70433744</v>
      </c>
      <c r="DG32" s="1">
        <f t="shared" si="25"/>
        <v>4.7692056174028302E-2</v>
      </c>
      <c r="DP32" s="1823">
        <v>33</v>
      </c>
      <c r="DQ32" s="1">
        <v>1154033.060184798</v>
      </c>
      <c r="DR32">
        <v>112</v>
      </c>
      <c r="DS32" s="57">
        <f t="shared" si="26"/>
        <v>11511921.654747037</v>
      </c>
      <c r="DT32" s="895">
        <v>2024753.0468394342</v>
      </c>
      <c r="DU32" s="57">
        <f t="shared" si="27"/>
        <v>13536674.701586472</v>
      </c>
      <c r="DV32" s="1">
        <f t="shared" si="6"/>
        <v>1.2331017586921053E-2</v>
      </c>
      <c r="DW32" s="1">
        <f t="shared" si="28"/>
        <v>1.8618786333623665E-2</v>
      </c>
      <c r="DY32" s="2">
        <f t="shared" si="29"/>
        <v>14690707.761771269</v>
      </c>
      <c r="EI32" s="1823">
        <v>33</v>
      </c>
      <c r="EJ32" s="2">
        <v>58011.41443295635</v>
      </c>
      <c r="EK32" s="2">
        <f t="shared" si="34"/>
        <v>189719.18976261193</v>
      </c>
      <c r="EL32" s="1">
        <v>51</v>
      </c>
      <c r="EM32" s="2">
        <f t="shared" si="40"/>
        <v>5455661.2617106447</v>
      </c>
      <c r="EN32" s="2">
        <v>1834305.2775440379</v>
      </c>
      <c r="EO32" s="2">
        <f t="shared" si="7"/>
        <v>12910514.699408531</v>
      </c>
      <c r="EP32" s="2">
        <f t="shared" si="8"/>
        <v>18366175.961119175</v>
      </c>
      <c r="EQ32" s="30">
        <f t="shared" si="9"/>
        <v>3.026678548535959E-4</v>
      </c>
      <c r="ER32" s="30">
        <f t="shared" si="10"/>
        <v>2.5640869044344372E-2</v>
      </c>
      <c r="ET32" s="2">
        <f t="shared" si="11"/>
        <v>13100233.889171144</v>
      </c>
      <c r="FF32" s="1823">
        <v>33</v>
      </c>
      <c r="FG32" s="2">
        <v>803421.82998335187</v>
      </c>
      <c r="FH32" s="2">
        <f t="shared" si="35"/>
        <v>2735432.9941282952</v>
      </c>
      <c r="FI32" s="1">
        <v>11</v>
      </c>
      <c r="FJ32" s="2">
        <f t="shared" si="4"/>
        <v>555.19902629016553</v>
      </c>
      <c r="FK32" s="2">
        <v>1117220.8877481194</v>
      </c>
      <c r="FL32" s="2">
        <f t="shared" si="5"/>
        <v>4702524.6938513089</v>
      </c>
      <c r="FM32" s="2">
        <f t="shared" si="12"/>
        <v>4703079.8928775992</v>
      </c>
      <c r="FN32" s="30">
        <f>FH32/$FH$56</f>
        <v>9.0222531096809926E-3</v>
      </c>
      <c r="FO32" s="30">
        <f t="shared" si="14"/>
        <v>6.9391085571159214E-3</v>
      </c>
      <c r="FQ32" s="2">
        <f t="shared" si="15"/>
        <v>7438512.8870058944</v>
      </c>
      <c r="GB32" s="1823">
        <v>33</v>
      </c>
      <c r="GC32" s="2">
        <v>83824.39223679078</v>
      </c>
      <c r="GD32" s="2">
        <f t="shared" si="49"/>
        <v>322184.50219466811</v>
      </c>
      <c r="GE32">
        <v>71</v>
      </c>
      <c r="GF32" s="2">
        <f t="shared" si="30"/>
        <v>843.49423833727508</v>
      </c>
      <c r="GG32" s="1444">
        <v>278987.10399525193</v>
      </c>
      <c r="GH32" s="2">
        <f t="shared" si="16"/>
        <v>2522756.2808562485</v>
      </c>
      <c r="GI32" s="2">
        <f t="shared" si="31"/>
        <v>2523599.775094586</v>
      </c>
      <c r="GJ32" s="2">
        <f t="shared" si="17"/>
        <v>6.0404293962036767E-2</v>
      </c>
      <c r="GK32" s="2">
        <f t="shared" si="18"/>
        <v>2.0153278455861479</v>
      </c>
      <c r="GL32" s="2"/>
      <c r="GM32" s="2">
        <f t="shared" si="19"/>
        <v>2845784.2772892541</v>
      </c>
      <c r="HC32" s="1963">
        <v>33</v>
      </c>
      <c r="HD32" s="57">
        <v>662987.57805190189</v>
      </c>
      <c r="HE32" s="2">
        <f t="shared" si="39"/>
        <v>5719440.8588494444</v>
      </c>
      <c r="HF32" s="73"/>
      <c r="HG32" s="2">
        <f t="shared" si="32"/>
        <v>0</v>
      </c>
      <c r="HH32" s="1">
        <v>157</v>
      </c>
      <c r="HI32" s="2">
        <f t="shared" si="36"/>
        <v>33302859.440367434</v>
      </c>
      <c r="HJ32" s="2">
        <f t="shared" si="55"/>
        <v>33302859.440367434</v>
      </c>
      <c r="HK32" s="2">
        <f t="shared" si="21"/>
        <v>1.0723010715384536</v>
      </c>
      <c r="HL32" s="2">
        <f t="shared" si="22"/>
        <v>2.0229351887643352</v>
      </c>
      <c r="HM32" s="2"/>
      <c r="HN32" s="2">
        <f t="shared" si="23"/>
        <v>39022300.299216881</v>
      </c>
    </row>
    <row r="33" spans="1:222" ht="14.4" thickTop="1" thickBot="1">
      <c r="A33" s="110">
        <v>34</v>
      </c>
      <c r="B33" s="1154">
        <v>107</v>
      </c>
      <c r="C33" s="2"/>
      <c r="D33" s="2">
        <v>107</v>
      </c>
      <c r="E33" s="2">
        <v>8315584.2592592593</v>
      </c>
      <c r="F33">
        <v>220</v>
      </c>
      <c r="G33" s="2">
        <v>1533400</v>
      </c>
      <c r="H33" s="129">
        <v>5227853.6766716633</v>
      </c>
      <c r="I33" s="2">
        <v>7049632.384153367</v>
      </c>
      <c r="J33" s="2">
        <v>8315804.2592592593</v>
      </c>
      <c r="K33" s="2">
        <v>7049632.384153367</v>
      </c>
      <c r="L33" s="1">
        <v>1.8742778834052093E-2</v>
      </c>
      <c r="M33" s="1">
        <v>2.6894446368038463E-2</v>
      </c>
      <c r="W33" s="391">
        <v>34</v>
      </c>
      <c r="X33" s="123">
        <v>3689384.0553270392</v>
      </c>
      <c r="Y33" s="57">
        <f t="shared" si="0"/>
        <v>9867727.1981040128</v>
      </c>
      <c r="Z33" s="392">
        <v>4857269.2892592158</v>
      </c>
      <c r="AA33" s="2">
        <v>32968778.884010963</v>
      </c>
      <c r="AB33" s="2">
        <f t="shared" si="50"/>
        <v>40378336.933102839</v>
      </c>
      <c r="AC33" s="30">
        <f t="shared" si="46"/>
        <v>9.1009719011315227</v>
      </c>
      <c r="AD33" s="30">
        <f t="shared" si="47"/>
        <v>7.0421554813287335</v>
      </c>
      <c r="AO33" s="438">
        <v>32</v>
      </c>
      <c r="AP33" s="1821">
        <v>2799820.6572532817</v>
      </c>
      <c r="AQ33" s="1821">
        <v>5691289.2571861483</v>
      </c>
      <c r="AR33" s="1146">
        <v>3921358.3024605247</v>
      </c>
      <c r="AS33" s="57">
        <f t="shared" si="37"/>
        <v>26125873.527753253</v>
      </c>
      <c r="AT33" s="1">
        <f t="shared" si="38"/>
        <v>8.6330607298404249E-2</v>
      </c>
      <c r="AU33" s="1">
        <f t="shared" si="1"/>
        <v>5.0091714860273771E-2</v>
      </c>
      <c r="BE33" s="438">
        <v>32</v>
      </c>
      <c r="BF33" s="465">
        <v>3444793.7426555268</v>
      </c>
      <c r="BG33" s="1147">
        <f t="shared" si="42"/>
        <v>8993491.2868966572</v>
      </c>
      <c r="BH33" s="1146">
        <v>3121955.4263109434</v>
      </c>
      <c r="BI33" s="57">
        <f t="shared" si="43"/>
        <v>41518402.882841416</v>
      </c>
      <c r="BJ33" s="1">
        <f t="shared" si="41"/>
        <v>3.7205547468751689E-2</v>
      </c>
      <c r="BK33" s="1">
        <f t="shared" si="44"/>
        <v>7.5746125450267821E-2</v>
      </c>
      <c r="BV33" s="1823">
        <v>32</v>
      </c>
      <c r="BW33" s="1822">
        <v>315573.71210998273</v>
      </c>
      <c r="BX33" s="57">
        <f t="shared" si="48"/>
        <v>364569.25200258952</v>
      </c>
      <c r="BY33" s="1">
        <f t="shared" si="2"/>
        <v>6.9946184227858161E-3</v>
      </c>
      <c r="BZ33" s="1">
        <v>5497469.0081838118</v>
      </c>
      <c r="CA33" s="2">
        <f t="shared" si="45"/>
        <v>28844207.453578155</v>
      </c>
      <c r="CB33" s="1">
        <f t="shared" si="3"/>
        <v>3.8641429748500891E-2</v>
      </c>
      <c r="CL33" s="1823">
        <v>32</v>
      </c>
      <c r="CM33" s="1822">
        <v>14853.007672706035</v>
      </c>
      <c r="CN33" s="2">
        <f t="shared" si="53"/>
        <v>33608.995463787382</v>
      </c>
      <c r="CO33" s="1">
        <f t="shared" si="54"/>
        <v>2.6049842619935388E-2</v>
      </c>
      <c r="CP33" s="1">
        <v>2457713.9180201292</v>
      </c>
      <c r="CQ33" s="2">
        <f t="shared" si="52"/>
        <v>66962894.813184932</v>
      </c>
      <c r="CR33" s="1">
        <f t="shared" si="51"/>
        <v>8.6216855298505965E-2</v>
      </c>
      <c r="DB33" s="1823">
        <v>34</v>
      </c>
      <c r="DE33" s="883">
        <v>2652348.7440660438</v>
      </c>
      <c r="DF33" s="1">
        <f t="shared" si="24"/>
        <v>39934044.09824267</v>
      </c>
      <c r="DG33" s="1">
        <f t="shared" si="25"/>
        <v>3.6576745400774345E-2</v>
      </c>
      <c r="DP33" s="1823">
        <v>34</v>
      </c>
      <c r="DQ33" s="1">
        <v>548665.48870821658</v>
      </c>
      <c r="DR33">
        <v>68</v>
      </c>
      <c r="DS33" s="57">
        <f t="shared" si="26"/>
        <v>6989381.0046678446</v>
      </c>
      <c r="DT33" s="895">
        <v>1680563.502258094</v>
      </c>
      <c r="DU33" s="57">
        <f t="shared" si="27"/>
        <v>8669944.5069259387</v>
      </c>
      <c r="DV33" s="1">
        <f t="shared" si="6"/>
        <v>5.8625736333015113E-3</v>
      </c>
      <c r="DW33" s="1">
        <f t="shared" si="28"/>
        <v>1.1924926014504116E-2</v>
      </c>
      <c r="DY33" s="2">
        <f t="shared" si="29"/>
        <v>9218609.9956341553</v>
      </c>
      <c r="EI33" s="1823">
        <v>34</v>
      </c>
      <c r="EJ33" s="2">
        <v>50823.767713979927</v>
      </c>
      <c r="EK33" s="2">
        <f t="shared" si="34"/>
        <v>166212.87595948871</v>
      </c>
      <c r="EL33" s="1">
        <v>14</v>
      </c>
      <c r="EM33" s="2">
        <f t="shared" si="40"/>
        <v>1497632.5032146866</v>
      </c>
      <c r="EN33" s="2">
        <v>895616.88767013839</v>
      </c>
      <c r="EO33" s="2">
        <f t="shared" si="7"/>
        <v>6303680.8184870081</v>
      </c>
      <c r="EP33" s="2">
        <f t="shared" si="8"/>
        <v>7801313.3217016943</v>
      </c>
      <c r="EQ33" s="30">
        <f t="shared" si="9"/>
        <v>2.6516713822493542E-4</v>
      </c>
      <c r="ER33" s="30">
        <f t="shared" si="10"/>
        <v>1.089135014709197E-2</v>
      </c>
      <c r="ET33" s="2">
        <f t="shared" si="11"/>
        <v>6469893.6944464967</v>
      </c>
      <c r="FF33" s="1823">
        <v>34</v>
      </c>
      <c r="FG33" s="2">
        <v>383455.35683128441</v>
      </c>
      <c r="FH33" s="2">
        <f t="shared" si="35"/>
        <v>1305561.2826368799</v>
      </c>
      <c r="FI33" s="1">
        <v>12</v>
      </c>
      <c r="FJ33" s="2">
        <f>FI33*$FI$59</f>
        <v>605.67166504381703</v>
      </c>
      <c r="FK33" s="2">
        <v>624431.70466055651</v>
      </c>
      <c r="FL33" s="2">
        <f t="shared" si="5"/>
        <v>2628312.3981942195</v>
      </c>
      <c r="FM33" s="2">
        <f t="shared" si="12"/>
        <v>2628918.0698592635</v>
      </c>
      <c r="FN33" s="30">
        <f t="shared" si="13"/>
        <v>4.3061205913045445E-3</v>
      </c>
      <c r="FO33" s="30">
        <f>FM33/$FM$56</f>
        <v>3.8788088422957723E-3</v>
      </c>
      <c r="FQ33" s="2">
        <f t="shared" si="15"/>
        <v>3934479.3524961434</v>
      </c>
      <c r="GB33" s="1823">
        <v>34</v>
      </c>
      <c r="GC33" s="2">
        <v>83824.392236790794</v>
      </c>
      <c r="GD33" s="2">
        <f t="shared" si="49"/>
        <v>322184.50219466817</v>
      </c>
      <c r="GE33">
        <v>34</v>
      </c>
      <c r="GF33" s="2">
        <f t="shared" si="30"/>
        <v>403.92681835869507</v>
      </c>
      <c r="GG33" s="1444">
        <v>343246.85145170317</v>
      </c>
      <c r="GH33" s="2">
        <f t="shared" si="16"/>
        <v>3103828.592731846</v>
      </c>
      <c r="GI33" s="2">
        <f t="shared" si="31"/>
        <v>3104232.5195502047</v>
      </c>
      <c r="GJ33" s="2">
        <f t="shared" si="17"/>
        <v>6.0404293962036781E-2</v>
      </c>
      <c r="GK33" s="2">
        <f t="shared" si="18"/>
        <v>0.96508657394266217</v>
      </c>
      <c r="GL33" s="2"/>
      <c r="GM33" s="2">
        <f t="shared" si="19"/>
        <v>3426417.0217448729</v>
      </c>
      <c r="HC33" s="1963">
        <v>34</v>
      </c>
      <c r="HD33" s="57">
        <v>290976.14476018265</v>
      </c>
      <c r="HE33" s="2">
        <f t="shared" si="39"/>
        <v>2510184.0613393756</v>
      </c>
      <c r="HF33" s="73"/>
      <c r="HG33" s="2">
        <f t="shared" si="32"/>
        <v>0</v>
      </c>
      <c r="HH33" s="1">
        <v>48</v>
      </c>
      <c r="HI33" s="2">
        <f t="shared" si="36"/>
        <v>10181765.943551827</v>
      </c>
      <c r="HJ33" s="2">
        <f t="shared" si="55"/>
        <v>10181765.943551827</v>
      </c>
      <c r="HK33" s="2">
        <f t="shared" si="21"/>
        <v>0.47061821691332817</v>
      </c>
      <c r="HL33" s="2">
        <f t="shared" si="22"/>
        <v>0.61847700038654829</v>
      </c>
      <c r="HM33" s="2"/>
      <c r="HN33" s="2">
        <f t="shared" si="23"/>
        <v>12691950.004891202</v>
      </c>
    </row>
    <row r="34" spans="1:222" ht="14.4" thickTop="1" thickBot="1">
      <c r="A34" s="110">
        <v>35</v>
      </c>
      <c r="B34" s="1154">
        <v>125</v>
      </c>
      <c r="C34" s="2"/>
      <c r="D34" s="2">
        <v>125</v>
      </c>
      <c r="E34" s="2">
        <v>9714467.5925925933</v>
      </c>
      <c r="F34">
        <v>152</v>
      </c>
      <c r="G34" s="2">
        <v>1059440</v>
      </c>
      <c r="H34" s="129">
        <v>4107866.2796964161</v>
      </c>
      <c r="I34" s="2">
        <v>5539356.8653888404</v>
      </c>
      <c r="J34" s="2">
        <v>9714619.5925925933</v>
      </c>
      <c r="K34" s="2">
        <v>5539356.8653888404</v>
      </c>
      <c r="L34" s="1">
        <v>2.1895532988066162E-2</v>
      </c>
      <c r="M34" s="1">
        <v>2.1132724092749623E-2</v>
      </c>
      <c r="W34" s="391">
        <v>35</v>
      </c>
      <c r="X34" s="123">
        <v>4540769.8637924008</v>
      </c>
      <c r="Y34" s="57">
        <f t="shared" si="0"/>
        <v>12144866.897383358</v>
      </c>
      <c r="Z34" s="392">
        <v>4909449.4449402262</v>
      </c>
      <c r="AA34" s="2">
        <v>33322952.373750273</v>
      </c>
      <c r="AB34" s="2">
        <f t="shared" si="50"/>
        <v>40812109.034635007</v>
      </c>
      <c r="AC34" s="30">
        <f t="shared" si="46"/>
        <v>11.201170255021399</v>
      </c>
      <c r="AD34" s="30">
        <f t="shared" si="47"/>
        <v>7.1178071999102377</v>
      </c>
      <c r="AO34" s="438">
        <v>33</v>
      </c>
      <c r="AP34" s="1821">
        <v>2796972.8604060104</v>
      </c>
      <c r="AQ34" s="1821">
        <v>5685500.4451200841</v>
      </c>
      <c r="AR34" s="1146">
        <v>3928878.1792246997</v>
      </c>
      <c r="AS34" s="57">
        <f t="shared" si="37"/>
        <v>26175974.368872985</v>
      </c>
      <c r="AT34" s="1">
        <f t="shared" si="38"/>
        <v>8.6242797377204292E-2</v>
      </c>
      <c r="AU34" s="1">
        <f t="shared" si="1"/>
        <v>5.0187774310495162E-2</v>
      </c>
      <c r="BE34" s="438">
        <v>33</v>
      </c>
      <c r="BF34" s="465">
        <v>3519490.2480094722</v>
      </c>
      <c r="BG34" s="1147">
        <f t="shared" si="42"/>
        <v>9188505.1020182781</v>
      </c>
      <c r="BH34" s="1146">
        <v>2842452.6924323905</v>
      </c>
      <c r="BI34" s="57">
        <f t="shared" si="43"/>
        <v>37801339.207227759</v>
      </c>
      <c r="BJ34" s="1">
        <f t="shared" si="41"/>
        <v>3.8012308216509472E-2</v>
      </c>
      <c r="BK34" s="1">
        <f t="shared" si="44"/>
        <v>6.8964718846690962E-2</v>
      </c>
      <c r="BV34" s="1823">
        <v>33</v>
      </c>
      <c r="BW34" s="1822">
        <v>411368.32594838075</v>
      </c>
      <c r="BX34" s="57">
        <f t="shared" si="48"/>
        <v>475236.80564460572</v>
      </c>
      <c r="BY34" s="1">
        <f t="shared" si="2"/>
        <v>9.1178839073461689E-3</v>
      </c>
      <c r="BZ34" s="1">
        <v>4467589.8869868089</v>
      </c>
      <c r="CA34" s="2">
        <f t="shared" si="45"/>
        <v>23440621.370656509</v>
      </c>
      <c r="CB34" s="1">
        <f t="shared" si="3"/>
        <v>3.140246184309943E-2</v>
      </c>
      <c r="CL34" s="1823">
        <v>33</v>
      </c>
      <c r="CM34" s="1822">
        <v>33058.893078059125</v>
      </c>
      <c r="CN34" s="2">
        <f t="shared" si="53"/>
        <v>74804.794556192181</v>
      </c>
      <c r="CO34" s="1">
        <f t="shared" si="54"/>
        <v>5.7980106174402538E-2</v>
      </c>
      <c r="CP34" s="1">
        <v>2491228.1434010295</v>
      </c>
      <c r="CQ34" s="2">
        <f t="shared" si="52"/>
        <v>67876023.68976894</v>
      </c>
      <c r="CR34" s="1">
        <f t="shared" si="51"/>
        <v>8.7392537748330848E-2</v>
      </c>
      <c r="DB34" s="1823">
        <v>35</v>
      </c>
      <c r="DE34" s="883">
        <v>2065634.3743626229</v>
      </c>
      <c r="DF34" s="1">
        <f t="shared" si="24"/>
        <v>31100410.299057148</v>
      </c>
      <c r="DG34" s="1">
        <f t="shared" si="25"/>
        <v>2.8485764841890696E-2</v>
      </c>
      <c r="DP34" s="1823">
        <v>35</v>
      </c>
      <c r="DQ34" s="1">
        <v>364317.98573418934</v>
      </c>
      <c r="DR34">
        <v>37</v>
      </c>
      <c r="DS34" s="57">
        <f t="shared" si="26"/>
        <v>3803045.5466575036</v>
      </c>
      <c r="DT34" s="895">
        <v>1285420.2055810115</v>
      </c>
      <c r="DU34" s="57">
        <f t="shared" si="27"/>
        <v>5088465.7522385148</v>
      </c>
      <c r="DV34" s="1">
        <f t="shared" si="6"/>
        <v>3.8927927147949831E-3</v>
      </c>
      <c r="DW34" s="1">
        <f t="shared" si="28"/>
        <v>6.9988426770562096E-3</v>
      </c>
      <c r="DY34" s="2">
        <f t="shared" si="29"/>
        <v>5452783.7379727038</v>
      </c>
      <c r="EI34" s="1823">
        <v>35</v>
      </c>
      <c r="EJ34" s="2">
        <v>25146.440879985828</v>
      </c>
      <c r="EK34" s="2">
        <f t="shared" si="34"/>
        <v>82238.339399186545</v>
      </c>
      <c r="EL34" s="1">
        <v>20</v>
      </c>
      <c r="EM34" s="2">
        <f t="shared" si="40"/>
        <v>2139475.0045924094</v>
      </c>
      <c r="EN34" s="2">
        <v>578477.84599291603</v>
      </c>
      <c r="EO34" s="2">
        <f t="shared" si="7"/>
        <v>4071539.6861166279</v>
      </c>
      <c r="EP34" s="2">
        <f t="shared" si="8"/>
        <v>6211014.6907090377</v>
      </c>
      <c r="EQ34" s="30">
        <f t="shared" si="9"/>
        <v>1.3119865103692856E-4</v>
      </c>
      <c r="ER34" s="30">
        <f t="shared" si="10"/>
        <v>8.6711471486558139E-3</v>
      </c>
      <c r="ET34" s="2">
        <f t="shared" si="11"/>
        <v>4153778.0255158143</v>
      </c>
      <c r="FF34" s="1823">
        <v>35</v>
      </c>
      <c r="FG34" s="2">
        <v>216558.39813797979</v>
      </c>
      <c r="FH34" s="2">
        <f>FG34*$FG$59</f>
        <v>737322.49400601489</v>
      </c>
      <c r="FI34" s="1">
        <v>5</v>
      </c>
      <c r="FJ34" s="2">
        <f t="shared" si="4"/>
        <v>252.36319376825708</v>
      </c>
      <c r="FK34" s="2">
        <v>383266.4503826134</v>
      </c>
      <c r="FL34" s="2">
        <f t="shared" si="5"/>
        <v>1613217.1954659293</v>
      </c>
      <c r="FM34" s="2">
        <f t="shared" si="12"/>
        <v>1613469.5586596977</v>
      </c>
      <c r="FN34" s="30">
        <f>FH34/$FH$56</f>
        <v>2.4319038991863209E-3</v>
      </c>
      <c r="FO34" s="30">
        <f t="shared" si="14"/>
        <v>2.3805762768557208E-3</v>
      </c>
      <c r="FQ34" s="2">
        <f t="shared" si="15"/>
        <v>2350792.0526657123</v>
      </c>
      <c r="GB34" s="1823">
        <v>35</v>
      </c>
      <c r="GC34" s="2">
        <v>83824.392236790824</v>
      </c>
      <c r="GD34" s="2">
        <f t="shared" si="49"/>
        <v>322184.50219466828</v>
      </c>
      <c r="GE34">
        <v>20</v>
      </c>
      <c r="GF34" s="2">
        <f>GE34*$GE$59</f>
        <v>237.60401079923241</v>
      </c>
      <c r="GG34" s="1444">
        <v>180874.21760062806</v>
      </c>
      <c r="GH34" s="2">
        <f t="shared" si="16"/>
        <v>1635565.0923015785</v>
      </c>
      <c r="GI34" s="2">
        <f t="shared" si="31"/>
        <v>1635802.6963123777</v>
      </c>
      <c r="GJ34" s="2">
        <f t="shared" si="17"/>
        <v>6.0404293962036802E-2</v>
      </c>
      <c r="GK34" s="2">
        <f t="shared" si="18"/>
        <v>0.56769798467215427</v>
      </c>
      <c r="GL34" s="2"/>
      <c r="GM34" s="2">
        <f t="shared" si="19"/>
        <v>1957987.1985070459</v>
      </c>
      <c r="HC34" s="1963">
        <v>35</v>
      </c>
      <c r="HD34" s="57">
        <v>47414.068388744425</v>
      </c>
      <c r="HE34" s="2">
        <f t="shared" si="39"/>
        <v>409030.22772115533</v>
      </c>
      <c r="HF34" s="73"/>
      <c r="HG34" s="2">
        <f>HF34*$GE$59</f>
        <v>0</v>
      </c>
      <c r="HH34" s="1">
        <v>11</v>
      </c>
      <c r="HI34" s="2">
        <f t="shared" si="36"/>
        <v>2333321.3620639602</v>
      </c>
      <c r="HJ34" s="2">
        <f t="shared" si="55"/>
        <v>2333321.3620639602</v>
      </c>
      <c r="HK34" s="2">
        <f t="shared" si="21"/>
        <v>7.6686438814797808E-2</v>
      </c>
      <c r="HL34" s="2">
        <f t="shared" si="22"/>
        <v>0.14173431258858396</v>
      </c>
      <c r="HM34" s="2"/>
      <c r="HN34" s="2">
        <f t="shared" si="23"/>
        <v>2742351.5897851153</v>
      </c>
    </row>
    <row r="35" spans="1:222" ht="14.4" thickTop="1" thickBot="1">
      <c r="A35" s="110">
        <v>36</v>
      </c>
      <c r="B35" s="1154">
        <v>144</v>
      </c>
      <c r="C35" s="2"/>
      <c r="D35" s="2">
        <v>144</v>
      </c>
      <c r="E35" s="2">
        <v>11191066.666666668</v>
      </c>
      <c r="F35">
        <v>123</v>
      </c>
      <c r="G35" s="2">
        <v>857310</v>
      </c>
      <c r="H35" s="129">
        <v>2517711.5773837743</v>
      </c>
      <c r="I35" s="2">
        <v>3395072.2739398582</v>
      </c>
      <c r="J35" s="2">
        <v>11191189.666666668</v>
      </c>
      <c r="K35" s="2">
        <v>3395072.2739398582</v>
      </c>
      <c r="L35" s="1">
        <v>2.5223536566377359E-2</v>
      </c>
      <c r="M35" s="1">
        <v>1.2952248317563258E-2</v>
      </c>
      <c r="W35" s="391">
        <v>36</v>
      </c>
      <c r="X35" s="123">
        <v>4294667.936537073</v>
      </c>
      <c r="Y35" s="57">
        <f t="shared" si="0"/>
        <v>11486635.971932052</v>
      </c>
      <c r="Z35" s="392">
        <v>4077716.3886027979</v>
      </c>
      <c r="AA35" s="2">
        <v>27677553.36621587</v>
      </c>
      <c r="AB35" s="2">
        <f t="shared" si="50"/>
        <v>33897936.567101501</v>
      </c>
      <c r="AC35" s="30">
        <f t="shared" si="46"/>
        <v>10.594086066664513</v>
      </c>
      <c r="AD35" s="30">
        <f t="shared" si="47"/>
        <v>5.9119458088935151</v>
      </c>
      <c r="AO35" s="438">
        <v>34</v>
      </c>
      <c r="AP35" s="1821">
        <v>2911902.850099585</v>
      </c>
      <c r="AQ35" s="1821">
        <v>5919122.4858665261</v>
      </c>
      <c r="AR35" s="1146">
        <v>4368912.8784917993</v>
      </c>
      <c r="AS35" s="57">
        <f t="shared" si="37"/>
        <v>29107685.784700923</v>
      </c>
      <c r="AT35" s="1">
        <f t="shared" si="38"/>
        <v>8.9786587148646096E-2</v>
      </c>
      <c r="AU35" s="1">
        <f t="shared" si="1"/>
        <v>5.5808809417254773E-2</v>
      </c>
      <c r="BE35" s="438">
        <v>34</v>
      </c>
      <c r="BF35" s="465">
        <v>3961290.9697181489</v>
      </c>
      <c r="BG35" s="1147">
        <f t="shared" si="42"/>
        <v>10341935.8261953</v>
      </c>
      <c r="BH35" s="1146">
        <v>3033066.0136588071</v>
      </c>
      <c r="BI35" s="57">
        <f t="shared" si="43"/>
        <v>40336276.3170975</v>
      </c>
      <c r="BJ35" s="1">
        <f t="shared" si="41"/>
        <v>4.2783983663931067E-2</v>
      </c>
      <c r="BK35" s="1">
        <f t="shared" si="44"/>
        <v>7.3589455132298101E-2</v>
      </c>
      <c r="BV35" s="1823">
        <v>34</v>
      </c>
      <c r="BW35" s="1822">
        <v>158083.53887259751</v>
      </c>
      <c r="BX35" s="57">
        <f t="shared" si="48"/>
        <v>182627.37138453187</v>
      </c>
      <c r="BY35" s="1">
        <f t="shared" si="2"/>
        <v>3.5038851175033278E-3</v>
      </c>
      <c r="BZ35" s="1">
        <v>3707235.4429729856</v>
      </c>
      <c r="CA35" s="2">
        <f t="shared" si="45"/>
        <v>19451181.632344939</v>
      </c>
      <c r="CB35" s="1">
        <f t="shared" si="3"/>
        <v>2.6057969170456385E-2</v>
      </c>
      <c r="CL35" s="1823">
        <v>34</v>
      </c>
      <c r="CM35" s="1822">
        <v>32216.594739200591</v>
      </c>
      <c r="CN35" s="2">
        <f t="shared" si="53"/>
        <v>72898.864008410106</v>
      </c>
      <c r="CO35" s="1">
        <f t="shared" si="54"/>
        <v>5.6502847180817155E-2</v>
      </c>
      <c r="CP35" s="1">
        <v>2631365.7590484787</v>
      </c>
      <c r="CQ35" s="2">
        <f t="shared" si="52"/>
        <v>71694214.386076748</v>
      </c>
      <c r="CR35" s="1">
        <f t="shared" si="51"/>
        <v>9.2308579620237113E-2</v>
      </c>
      <c r="DB35" s="1823">
        <v>36</v>
      </c>
      <c r="DE35" s="883">
        <v>1276090.2826158516</v>
      </c>
      <c r="DF35" s="1">
        <f t="shared" si="24"/>
        <v>19212950.685059488</v>
      </c>
      <c r="DG35" s="1">
        <f t="shared" si="25"/>
        <v>1.7597696939388587E-2</v>
      </c>
      <c r="DP35" s="1823">
        <v>36</v>
      </c>
      <c r="DQ35" s="1">
        <v>118436.2805258486</v>
      </c>
      <c r="DR35">
        <v>24</v>
      </c>
      <c r="DS35" s="57">
        <f t="shared" si="26"/>
        <v>2466840.3545886511</v>
      </c>
      <c r="DT35" s="895">
        <v>1038017.0704943805</v>
      </c>
      <c r="DU35" s="57">
        <f t="shared" si="27"/>
        <v>3504857.4250830319</v>
      </c>
      <c r="DV35" s="1">
        <f t="shared" si="6"/>
        <v>1.2655095494923611E-3</v>
      </c>
      <c r="DW35" s="1">
        <f t="shared" si="28"/>
        <v>4.8206958478353244E-3</v>
      </c>
      <c r="DY35" s="2">
        <f t="shared" si="29"/>
        <v>3623293.7056088806</v>
      </c>
      <c r="EI35" s="1823">
        <v>36</v>
      </c>
      <c r="EJ35" s="2">
        <v>457.80217849189233</v>
      </c>
      <c r="EK35" s="2">
        <f t="shared" si="34"/>
        <v>1497.1856698205013</v>
      </c>
      <c r="EL35" s="1">
        <v>8</v>
      </c>
      <c r="EM35" s="2">
        <f t="shared" si="40"/>
        <v>855790.00183696381</v>
      </c>
      <c r="EN35" s="2">
        <v>271914.0508713965</v>
      </c>
      <c r="EO35" s="2">
        <f t="shared" si="7"/>
        <v>1913831.0256901074</v>
      </c>
      <c r="EP35" s="2">
        <f t="shared" si="8"/>
        <v>2769621.0275270711</v>
      </c>
      <c r="EQ35" s="30">
        <f t="shared" si="9"/>
        <v>2.3885299930340405E-6</v>
      </c>
      <c r="ER35" s="30">
        <f t="shared" si="10"/>
        <v>3.8666454148986971E-3</v>
      </c>
      <c r="ET35" s="2">
        <f t="shared" si="11"/>
        <v>1915328.2113599279</v>
      </c>
      <c r="FF35" s="1823">
        <v>36</v>
      </c>
      <c r="FG35" s="2">
        <v>126063.15525393758</v>
      </c>
      <c r="FH35" s="2">
        <f t="shared" si="35"/>
        <v>429210.78486588318</v>
      </c>
      <c r="FI35" s="1">
        <v>6</v>
      </c>
      <c r="FJ35" s="2">
        <f t="shared" si="4"/>
        <v>302.83583252190851</v>
      </c>
      <c r="FK35" s="2">
        <v>242471.4386217625</v>
      </c>
      <c r="FL35" s="2">
        <f t="shared" si="5"/>
        <v>1020593.0986223718</v>
      </c>
      <c r="FM35" s="2">
        <f t="shared" si="12"/>
        <v>1020895.9344548937</v>
      </c>
      <c r="FN35" s="30">
        <f t="shared" si="13"/>
        <v>1.4156619251055255E-3</v>
      </c>
      <c r="FO35" s="30">
        <f t="shared" si="14"/>
        <v>1.5062699073917637E-3</v>
      </c>
      <c r="FQ35" s="2">
        <f t="shared" si="15"/>
        <v>1450106.7193207769</v>
      </c>
      <c r="GB35" s="1823">
        <v>36</v>
      </c>
      <c r="GC35" s="2">
        <v>83824.392236790794</v>
      </c>
      <c r="GD35" s="2">
        <f t="shared" si="49"/>
        <v>322184.50219466817</v>
      </c>
      <c r="GE35">
        <v>15</v>
      </c>
      <c r="GF35" s="2">
        <f t="shared" si="30"/>
        <v>178.20300809942432</v>
      </c>
      <c r="GG35" s="1444">
        <v>137891.41846007732</v>
      </c>
      <c r="GH35" s="2">
        <f t="shared" si="16"/>
        <v>1246890.7595178939</v>
      </c>
      <c r="GI35" s="2">
        <f t="shared" si="31"/>
        <v>1247068.9625259934</v>
      </c>
      <c r="GJ35" s="2">
        <f t="shared" si="17"/>
        <v>6.0404293962036781E-2</v>
      </c>
      <c r="GK35" s="2">
        <f t="shared" si="18"/>
        <v>0.42577348850411578</v>
      </c>
      <c r="GL35" s="2"/>
      <c r="GM35" s="2">
        <f t="shared" si="19"/>
        <v>1569253.4647206615</v>
      </c>
      <c r="HC35" s="1963">
        <v>36</v>
      </c>
      <c r="HD35" s="57">
        <v>21142.054692645812</v>
      </c>
      <c r="HE35" s="2">
        <f t="shared" si="39"/>
        <v>182387.62753965479</v>
      </c>
      <c r="HF35" s="73"/>
      <c r="HG35" s="2">
        <f t="shared" ref="HG35:HG45" si="56">HF35*$GE$59</f>
        <v>0</v>
      </c>
      <c r="HH35" s="1">
        <v>6</v>
      </c>
      <c r="HI35" s="2">
        <f t="shared" si="36"/>
        <v>1272720.7429439784</v>
      </c>
      <c r="HJ35" s="2">
        <f t="shared" si="55"/>
        <v>1272720.7429439784</v>
      </c>
      <c r="HK35" s="2">
        <f t="shared" si="21"/>
        <v>3.4194679737534886E-2</v>
      </c>
      <c r="HL35" s="2">
        <f t="shared" si="22"/>
        <v>7.7309625048318537E-2</v>
      </c>
      <c r="HM35" s="2"/>
      <c r="HN35" s="2">
        <f>HE35+HJ35</f>
        <v>1455108.3704836331</v>
      </c>
    </row>
    <row r="36" spans="1:222" ht="14.4" thickTop="1" thickBot="1">
      <c r="A36" s="110">
        <v>37</v>
      </c>
      <c r="B36" s="1154">
        <v>99</v>
      </c>
      <c r="C36" s="2"/>
      <c r="D36" s="2">
        <v>99</v>
      </c>
      <c r="E36" s="2">
        <v>7693858.333333334</v>
      </c>
      <c r="F36">
        <v>109</v>
      </c>
      <c r="G36" s="2">
        <v>759730</v>
      </c>
      <c r="H36" s="129">
        <v>1792077.1259812359</v>
      </c>
      <c r="I36" s="2">
        <v>2416572.0243074936</v>
      </c>
      <c r="J36" s="2">
        <v>7693967.333333334</v>
      </c>
      <c r="K36" s="2">
        <v>2416572.0243074936</v>
      </c>
      <c r="L36" s="1">
        <v>1.7341236468441549E-2</v>
      </c>
      <c r="M36" s="1">
        <v>9.2192561484956571E-3</v>
      </c>
      <c r="W36" s="391">
        <v>37</v>
      </c>
      <c r="X36" s="123">
        <v>4253894.5463143336</v>
      </c>
      <c r="Y36" s="57">
        <f t="shared" si="0"/>
        <v>11377582.350615805</v>
      </c>
      <c r="Z36" s="392">
        <v>3546904.0660923859</v>
      </c>
      <c r="AA36" s="2">
        <v>24074657.778678235</v>
      </c>
      <c r="AB36" s="2">
        <f t="shared" si="50"/>
        <v>29485309.321178913</v>
      </c>
      <c r="AC36" s="30">
        <f t="shared" si="46"/>
        <v>10.493506275250489</v>
      </c>
      <c r="AD36" s="30">
        <f t="shared" si="47"/>
        <v>5.1423646545627397</v>
      </c>
      <c r="AO36" s="438">
        <v>35</v>
      </c>
      <c r="AP36" s="1821">
        <v>3467126.9496324919</v>
      </c>
      <c r="AQ36" s="1821">
        <v>7047745.1156111378</v>
      </c>
      <c r="AR36" s="1146">
        <v>5197768.5891359095</v>
      </c>
      <c r="AS36" s="57">
        <f t="shared" si="37"/>
        <v>34629899.721503519</v>
      </c>
      <c r="AT36" s="1">
        <f t="shared" si="38"/>
        <v>0.10690655287759719</v>
      </c>
      <c r="AU36" s="1">
        <f t="shared" si="1"/>
        <v>6.6396672273817167E-2</v>
      </c>
      <c r="BE36" s="438">
        <v>35</v>
      </c>
      <c r="BF36" s="465">
        <v>5237432.10707541</v>
      </c>
      <c r="BG36" s="1147">
        <f t="shared" si="42"/>
        <v>13673619.827347003</v>
      </c>
      <c r="BH36" s="1146">
        <v>3377097.9818446944</v>
      </c>
      <c r="BI36" s="57">
        <f t="shared" si="43"/>
        <v>44911504.310213603</v>
      </c>
      <c r="BJ36" s="1">
        <f t="shared" si="41"/>
        <v>5.6566965522859801E-2</v>
      </c>
      <c r="BK36" s="1">
        <f t="shared" si="44"/>
        <v>8.1936495708692061E-2</v>
      </c>
      <c r="BV36" s="1823">
        <v>35</v>
      </c>
      <c r="BW36" s="1822">
        <v>209492.15130414747</v>
      </c>
      <c r="BX36" s="57">
        <f t="shared" si="48"/>
        <v>242017.6141755071</v>
      </c>
      <c r="BY36" s="1">
        <f t="shared" si="2"/>
        <v>4.6433451352574503E-3</v>
      </c>
      <c r="BZ36" s="1">
        <v>3557991.9172481624</v>
      </c>
      <c r="CA36" s="2">
        <f t="shared" si="45"/>
        <v>18668128.338055898</v>
      </c>
      <c r="CB36" s="1">
        <f t="shared" si="3"/>
        <v>2.5008944027044146E-2</v>
      </c>
      <c r="CL36" s="1823">
        <v>35</v>
      </c>
      <c r="CM36" s="1822">
        <v>29480.21744866974</v>
      </c>
      <c r="CN36" s="2">
        <f t="shared" si="53"/>
        <v>66707.061380201601</v>
      </c>
      <c r="CO36" s="1">
        <f t="shared" si="54"/>
        <v>5.1703671193176447E-2</v>
      </c>
      <c r="CP36" s="1">
        <v>2719688.3060745038</v>
      </c>
      <c r="CQ36" s="2">
        <f t="shared" si="52"/>
        <v>74100651.271497801</v>
      </c>
      <c r="CR36" s="1">
        <f t="shared" si="51"/>
        <v>9.5406943592018137E-2</v>
      </c>
      <c r="DB36" s="1823">
        <v>37</v>
      </c>
      <c r="DE36" s="883">
        <v>855504.13778911391</v>
      </c>
      <c r="DF36" s="1">
        <f t="shared" si="24"/>
        <v>12880561.065407492</v>
      </c>
      <c r="DG36" s="1">
        <f t="shared" si="25"/>
        <v>1.1797678230371589E-2</v>
      </c>
      <c r="DP36" s="1823">
        <v>37</v>
      </c>
      <c r="DQ36" s="1">
        <v>84581.058417998895</v>
      </c>
      <c r="DR36">
        <v>22</v>
      </c>
      <c r="DS36" s="57">
        <f t="shared" si="26"/>
        <v>2261270.3250395968</v>
      </c>
      <c r="DT36" s="895">
        <v>761304.19532729639</v>
      </c>
      <c r="DU36" s="57">
        <f t="shared" si="27"/>
        <v>3022574.5203668931</v>
      </c>
      <c r="DV36" s="1">
        <f t="shared" si="6"/>
        <v>9.0376138678880487E-4</v>
      </c>
      <c r="DW36" s="1">
        <f t="shared" si="28"/>
        <v>4.1573481237286956E-3</v>
      </c>
      <c r="DY36" s="2">
        <f t="shared" si="29"/>
        <v>3107155.5787848919</v>
      </c>
      <c r="EI36" s="1823">
        <v>37</v>
      </c>
      <c r="EJ36" s="2">
        <v>21334.774411739891</v>
      </c>
      <c r="EK36" s="2">
        <f t="shared" si="34"/>
        <v>69772.753426676354</v>
      </c>
      <c r="EL36" s="1">
        <v>5</v>
      </c>
      <c r="EM36" s="2">
        <f>EL36*$EL$59</f>
        <v>534868.75114810234</v>
      </c>
      <c r="EN36" s="2">
        <v>301317.92822581186</v>
      </c>
      <c r="EO36" s="2">
        <f t="shared" si="7"/>
        <v>2120786.3212187011</v>
      </c>
      <c r="EP36" s="2">
        <f t="shared" si="8"/>
        <v>2655655.0723668034</v>
      </c>
      <c r="EQ36" s="30">
        <f t="shared" si="9"/>
        <v>1.1131172146215199E-4</v>
      </c>
      <c r="ER36" s="30">
        <f t="shared" si="10"/>
        <v>3.7075384708095053E-3</v>
      </c>
      <c r="ET36" s="2">
        <f t="shared" si="11"/>
        <v>2190559.0746453772</v>
      </c>
      <c r="FF36" s="1823">
        <v>37</v>
      </c>
      <c r="FG36" s="2">
        <v>50269.19648601026</v>
      </c>
      <c r="FH36" s="2">
        <f t="shared" si="35"/>
        <v>171152.95293756208</v>
      </c>
      <c r="FI36" s="1">
        <v>21</v>
      </c>
      <c r="FJ36" s="2">
        <f t="shared" si="4"/>
        <v>1059.9254138266797</v>
      </c>
      <c r="FK36" s="2">
        <v>200254.59184949985</v>
      </c>
      <c r="FL36" s="2">
        <f t="shared" si="5"/>
        <v>842897.02560743527</v>
      </c>
      <c r="FM36" s="2">
        <f t="shared" si="12"/>
        <v>843956.95102126198</v>
      </c>
      <c r="FN36" s="30">
        <f t="shared" si="13"/>
        <v>5.6451218698708866E-4</v>
      </c>
      <c r="FO36" s="30">
        <f t="shared" si="14"/>
        <v>1.2452071906194845E-3</v>
      </c>
      <c r="FQ36" s="2">
        <f t="shared" si="15"/>
        <v>1015109.903958824</v>
      </c>
      <c r="GB36" s="1823">
        <v>37</v>
      </c>
      <c r="GC36" s="2">
        <v>83824.392236790794</v>
      </c>
      <c r="GD36" s="2">
        <f t="shared" si="49"/>
        <v>322184.50219466817</v>
      </c>
      <c r="GE36">
        <v>7</v>
      </c>
      <c r="GF36" s="2">
        <f t="shared" si="30"/>
        <v>83.161403779731344</v>
      </c>
      <c r="GG36" s="1444">
        <v>0</v>
      </c>
      <c r="GH36" s="2">
        <f t="shared" si="16"/>
        <v>0</v>
      </c>
      <c r="GI36" s="2">
        <f t="shared" si="31"/>
        <v>83.161403779731344</v>
      </c>
      <c r="GJ36" s="2">
        <f t="shared" si="17"/>
        <v>6.0404293962036781E-2</v>
      </c>
      <c r="GK36" s="2">
        <f t="shared" si="18"/>
        <v>0.19869429463525401</v>
      </c>
      <c r="GL36" s="2"/>
      <c r="GM36" s="2">
        <f t="shared" si="19"/>
        <v>322267.66359844792</v>
      </c>
      <c r="HC36" s="1963">
        <v>37</v>
      </c>
      <c r="HD36" s="57">
        <v>7042.8792092266794</v>
      </c>
      <c r="HE36" s="2">
        <f t="shared" si="39"/>
        <v>60757.293872011149</v>
      </c>
      <c r="HF36" s="73"/>
      <c r="HG36" s="2">
        <f t="shared" si="56"/>
        <v>0</v>
      </c>
      <c r="HH36" s="1">
        <v>1</v>
      </c>
      <c r="HI36" s="2">
        <f t="shared" si="36"/>
        <v>212120.1238239964</v>
      </c>
      <c r="HJ36" s="2">
        <f t="shared" si="55"/>
        <v>212120.1238239964</v>
      </c>
      <c r="HK36" s="2">
        <f t="shared" si="21"/>
        <v>1.1390993093657105E-2</v>
      </c>
      <c r="HL36" s="2">
        <f t="shared" si="22"/>
        <v>1.288493750805309E-2</v>
      </c>
      <c r="HM36" s="2"/>
      <c r="HN36" s="2">
        <f t="shared" si="23"/>
        <v>272877.41769600753</v>
      </c>
    </row>
    <row r="37" spans="1:222" ht="14.4" thickTop="1" thickBot="1">
      <c r="A37" s="110">
        <v>38</v>
      </c>
      <c r="B37" s="1154">
        <v>94</v>
      </c>
      <c r="C37" s="2"/>
      <c r="D37" s="2">
        <v>94</v>
      </c>
      <c r="E37" s="2">
        <v>7305279.6296296297</v>
      </c>
      <c r="F37">
        <v>56</v>
      </c>
      <c r="G37" s="2">
        <v>390320</v>
      </c>
      <c r="H37" s="129">
        <v>1122059.045701284</v>
      </c>
      <c r="I37" s="2">
        <v>1513069.0862304315</v>
      </c>
      <c r="J37" s="2">
        <v>7305335.6296296297</v>
      </c>
      <c r="K37" s="2">
        <v>1513069.0862304315</v>
      </c>
      <c r="L37" s="1">
        <v>1.646530939712924E-2</v>
      </c>
      <c r="M37" s="1">
        <v>5.7723797743317908E-3</v>
      </c>
      <c r="W37" s="391">
        <v>38</v>
      </c>
      <c r="X37" s="123">
        <v>3314801.9707329534</v>
      </c>
      <c r="Y37" s="57">
        <f t="shared" si="0"/>
        <v>8865859.7403817493</v>
      </c>
      <c r="Z37" s="392">
        <v>1571565.8358853371</v>
      </c>
      <c r="AA37" s="2">
        <v>10667023.683356766</v>
      </c>
      <c r="AB37" s="2">
        <f t="shared" si="50"/>
        <v>13064380.633425705</v>
      </c>
      <c r="AC37" s="30">
        <f t="shared" si="46"/>
        <v>8.1769528845599737</v>
      </c>
      <c r="AD37" s="30">
        <f t="shared" si="47"/>
        <v>2.2784841247985992</v>
      </c>
      <c r="AO37" s="438">
        <v>36</v>
      </c>
      <c r="AP37" s="1821">
        <v>3995864.8012163523</v>
      </c>
      <c r="AQ37" s="1821">
        <v>8122528.2617355883</v>
      </c>
      <c r="AR37" s="1146">
        <v>5418472.6709863404</v>
      </c>
      <c r="AS37" s="57">
        <f t="shared" si="37"/>
        <v>36100330.75196182</v>
      </c>
      <c r="AT37" s="1">
        <f t="shared" si="38"/>
        <v>0.12320983277184182</v>
      </c>
      <c r="AU37" s="1">
        <f t="shared" si="1"/>
        <v>6.9215962194254521E-2</v>
      </c>
      <c r="BE37" s="438">
        <v>36</v>
      </c>
      <c r="BF37" s="465">
        <v>3972983.3697048221</v>
      </c>
      <c r="BG37" s="1147">
        <f t="shared" si="42"/>
        <v>10372461.745962558</v>
      </c>
      <c r="BH37" s="1146">
        <v>2575885.1576347849</v>
      </c>
      <c r="BI37" s="57">
        <f t="shared" si="43"/>
        <v>34256298.745746635</v>
      </c>
      <c r="BJ37" s="1">
        <f t="shared" si="41"/>
        <v>4.2910267608697074E-2</v>
      </c>
      <c r="BK37" s="1">
        <f t="shared" si="44"/>
        <v>6.2497151192912083E-2</v>
      </c>
      <c r="BV37" s="1823">
        <v>36</v>
      </c>
      <c r="BW37" s="1822">
        <v>258560.50544684625</v>
      </c>
      <c r="BX37" s="57">
        <f t="shared" si="48"/>
        <v>298704.2533990154</v>
      </c>
      <c r="BY37" s="1">
        <f t="shared" si="2"/>
        <v>5.7309338687026616E-3</v>
      </c>
      <c r="BZ37" s="1">
        <v>3013884.5598808057</v>
      </c>
      <c r="CA37" s="2">
        <f t="shared" si="45"/>
        <v>15813297.238588341</v>
      </c>
      <c r="CB37" s="1">
        <f t="shared" si="3"/>
        <v>2.1184441115967404E-2</v>
      </c>
      <c r="CL37" s="1823">
        <v>36</v>
      </c>
      <c r="CM37" s="1822">
        <v>14820.521558057208</v>
      </c>
      <c r="CN37" s="2">
        <f t="shared" si="53"/>
        <v>33535.486737209743</v>
      </c>
      <c r="CO37" s="1">
        <f t="shared" si="54"/>
        <v>2.599286707716433E-2</v>
      </c>
      <c r="CP37" s="1">
        <v>2218557.5174561827</v>
      </c>
      <c r="CQ37" s="2">
        <f t="shared" si="52"/>
        <v>60446837.440744929</v>
      </c>
      <c r="CR37" s="1">
        <f t="shared" si="51"/>
        <v>7.7827224337005091E-2</v>
      </c>
      <c r="DB37" s="1823">
        <v>38</v>
      </c>
      <c r="DE37" s="883">
        <v>503825.49857623264</v>
      </c>
      <c r="DF37" s="1">
        <f t="shared" si="24"/>
        <v>7585650.1611921471</v>
      </c>
      <c r="DG37" s="1">
        <f t="shared" si="25"/>
        <v>6.9479162682017925E-3</v>
      </c>
      <c r="DP37" s="1823">
        <v>38</v>
      </c>
      <c r="DQ37" s="1">
        <v>11861.635491904188</v>
      </c>
      <c r="DR37">
        <v>9</v>
      </c>
      <c r="DS37" s="57">
        <f>DR37*$DR$59</f>
        <v>925065.13297074416</v>
      </c>
      <c r="DT37" s="895">
        <v>511537.07306665077</v>
      </c>
      <c r="DU37" s="57">
        <f t="shared" si="27"/>
        <v>1436602.2060373949</v>
      </c>
      <c r="DV37" s="1">
        <f t="shared" si="6"/>
        <v>1.267433671587325E-4</v>
      </c>
      <c r="DW37" s="1">
        <f t="shared" si="28"/>
        <v>1.9759497890192981E-3</v>
      </c>
      <c r="DY37" s="2">
        <f t="shared" si="29"/>
        <v>1448463.841529299</v>
      </c>
      <c r="EI37" s="1823">
        <v>38</v>
      </c>
      <c r="EJ37" s="2">
        <v>432.31957103720066</v>
      </c>
      <c r="EK37" s="2">
        <f t="shared" si="34"/>
        <v>1413.8479390204695</v>
      </c>
      <c r="EL37" s="1">
        <v>4</v>
      </c>
      <c r="EM37" s="2">
        <f>EL37*$EL$59</f>
        <v>427895.00091848191</v>
      </c>
      <c r="EN37" s="2">
        <v>132095.17541590205</v>
      </c>
      <c r="EO37" s="2">
        <f t="shared" si="7"/>
        <v>929734.39307296998</v>
      </c>
      <c r="EP37" s="2">
        <f t="shared" si="8"/>
        <v>1357629.3939914519</v>
      </c>
      <c r="EQ37" s="30">
        <f t="shared" si="9"/>
        <v>2.255577431718691E-6</v>
      </c>
      <c r="ER37" s="30">
        <f t="shared" si="10"/>
        <v>1.895375366967037E-3</v>
      </c>
      <c r="ET37" s="2">
        <f t="shared" si="11"/>
        <v>931148.24101199047</v>
      </c>
      <c r="FF37" s="1823">
        <v>38</v>
      </c>
      <c r="FG37" s="2">
        <v>23253.962437806338</v>
      </c>
      <c r="FH37" s="2">
        <f t="shared" si="35"/>
        <v>79173.422631438312</v>
      </c>
      <c r="FI37" s="1">
        <v>2</v>
      </c>
      <c r="FJ37" s="2">
        <f>FI37*$FI$59</f>
        <v>100.94527750730283</v>
      </c>
      <c r="FK37" s="2">
        <v>105085.17815680576</v>
      </c>
      <c r="FL37" s="2">
        <f t="shared" si="5"/>
        <v>442316.86917006009</v>
      </c>
      <c r="FM37" s="2">
        <f t="shared" si="12"/>
        <v>442417.81444756739</v>
      </c>
      <c r="FN37" s="30">
        <f t="shared" si="13"/>
        <v>2.6113696079337382E-4</v>
      </c>
      <c r="FO37" s="30">
        <f t="shared" si="14"/>
        <v>6.5276059773146985E-4</v>
      </c>
      <c r="FQ37" s="2">
        <f t="shared" si="15"/>
        <v>521591.23707900569</v>
      </c>
      <c r="GB37" s="1823">
        <v>38</v>
      </c>
      <c r="GC37" s="2">
        <v>83824.39223679078</v>
      </c>
      <c r="GD37" s="2">
        <f t="shared" si="49"/>
        <v>322184.50219466811</v>
      </c>
      <c r="GE37">
        <v>5</v>
      </c>
      <c r="GF37" s="2">
        <f t="shared" si="30"/>
        <v>59.401002699808103</v>
      </c>
      <c r="GG37" s="1444">
        <v>50493.250952345414</v>
      </c>
      <c r="GH37" s="2">
        <f t="shared" si="16"/>
        <v>456588.00767740165</v>
      </c>
      <c r="GI37" s="2">
        <f>GF37+GH37</f>
        <v>456647.40868010145</v>
      </c>
      <c r="GJ37" s="2">
        <f t="shared" si="17"/>
        <v>6.0404293962036767E-2</v>
      </c>
      <c r="GK37" s="2">
        <f t="shared" si="18"/>
        <v>0.14192449616803857</v>
      </c>
      <c r="GL37" s="2"/>
      <c r="GM37" s="2">
        <f t="shared" si="19"/>
        <v>778831.91087476956</v>
      </c>
      <c r="HC37" s="1963">
        <v>38</v>
      </c>
      <c r="HD37" s="57">
        <v>3826.9482517254237</v>
      </c>
      <c r="HE37" s="2">
        <f t="shared" si="39"/>
        <v>33014.19954192164</v>
      </c>
      <c r="HF37" s="73"/>
      <c r="HG37" s="2">
        <f t="shared" si="56"/>
        <v>0</v>
      </c>
      <c r="HH37" s="1">
        <v>2</v>
      </c>
      <c r="HI37" s="2">
        <f t="shared" si="36"/>
        <v>424240.2476479928</v>
      </c>
      <c r="HJ37" s="2">
        <f>HG37+HI37</f>
        <v>424240.2476479928</v>
      </c>
      <c r="HK37" s="2">
        <f t="shared" si="21"/>
        <v>6.1896193034345678E-3</v>
      </c>
      <c r="HL37" s="2">
        <f t="shared" si="22"/>
        <v>2.576987501610618E-2</v>
      </c>
      <c r="HM37" s="2"/>
      <c r="HN37" s="2">
        <f t="shared" si="23"/>
        <v>457254.44718991441</v>
      </c>
    </row>
    <row r="38" spans="1:222" ht="14.4" thickTop="1" thickBot="1">
      <c r="A38" s="110">
        <v>39</v>
      </c>
      <c r="B38" s="1154">
        <v>41</v>
      </c>
      <c r="C38" s="2"/>
      <c r="D38" s="2">
        <v>41</v>
      </c>
      <c r="E38" s="2">
        <v>3186345.3703703703</v>
      </c>
      <c r="F38">
        <v>34</v>
      </c>
      <c r="G38" s="2">
        <v>236980</v>
      </c>
      <c r="H38" s="129">
        <v>633954.49365602562</v>
      </c>
      <c r="I38" s="2">
        <v>854872.07656553434</v>
      </c>
      <c r="J38" s="2">
        <v>3186379.3703703703</v>
      </c>
      <c r="K38" s="2">
        <v>854872.07656553434</v>
      </c>
      <c r="L38" s="1">
        <v>7.1816990826522641E-3</v>
      </c>
      <c r="M38" s="1">
        <v>3.2613489557848196E-3</v>
      </c>
      <c r="W38" s="391">
        <v>39</v>
      </c>
      <c r="X38" s="123">
        <v>2087934.6415457642</v>
      </c>
      <c r="Y38" s="57">
        <f t="shared" si="0"/>
        <v>5584446.9269866673</v>
      </c>
      <c r="Z38" s="392">
        <v>695429.19636481581</v>
      </c>
      <c r="AA38" s="2">
        <v>4720234.7737104213</v>
      </c>
      <c r="AB38" s="2">
        <f t="shared" si="50"/>
        <v>5781082.4831204703</v>
      </c>
      <c r="AC38" s="30">
        <f t="shared" si="46"/>
        <v>5.1505167852260092</v>
      </c>
      <c r="AD38" s="30">
        <f t="shared" si="47"/>
        <v>1.0082456284410406</v>
      </c>
      <c r="AO38" s="438">
        <v>37</v>
      </c>
      <c r="AP38" s="1821">
        <v>3016042.6847839183</v>
      </c>
      <c r="AQ38" s="1821">
        <v>6130811.017004637</v>
      </c>
      <c r="AR38" s="1146">
        <v>4127339.7702910155</v>
      </c>
      <c r="AS38" s="57">
        <f t="shared" si="37"/>
        <v>27498215.80369975</v>
      </c>
      <c r="AT38" s="1">
        <f t="shared" si="38"/>
        <v>9.2997669668865038E-2</v>
      </c>
      <c r="AU38" s="1">
        <f t="shared" si="1"/>
        <v>5.2722937043309534E-2</v>
      </c>
      <c r="BE38" s="438">
        <v>37</v>
      </c>
      <c r="BF38" s="465">
        <v>4444242.0069240611</v>
      </c>
      <c r="BG38" s="1147">
        <f t="shared" si="42"/>
        <v>11602799.689051952</v>
      </c>
      <c r="BH38" s="1146">
        <v>2792322.2887332924</v>
      </c>
      <c r="BI38" s="57">
        <f t="shared" si="43"/>
        <v>37134662.713413097</v>
      </c>
      <c r="BJ38" s="1">
        <f t="shared" si="41"/>
        <v>4.8000103722833601E-2</v>
      </c>
      <c r="BK38" s="1">
        <f t="shared" si="44"/>
        <v>6.7748435034480539E-2</v>
      </c>
      <c r="BV38" s="1823">
        <v>37</v>
      </c>
      <c r="BW38" s="1822">
        <v>271823.25923082104</v>
      </c>
      <c r="BX38" s="57">
        <f t="shared" si="48"/>
        <v>314026.16406828264</v>
      </c>
      <c r="BY38" s="1">
        <f t="shared" si="2"/>
        <v>6.0248997422667153E-3</v>
      </c>
      <c r="BZ38" s="1">
        <v>2424670.3805026421</v>
      </c>
      <c r="CA38" s="2">
        <f t="shared" si="45"/>
        <v>12721798.951053964</v>
      </c>
      <c r="CB38" s="1">
        <f t="shared" si="3"/>
        <v>1.7042884649642955E-2</v>
      </c>
      <c r="CL38" s="1823">
        <v>37</v>
      </c>
      <c r="CM38" s="1822">
        <v>698.96348030861463</v>
      </c>
      <c r="CN38" s="2">
        <f t="shared" si="53"/>
        <v>1581.5961963187631</v>
      </c>
      <c r="CO38" s="1">
        <f t="shared" si="54"/>
        <v>1.2258721640991696E-3</v>
      </c>
      <c r="CP38" s="1">
        <v>2081963.7595247007</v>
      </c>
      <c r="CQ38" s="2">
        <f t="shared" si="52"/>
        <v>56725202.722627766</v>
      </c>
      <c r="CR38" s="1">
        <f t="shared" si="51"/>
        <v>7.3035501355778409E-2</v>
      </c>
      <c r="DB38" s="1823">
        <v>39</v>
      </c>
      <c r="DE38" s="883">
        <v>367854.94591132738</v>
      </c>
      <c r="DF38" s="1">
        <f t="shared" si="24"/>
        <v>5538463.0941329328</v>
      </c>
      <c r="DG38" s="1">
        <f t="shared" si="25"/>
        <v>5.0728384535088907E-3</v>
      </c>
      <c r="DP38" s="1823">
        <v>39</v>
      </c>
      <c r="DQ38" s="1">
        <v>0</v>
      </c>
      <c r="DR38">
        <v>8</v>
      </c>
      <c r="DS38" s="57">
        <f t="shared" si="26"/>
        <v>822280.11819621699</v>
      </c>
      <c r="DT38" s="895">
        <v>332802.39616422838</v>
      </c>
      <c r="DU38" s="57">
        <f t="shared" si="27"/>
        <v>1155082.5143604453</v>
      </c>
      <c r="DV38" s="1">
        <f t="shared" si="6"/>
        <v>0</v>
      </c>
      <c r="DW38" s="1">
        <f t="shared" si="28"/>
        <v>1.5887383723612294E-3</v>
      </c>
      <c r="DY38" s="2">
        <f t="shared" si="29"/>
        <v>1155082.5143604453</v>
      </c>
      <c r="EI38" s="1823">
        <v>39</v>
      </c>
      <c r="EJ38" s="2"/>
      <c r="EK38" s="2"/>
      <c r="EL38" s="1">
        <v>3</v>
      </c>
      <c r="EM38" s="2">
        <f t="shared" si="40"/>
        <v>320921.25068886142</v>
      </c>
      <c r="EN38" s="2">
        <v>84465.482143541114</v>
      </c>
      <c r="EO38" s="2">
        <f t="shared" si="7"/>
        <v>594499.1066410077</v>
      </c>
      <c r="EP38" s="2">
        <f t="shared" si="8"/>
        <v>915420.35732986918</v>
      </c>
      <c r="EQ38" s="30">
        <f t="shared" si="9"/>
        <v>0</v>
      </c>
      <c r="ER38" s="30">
        <f t="shared" si="10"/>
        <v>1.2780109235865009E-3</v>
      </c>
      <c r="ET38" s="2">
        <f t="shared" si="11"/>
        <v>594499.1066410077</v>
      </c>
      <c r="FF38" s="1823">
        <v>39</v>
      </c>
      <c r="FG38" s="2"/>
      <c r="FI38" s="1">
        <v>5</v>
      </c>
      <c r="FJ38" s="2">
        <f t="shared" si="4"/>
        <v>252.36319376825708</v>
      </c>
      <c r="FK38" s="2">
        <v>114188.00460209107</v>
      </c>
      <c r="FL38" s="2">
        <f t="shared" si="5"/>
        <v>480631.82247269439</v>
      </c>
      <c r="FM38" s="2">
        <f t="shared" si="12"/>
        <v>480884.18566646264</v>
      </c>
      <c r="FN38" s="30">
        <f t="shared" si="13"/>
        <v>0</v>
      </c>
      <c r="FO38" s="30">
        <f t="shared" si="14"/>
        <v>7.0951539071095206E-4</v>
      </c>
      <c r="FQ38" s="2">
        <f t="shared" si="15"/>
        <v>480884.18566646264</v>
      </c>
      <c r="GB38" s="1823">
        <v>39</v>
      </c>
      <c r="GC38" s="2">
        <v>50294.635342074485</v>
      </c>
      <c r="GD38" s="2">
        <f t="shared" si="49"/>
        <v>193310.70131680093</v>
      </c>
      <c r="GE38">
        <v>2</v>
      </c>
      <c r="GF38" s="2">
        <f t="shared" si="30"/>
        <v>23.760401079923241</v>
      </c>
      <c r="GG38" s="1444">
        <v>0</v>
      </c>
      <c r="GH38" s="2">
        <f t="shared" si="16"/>
        <v>0</v>
      </c>
      <c r="GI38" s="2">
        <f t="shared" si="31"/>
        <v>23.760401079923241</v>
      </c>
      <c r="GJ38" s="2">
        <f>GD38/$GD$56*100</f>
        <v>3.6242576377222072E-2</v>
      </c>
      <c r="GK38" s="2">
        <f t="shared" si="18"/>
        <v>5.6769798467215429E-2</v>
      </c>
      <c r="GL38" s="2"/>
      <c r="GM38" s="2">
        <f t="shared" si="19"/>
        <v>193334.46171788085</v>
      </c>
      <c r="HC38" s="1963">
        <v>39</v>
      </c>
      <c r="HE38" s="2"/>
      <c r="HF38" s="73"/>
      <c r="HG38" s="2">
        <f t="shared" si="56"/>
        <v>0</v>
      </c>
      <c r="HH38" s="1444"/>
      <c r="HI38" s="2">
        <f t="shared" si="20"/>
        <v>0</v>
      </c>
      <c r="HJ38" s="2">
        <f t="shared" ref="HJ38:HJ47" si="57">HG38+HI38</f>
        <v>0</v>
      </c>
      <c r="HK38" s="2">
        <f>HE38/$GD$56*100</f>
        <v>0</v>
      </c>
      <c r="HL38" s="2">
        <f t="shared" si="22"/>
        <v>0</v>
      </c>
      <c r="HM38" s="2"/>
      <c r="HN38" s="2">
        <f t="shared" si="23"/>
        <v>0</v>
      </c>
    </row>
    <row r="39" spans="1:222" ht="14.4" thickTop="1" thickBot="1">
      <c r="A39" s="110">
        <v>40</v>
      </c>
      <c r="B39" s="1154">
        <v>27</v>
      </c>
      <c r="C39" s="2"/>
      <c r="D39" s="2">
        <v>27</v>
      </c>
      <c r="E39" s="2">
        <v>2098325</v>
      </c>
      <c r="F39">
        <v>24</v>
      </c>
      <c r="G39" s="2">
        <v>167280</v>
      </c>
      <c r="H39" s="129">
        <v>208633.6686187411</v>
      </c>
      <c r="I39" s="2">
        <v>281337.3819704504</v>
      </c>
      <c r="J39" s="2">
        <v>2098349</v>
      </c>
      <c r="K39" s="2">
        <v>281337.3819704504</v>
      </c>
      <c r="L39" s="1">
        <v>4.7294152192030601E-3</v>
      </c>
      <c r="M39" s="1">
        <v>1.0733060560344846E-3</v>
      </c>
      <c r="W39" s="391">
        <v>40</v>
      </c>
      <c r="X39" s="123">
        <v>867197.10294485651</v>
      </c>
      <c r="Y39" s="57">
        <f t="shared" si="0"/>
        <v>2319429.0186434449</v>
      </c>
      <c r="Z39" s="392">
        <v>280679.33980538987</v>
      </c>
      <c r="AA39" s="2">
        <v>1905114.6931088425</v>
      </c>
      <c r="AB39" s="2">
        <f t="shared" si="50"/>
        <v>2333279.1076426716</v>
      </c>
      <c r="AC39" s="30">
        <f t="shared" si="46"/>
        <v>2.1392016521696053</v>
      </c>
      <c r="AD39" s="30">
        <f t="shared" si="47"/>
        <v>0.40693390331004414</v>
      </c>
      <c r="AO39" s="438">
        <v>38</v>
      </c>
      <c r="AP39" s="1821">
        <v>2030464.4260597432</v>
      </c>
      <c r="AQ39" s="1821">
        <v>4127393.0689793685</v>
      </c>
      <c r="AR39" s="1146">
        <v>3421754.522299014</v>
      </c>
      <c r="AS39" s="57">
        <f t="shared" si="37"/>
        <v>22797285.786536898</v>
      </c>
      <c r="AT39" s="1">
        <f t="shared" si="38"/>
        <v>6.2608019747775578E-2</v>
      </c>
      <c r="AU39" s="1">
        <f t="shared" si="1"/>
        <v>4.3709740001393292E-2</v>
      </c>
      <c r="BE39" s="438">
        <v>38</v>
      </c>
      <c r="BF39" s="465">
        <v>3314218.9218001203</v>
      </c>
      <c r="BG39" s="1147">
        <f t="shared" si="42"/>
        <v>8652593.2240866832</v>
      </c>
      <c r="BH39" s="1146">
        <v>2193625.5295928176</v>
      </c>
      <c r="BI39" s="57">
        <f t="shared" si="43"/>
        <v>29172687.010250069</v>
      </c>
      <c r="BJ39" s="1">
        <f t="shared" si="41"/>
        <v>3.5795272120360426E-2</v>
      </c>
      <c r="BK39" s="1">
        <f t="shared" si="44"/>
        <v>5.3222615914087223E-2</v>
      </c>
      <c r="BV39" s="1823">
        <v>38</v>
      </c>
      <c r="BW39" s="1822">
        <v>282319.54356060782</v>
      </c>
      <c r="BX39" s="57">
        <f t="shared" si="48"/>
        <v>326152.08704624989</v>
      </c>
      <c r="BY39" s="1">
        <f t="shared" si="2"/>
        <v>6.2575474595085671E-3</v>
      </c>
      <c r="BZ39" s="1">
        <v>1701814.0729865066</v>
      </c>
      <c r="CA39" s="2">
        <f t="shared" si="45"/>
        <v>8929105.029162962</v>
      </c>
      <c r="CB39" s="1">
        <f t="shared" si="3"/>
        <v>1.1961964469180963E-2</v>
      </c>
      <c r="CL39" s="1823">
        <v>38</v>
      </c>
      <c r="CM39" s="1822">
        <v>632.51408994115047</v>
      </c>
      <c r="CN39" s="2">
        <f t="shared" si="53"/>
        <v>1431.2362619106325</v>
      </c>
      <c r="CO39" s="1">
        <f t="shared" si="54"/>
        <v>1.1093303700459706E-3</v>
      </c>
      <c r="CP39" s="1">
        <v>850519.29536091886</v>
      </c>
      <c r="CQ39" s="2">
        <f t="shared" si="52"/>
        <v>23173256.128084034</v>
      </c>
      <c r="CR39" s="1">
        <f t="shared" si="51"/>
        <v>2.9836303761420546E-2</v>
      </c>
      <c r="DB39" s="1823">
        <v>40</v>
      </c>
      <c r="DE39" s="883">
        <v>306637.70128972596</v>
      </c>
      <c r="DF39" s="1">
        <f t="shared" si="24"/>
        <v>4616769.7641131803</v>
      </c>
      <c r="DG39" s="1">
        <f t="shared" si="25"/>
        <v>4.2286328882827056E-3</v>
      </c>
      <c r="DP39" s="1823">
        <v>40</v>
      </c>
      <c r="DR39">
        <v>0</v>
      </c>
      <c r="DS39" s="57">
        <f t="shared" si="26"/>
        <v>0</v>
      </c>
      <c r="DT39" s="895">
        <v>159016.01112438709</v>
      </c>
      <c r="DU39" s="57">
        <f t="shared" si="27"/>
        <v>159016.01112438709</v>
      </c>
      <c r="DV39" s="1">
        <f t="shared" si="6"/>
        <v>0</v>
      </c>
      <c r="DW39" s="1">
        <f t="shared" si="28"/>
        <v>2.1871583679284993E-4</v>
      </c>
      <c r="DY39" s="2">
        <f t="shared" si="29"/>
        <v>159016.01112438709</v>
      </c>
      <c r="EI39" s="1823">
        <v>40</v>
      </c>
      <c r="EJ39" s="2"/>
      <c r="EK39" s="2"/>
      <c r="EL39" s="1">
        <v>4</v>
      </c>
      <c r="EM39" s="2">
        <f t="shared" si="40"/>
        <v>427895.00091848191</v>
      </c>
      <c r="EN39" s="2">
        <v>41522.316056092161</v>
      </c>
      <c r="EO39" s="2">
        <f t="shared" si="7"/>
        <v>292249.32096004102</v>
      </c>
      <c r="EP39" s="2">
        <f t="shared" si="8"/>
        <v>720144.32187852287</v>
      </c>
      <c r="EQ39" s="30">
        <f t="shared" si="9"/>
        <v>0</v>
      </c>
      <c r="ER39" s="30">
        <f t="shared" si="10"/>
        <v>1.0053876370021547E-3</v>
      </c>
      <c r="ET39" s="2">
        <f t="shared" si="11"/>
        <v>292249.32096004102</v>
      </c>
      <c r="FF39" s="1823">
        <v>40</v>
      </c>
      <c r="FG39" s="2"/>
      <c r="FI39" s="1">
        <v>2</v>
      </c>
      <c r="FJ39" s="2">
        <f t="shared" si="4"/>
        <v>100.94527750730283</v>
      </c>
      <c r="FK39" s="2">
        <v>15218.886351230862</v>
      </c>
      <c r="FL39" s="2">
        <f t="shared" si="5"/>
        <v>64058.226680519059</v>
      </c>
      <c r="FM39" s="2">
        <f>FJ39+FL39</f>
        <v>64159.17195802636</v>
      </c>
      <c r="FN39" s="30">
        <f t="shared" si="13"/>
        <v>0</v>
      </c>
      <c r="FO39" s="30">
        <f t="shared" si="14"/>
        <v>9.4662959016630807E-5</v>
      </c>
      <c r="FQ39" s="2">
        <f>FH39+FM39</f>
        <v>64159.17195802636</v>
      </c>
      <c r="GB39" s="1823">
        <v>40</v>
      </c>
      <c r="GE39">
        <v>0</v>
      </c>
      <c r="GF39" s="2">
        <f t="shared" si="30"/>
        <v>0</v>
      </c>
      <c r="GG39" s="895">
        <v>0</v>
      </c>
      <c r="GH39" s="2">
        <f t="shared" si="16"/>
        <v>0</v>
      </c>
      <c r="GI39" s="2">
        <f t="shared" si="31"/>
        <v>0</v>
      </c>
      <c r="GJ39" s="2">
        <f t="shared" si="17"/>
        <v>0</v>
      </c>
      <c r="GK39" s="2">
        <f t="shared" si="18"/>
        <v>0</v>
      </c>
      <c r="GL39" s="2"/>
      <c r="GM39" s="2">
        <f t="shared" si="19"/>
        <v>0</v>
      </c>
      <c r="HC39" s="1963">
        <v>40</v>
      </c>
      <c r="HF39" s="73"/>
      <c r="HG39" s="2">
        <f t="shared" si="56"/>
        <v>0</v>
      </c>
      <c r="HH39" s="895"/>
      <c r="HI39" s="2">
        <f t="shared" si="20"/>
        <v>0</v>
      </c>
      <c r="HJ39" s="2">
        <f t="shared" si="57"/>
        <v>0</v>
      </c>
      <c r="HK39" s="2">
        <f t="shared" ref="HK39:HK45" si="58">HE39/$GD$56*100</f>
        <v>0</v>
      </c>
      <c r="HL39" s="2">
        <f t="shared" si="22"/>
        <v>0</v>
      </c>
      <c r="HM39" s="2"/>
      <c r="HN39" s="2">
        <f t="shared" si="23"/>
        <v>0</v>
      </c>
    </row>
    <row r="40" spans="1:222" ht="14.4" thickTop="1" thickBot="1">
      <c r="A40" s="110">
        <v>41</v>
      </c>
      <c r="B40" s="1154">
        <v>4</v>
      </c>
      <c r="C40" s="2"/>
      <c r="D40" s="2">
        <v>4</v>
      </c>
      <c r="E40" s="2">
        <v>310862.96296296298</v>
      </c>
      <c r="F40">
        <v>14</v>
      </c>
      <c r="G40" s="2">
        <v>97580</v>
      </c>
      <c r="H40" s="129">
        <v>155962.02481016031</v>
      </c>
      <c r="I40" s="2">
        <v>210310.96293035935</v>
      </c>
      <c r="J40" s="2">
        <v>310876.96296296298</v>
      </c>
      <c r="K40" s="2">
        <v>210310.96293035935</v>
      </c>
      <c r="L40" s="1">
        <v>7.0067764701518354E-4</v>
      </c>
      <c r="M40" s="1">
        <v>8.0233927174067261E-4</v>
      </c>
      <c r="W40" s="391">
        <v>41</v>
      </c>
      <c r="X40" s="123">
        <v>422082.90418003587</v>
      </c>
      <c r="Y40" s="57">
        <f t="shared" si="0"/>
        <v>1128914.4450598194</v>
      </c>
      <c r="Z40" s="392">
        <v>81721.504120935453</v>
      </c>
      <c r="AA40" s="2">
        <v>554685.77898072731</v>
      </c>
      <c r="AB40" s="2">
        <f t="shared" si="50"/>
        <v>679348.46341993415</v>
      </c>
      <c r="AC40" s="30">
        <f t="shared" si="46"/>
        <v>1.04119402948685</v>
      </c>
      <c r="AD40" s="30">
        <f t="shared" si="47"/>
        <v>0.11848129142443395</v>
      </c>
      <c r="AO40" s="438">
        <v>39</v>
      </c>
      <c r="AP40" s="1821">
        <v>1095182.893462518</v>
      </c>
      <c r="AQ40" s="1821">
        <v>2226214.9613297218</v>
      </c>
      <c r="AR40" s="1146">
        <v>3000929.9625549754</v>
      </c>
      <c r="AS40" s="57">
        <f t="shared" si="37"/>
        <v>19993561.062288526</v>
      </c>
      <c r="AT40" s="1">
        <f t="shared" si="38"/>
        <v>3.3769235915345135E-2</v>
      </c>
      <c r="AU40" s="1">
        <f t="shared" si="1"/>
        <v>3.8334096607707049E-2</v>
      </c>
      <c r="BE40" s="438">
        <v>39</v>
      </c>
      <c r="BF40" s="465">
        <v>2125092.4351815535</v>
      </c>
      <c r="BG40" s="1147">
        <f t="shared" si="42"/>
        <v>5548082.6218995098</v>
      </c>
      <c r="BH40" s="1146">
        <v>1440179.8244513751</v>
      </c>
      <c r="BI40" s="57">
        <f t="shared" si="43"/>
        <v>19152728.982414562</v>
      </c>
      <c r="BJ40" s="1">
        <f t="shared" si="41"/>
        <v>2.2952093326691458E-2</v>
      </c>
      <c r="BK40" s="1">
        <f t="shared" si="44"/>
        <v>3.4942216257950347E-2</v>
      </c>
      <c r="BV40" s="1823">
        <v>39</v>
      </c>
      <c r="BW40" s="1822">
        <v>282149.54549882124</v>
      </c>
      <c r="BX40" s="57">
        <f t="shared" si="48"/>
        <v>325955.69531953399</v>
      </c>
      <c r="BY40" s="1">
        <f t="shared" si="2"/>
        <v>6.2537794917432547E-3</v>
      </c>
      <c r="BZ40" s="1">
        <v>1072585.546896189</v>
      </c>
      <c r="CA40" s="2">
        <f t="shared" si="45"/>
        <v>5627658.8336064387</v>
      </c>
      <c r="CB40" s="1">
        <f t="shared" si="3"/>
        <v>7.5391491971937485E-3</v>
      </c>
      <c r="CL40" s="1823">
        <v>39</v>
      </c>
      <c r="CM40" s="1119"/>
      <c r="CO40" s="1">
        <f t="shared" si="54"/>
        <v>0</v>
      </c>
      <c r="CP40" s="1">
        <v>426154.32798679062</v>
      </c>
      <c r="CQ40" s="2">
        <f t="shared" si="52"/>
        <v>11611004.53145957</v>
      </c>
      <c r="CR40" s="1">
        <f t="shared" si="51"/>
        <v>1.4949537357247559E-2</v>
      </c>
      <c r="DB40" s="1823">
        <v>41</v>
      </c>
      <c r="DE40" s="883">
        <v>252384.1724968882</v>
      </c>
      <c r="DF40" s="1">
        <f t="shared" si="24"/>
        <v>3799922.8784441692</v>
      </c>
      <c r="DG40" s="1">
        <f t="shared" si="25"/>
        <v>3.4804592123327247E-3</v>
      </c>
      <c r="DP40" s="1823">
        <v>41</v>
      </c>
      <c r="DR40">
        <v>1</v>
      </c>
      <c r="DS40" s="57">
        <f t="shared" si="26"/>
        <v>102785.01477452712</v>
      </c>
      <c r="DT40" s="895">
        <v>98356.980840440214</v>
      </c>
      <c r="DU40" s="57">
        <f t="shared" si="27"/>
        <v>201141.99561496734</v>
      </c>
      <c r="DV40" s="1">
        <f t="shared" si="6"/>
        <v>0</v>
      </c>
      <c r="DW40" s="1">
        <f t="shared" si="28"/>
        <v>2.7665729742584684E-4</v>
      </c>
      <c r="DY40" s="2">
        <f t="shared" si="29"/>
        <v>201141.99561496734</v>
      </c>
      <c r="EI40" s="1823">
        <v>41</v>
      </c>
      <c r="EJ40" s="2"/>
      <c r="EK40" s="2"/>
      <c r="EN40" s="2">
        <v>30237.246472904611</v>
      </c>
      <c r="EO40" s="2">
        <f t="shared" si="7"/>
        <v>212820.85366987204</v>
      </c>
      <c r="EP40" s="2">
        <f t="shared" si="8"/>
        <v>212820.85366987204</v>
      </c>
      <c r="EQ40" s="30">
        <f t="shared" si="9"/>
        <v>0</v>
      </c>
      <c r="ER40" s="30">
        <f t="shared" si="10"/>
        <v>2.9711746475733094E-4</v>
      </c>
      <c r="ET40" s="2">
        <f t="shared" si="11"/>
        <v>212820.85366987204</v>
      </c>
      <c r="FF40" s="1823">
        <v>41</v>
      </c>
      <c r="FI40" s="1">
        <v>4</v>
      </c>
      <c r="FJ40" s="2">
        <f t="shared" si="4"/>
        <v>201.89055501460567</v>
      </c>
      <c r="FK40" s="2">
        <v>23237.400442460541</v>
      </c>
      <c r="FL40" s="2">
        <f t="shared" si="5"/>
        <v>97809.171489656452</v>
      </c>
      <c r="FM40" s="2">
        <f t="shared" si="12"/>
        <v>98011.062044671053</v>
      </c>
      <c r="FN40" s="30">
        <f t="shared" si="13"/>
        <v>0</v>
      </c>
      <c r="FO40" s="30">
        <f t="shared" si="14"/>
        <v>1.4460936552580412E-4</v>
      </c>
      <c r="FQ40" s="2">
        <f t="shared" si="15"/>
        <v>98011.062044671053</v>
      </c>
      <c r="GB40" s="1823">
        <v>41</v>
      </c>
      <c r="GE40">
        <v>0</v>
      </c>
      <c r="GF40" s="2">
        <f t="shared" si="30"/>
        <v>0</v>
      </c>
      <c r="GG40" s="895">
        <v>0</v>
      </c>
      <c r="GH40" s="2">
        <f t="shared" si="16"/>
        <v>0</v>
      </c>
      <c r="GI40" s="2">
        <f t="shared" si="31"/>
        <v>0</v>
      </c>
      <c r="GJ40" s="2">
        <f t="shared" si="17"/>
        <v>0</v>
      </c>
      <c r="GK40" s="2">
        <f t="shared" si="18"/>
        <v>0</v>
      </c>
      <c r="GL40" s="2"/>
      <c r="GM40" s="2">
        <f t="shared" si="19"/>
        <v>0</v>
      </c>
      <c r="HC40" s="1963">
        <v>41</v>
      </c>
      <c r="HF40" s="73"/>
      <c r="HG40" s="2">
        <f t="shared" si="56"/>
        <v>0</v>
      </c>
      <c r="HH40" s="895"/>
      <c r="HI40" s="2">
        <f t="shared" si="20"/>
        <v>0</v>
      </c>
      <c r="HJ40" s="2">
        <f>HG40+HI40</f>
        <v>0</v>
      </c>
      <c r="HK40" s="2">
        <f t="shared" si="58"/>
        <v>0</v>
      </c>
      <c r="HL40" s="2">
        <f t="shared" si="22"/>
        <v>0</v>
      </c>
      <c r="HM40" s="2"/>
      <c r="HN40" s="2">
        <f t="shared" si="23"/>
        <v>0</v>
      </c>
    </row>
    <row r="41" spans="1:222" ht="14.4" thickTop="1" thickBot="1">
      <c r="A41" s="110">
        <v>42</v>
      </c>
      <c r="B41" s="1154">
        <v>2</v>
      </c>
      <c r="C41" s="2"/>
      <c r="D41" s="2">
        <v>2</v>
      </c>
      <c r="E41" s="2">
        <v>155431.48148148149</v>
      </c>
      <c r="F41">
        <v>15</v>
      </c>
      <c r="G41" s="2">
        <v>104550</v>
      </c>
      <c r="H41" s="129">
        <v>70964.276440248083</v>
      </c>
      <c r="I41" s="2">
        <v>95693.585217114407</v>
      </c>
      <c r="J41" s="2">
        <v>155446.48148148149</v>
      </c>
      <c r="K41" s="2">
        <v>95693.585217114407</v>
      </c>
      <c r="L41" s="1">
        <v>3.5035685450327149E-4</v>
      </c>
      <c r="M41" s="1">
        <v>3.6507236904610371E-4</v>
      </c>
      <c r="W41" s="391">
        <v>42</v>
      </c>
      <c r="X41" s="123">
        <v>157008.28946080702</v>
      </c>
      <c r="Y41" s="57">
        <f t="shared" si="0"/>
        <v>419938.65236208291</v>
      </c>
      <c r="Z41" s="392">
        <v>19714.078988804838</v>
      </c>
      <c r="AA41" s="2">
        <v>133809.56919993152</v>
      </c>
      <c r="AB41" s="2">
        <f t="shared" si="50"/>
        <v>163882.55958877807</v>
      </c>
      <c r="AC41" s="30">
        <f t="shared" si="46"/>
        <v>0.38730801922459773</v>
      </c>
      <c r="AD41" s="30">
        <f t="shared" si="47"/>
        <v>2.858182265441836E-2</v>
      </c>
      <c r="AO41" s="438">
        <v>40</v>
      </c>
      <c r="AP41" s="1821">
        <v>531063.44894310297</v>
      </c>
      <c r="AQ41" s="1821">
        <v>1079510.4657950548</v>
      </c>
      <c r="AR41" s="1146">
        <v>2237124.551491396</v>
      </c>
      <c r="AS41" s="57">
        <f t="shared" si="37"/>
        <v>14904741.824133348</v>
      </c>
      <c r="AT41" s="1">
        <f t="shared" si="38"/>
        <v>1.6374988141640706E-2</v>
      </c>
      <c r="AU41" s="1">
        <f t="shared" si="1"/>
        <v>2.8577190987599876E-2</v>
      </c>
      <c r="BE41" s="438">
        <v>40</v>
      </c>
      <c r="BF41" s="465">
        <v>1512623.1062803997</v>
      </c>
      <c r="BG41" s="1147">
        <f t="shared" si="42"/>
        <v>3949079.028518104</v>
      </c>
      <c r="BH41" s="1146">
        <v>1019910.4399002887</v>
      </c>
      <c r="BI41" s="57">
        <f t="shared" si="43"/>
        <v>13563631.367483426</v>
      </c>
      <c r="BJ41" s="1">
        <f t="shared" si="41"/>
        <v>1.6337108978740311E-2</v>
      </c>
      <c r="BK41" s="1">
        <f t="shared" si="44"/>
        <v>2.4745473134449122E-2</v>
      </c>
      <c r="BV41" s="1823">
        <v>40</v>
      </c>
      <c r="BW41" s="1822">
        <v>158422.44023174059</v>
      </c>
      <c r="BX41" s="57">
        <f t="shared" si="48"/>
        <v>183018.89010191601</v>
      </c>
      <c r="BY41" s="1">
        <f t="shared" si="2"/>
        <v>3.5113967878332799E-3</v>
      </c>
      <c r="BZ41" s="1">
        <v>790212.25430376828</v>
      </c>
      <c r="CA41" s="2">
        <f t="shared" si="45"/>
        <v>4146098.1701882561</v>
      </c>
      <c r="CB41" s="1">
        <f t="shared" si="3"/>
        <v>5.5543617009259595E-3</v>
      </c>
      <c r="CL41" s="1823">
        <v>40</v>
      </c>
      <c r="CM41" s="1119"/>
      <c r="CO41" s="1">
        <f t="shared" si="54"/>
        <v>0</v>
      </c>
      <c r="CP41" s="1">
        <v>143748.12698708259</v>
      </c>
      <c r="CQ41" s="2">
        <f t="shared" si="52"/>
        <v>3916562.7197093186</v>
      </c>
      <c r="CR41" s="1">
        <f t="shared" si="51"/>
        <v>5.042698978512704E-3</v>
      </c>
      <c r="DB41" s="1823">
        <v>42</v>
      </c>
      <c r="DE41" s="883">
        <v>255495.29837556381</v>
      </c>
      <c r="DF41" s="1">
        <f t="shared" si="24"/>
        <v>3846764.3197562029</v>
      </c>
      <c r="DG41" s="1">
        <f t="shared" si="25"/>
        <v>3.5233626425202761E-3</v>
      </c>
      <c r="DP41" s="1823">
        <v>42</v>
      </c>
      <c r="DR41">
        <v>0</v>
      </c>
      <c r="DS41" s="57">
        <f t="shared" si="26"/>
        <v>0</v>
      </c>
      <c r="DT41" s="895">
        <v>87647.218640231469</v>
      </c>
      <c r="DU41" s="57">
        <f t="shared" si="27"/>
        <v>87647.218640231469</v>
      </c>
      <c r="DV41" s="1">
        <f t="shared" si="6"/>
        <v>0</v>
      </c>
      <c r="DW41" s="1">
        <f t="shared" si="28"/>
        <v>1.2055285899775766E-4</v>
      </c>
      <c r="DY41" s="2">
        <f t="shared" si="29"/>
        <v>87647.218640231469</v>
      </c>
      <c r="EI41" s="1823">
        <v>42</v>
      </c>
      <c r="EJ41" s="2"/>
      <c r="EK41" s="2"/>
      <c r="EN41" s="2">
        <v>19494.653793600068</v>
      </c>
      <c r="EO41" s="2">
        <f t="shared" si="7"/>
        <v>137210.53820394489</v>
      </c>
      <c r="EP41" s="2">
        <f t="shared" si="8"/>
        <v>137210.53820394489</v>
      </c>
      <c r="EQ41" s="30">
        <f t="shared" si="9"/>
        <v>0</v>
      </c>
      <c r="ER41" s="30">
        <f t="shared" si="10"/>
        <v>1.9155851762714865E-4</v>
      </c>
      <c r="ET41" s="2">
        <f t="shared" si="11"/>
        <v>137210.53820394489</v>
      </c>
      <c r="FF41" s="1823">
        <v>42</v>
      </c>
      <c r="FI41" s="1">
        <v>0</v>
      </c>
      <c r="FJ41" s="2">
        <f t="shared" si="4"/>
        <v>0</v>
      </c>
      <c r="FK41" s="2">
        <v>10332.884914312457</v>
      </c>
      <c r="FL41" s="2">
        <f t="shared" si="5"/>
        <v>43492.42571557872</v>
      </c>
      <c r="FM41" s="2">
        <f t="shared" si="12"/>
        <v>43492.42571557872</v>
      </c>
      <c r="FN41" s="30">
        <f t="shared" si="13"/>
        <v>0</v>
      </c>
      <c r="FO41" s="30">
        <f t="shared" si="14"/>
        <v>6.4170430936065617E-5</v>
      </c>
      <c r="FQ41" s="2">
        <f t="shared" si="15"/>
        <v>43492.42571557872</v>
      </c>
      <c r="GB41" s="1823">
        <v>42</v>
      </c>
      <c r="GE41">
        <v>0</v>
      </c>
      <c r="GF41" s="2">
        <f t="shared" si="30"/>
        <v>0</v>
      </c>
      <c r="GG41" s="895">
        <v>0</v>
      </c>
      <c r="GH41" s="2">
        <f t="shared" si="16"/>
        <v>0</v>
      </c>
      <c r="GI41" s="2">
        <f t="shared" si="31"/>
        <v>0</v>
      </c>
      <c r="GJ41" s="2">
        <f t="shared" si="17"/>
        <v>0</v>
      </c>
      <c r="GK41" s="2">
        <f t="shared" si="18"/>
        <v>0</v>
      </c>
      <c r="GL41" s="2"/>
      <c r="GM41" s="2">
        <f t="shared" si="19"/>
        <v>0</v>
      </c>
      <c r="HC41" s="1963">
        <v>42</v>
      </c>
      <c r="HF41" s="73"/>
      <c r="HG41" s="2">
        <f t="shared" si="56"/>
        <v>0</v>
      </c>
      <c r="HH41" s="895"/>
      <c r="HI41" s="2">
        <f t="shared" si="20"/>
        <v>0</v>
      </c>
      <c r="HJ41" s="2">
        <f>HG41+HI41</f>
        <v>0</v>
      </c>
      <c r="HK41" s="2">
        <f t="shared" si="58"/>
        <v>0</v>
      </c>
      <c r="HL41" s="2">
        <f t="shared" si="22"/>
        <v>0</v>
      </c>
      <c r="HM41" s="2"/>
      <c r="HN41" s="2">
        <f t="shared" si="23"/>
        <v>0</v>
      </c>
    </row>
    <row r="42" spans="1:222" ht="14.4" thickTop="1" thickBot="1">
      <c r="A42" s="110">
        <v>43</v>
      </c>
      <c r="B42" s="1154">
        <v>2</v>
      </c>
      <c r="C42" s="2"/>
      <c r="D42" s="2">
        <v>2</v>
      </c>
      <c r="E42" s="2">
        <v>155431.48148148149</v>
      </c>
      <c r="F42">
        <v>5</v>
      </c>
      <c r="G42" s="2">
        <v>34850</v>
      </c>
      <c r="H42" s="129">
        <v>8328.6239022700101</v>
      </c>
      <c r="I42" s="2">
        <v>11230.944936136166</v>
      </c>
      <c r="J42" s="2">
        <v>155436.48148148149</v>
      </c>
      <c r="K42" s="2">
        <v>11230.944936136166</v>
      </c>
      <c r="L42" s="1">
        <v>3.5033431575867181E-4</v>
      </c>
      <c r="M42" s="1">
        <v>4.2846212367935021E-5</v>
      </c>
      <c r="W42" s="391">
        <v>43</v>
      </c>
      <c r="X42" s="123">
        <v>47413.125911616371</v>
      </c>
      <c r="Y42" s="57">
        <f t="shared" si="0"/>
        <v>126812.43944491282</v>
      </c>
      <c r="Z42" s="392">
        <v>7323.1347984751992</v>
      </c>
      <c r="AA42" s="2">
        <v>49705.873306760055</v>
      </c>
      <c r="AB42" s="2">
        <f t="shared" si="50"/>
        <v>60877.00448340975</v>
      </c>
      <c r="AC42" s="30">
        <f t="shared" si="46"/>
        <v>0.11695869017577284</v>
      </c>
      <c r="AD42" s="30">
        <f t="shared" si="47"/>
        <v>1.0617211192228625E-2</v>
      </c>
      <c r="AO42" s="438">
        <v>41</v>
      </c>
      <c r="AP42" s="1821">
        <v>236737.80866834713</v>
      </c>
      <c r="AQ42" s="1821">
        <v>481224.87551247055</v>
      </c>
      <c r="AR42" s="1146">
        <v>1254601.0149398756</v>
      </c>
      <c r="AS42" s="57">
        <f t="shared" si="37"/>
        <v>8358722.9005682068</v>
      </c>
      <c r="AT42" s="1">
        <f t="shared" si="38"/>
        <v>7.2996528330789333E-3</v>
      </c>
      <c r="AU42" s="1">
        <f t="shared" si="1"/>
        <v>1.6026364197412171E-2</v>
      </c>
      <c r="BE42" s="438">
        <v>41</v>
      </c>
      <c r="BF42" s="465">
        <v>355680.88821204437</v>
      </c>
      <c r="BG42" s="1147">
        <f t="shared" si="42"/>
        <v>928593.46829420922</v>
      </c>
      <c r="BH42" s="1146">
        <v>382072.64944108494</v>
      </c>
      <c r="BI42" s="57">
        <f t="shared" si="43"/>
        <v>5081125.1359710013</v>
      </c>
      <c r="BJ42" s="1">
        <f t="shared" si="41"/>
        <v>3.8415368694613562E-3</v>
      </c>
      <c r="BK42" s="1">
        <f t="shared" si="44"/>
        <v>9.2699987295712834E-3</v>
      </c>
      <c r="BV42" s="1823">
        <v>41</v>
      </c>
      <c r="BW42" s="1822">
        <v>154237.76440629928</v>
      </c>
      <c r="BX42" s="57">
        <f t="shared" si="48"/>
        <v>178184.5072715022</v>
      </c>
      <c r="BY42" s="1">
        <f t="shared" si="2"/>
        <v>3.4186444149365888E-3</v>
      </c>
      <c r="BZ42" s="1">
        <v>380576.51439077297</v>
      </c>
      <c r="CA42" s="2">
        <f t="shared" si="45"/>
        <v>1996814.8827588786</v>
      </c>
      <c r="CB42" s="1">
        <f t="shared" si="3"/>
        <v>2.6750529421572474E-3</v>
      </c>
      <c r="CL42" s="1823">
        <v>41</v>
      </c>
      <c r="CM42" s="1822"/>
      <c r="CO42" s="57"/>
      <c r="CP42" s="1">
        <v>36846.184385232351</v>
      </c>
      <c r="CQ42" s="2">
        <f t="shared" si="52"/>
        <v>1003911.4606321414</v>
      </c>
      <c r="CR42" s="1">
        <f t="shared" si="51"/>
        <v>1.2925679120549414E-3</v>
      </c>
      <c r="DB42" s="1823">
        <v>43</v>
      </c>
      <c r="DE42" s="883">
        <v>242199.33583337575</v>
      </c>
      <c r="DF42" s="1">
        <f t="shared" si="24"/>
        <v>3646578.8970525661</v>
      </c>
      <c r="DG42" s="1">
        <f t="shared" si="25"/>
        <v>3.3400070269166081E-3</v>
      </c>
      <c r="DP42" s="1823">
        <v>43</v>
      </c>
      <c r="DR42">
        <v>1</v>
      </c>
      <c r="DS42" s="57">
        <f t="shared" si="26"/>
        <v>102785.01477452712</v>
      </c>
      <c r="DT42" s="895">
        <v>91002.943628369729</v>
      </c>
      <c r="DU42" s="57">
        <f t="shared" si="27"/>
        <v>193787.95840289685</v>
      </c>
      <c r="DV42" s="1">
        <f t="shared" si="6"/>
        <v>0</v>
      </c>
      <c r="DW42" s="1">
        <f t="shared" si="28"/>
        <v>2.6654231346120961E-4</v>
      </c>
      <c r="DY42" s="2">
        <f t="shared" si="29"/>
        <v>193787.95840289685</v>
      </c>
      <c r="EI42" s="1823">
        <v>43</v>
      </c>
      <c r="EJ42" s="2"/>
      <c r="EK42" s="2"/>
      <c r="EN42" s="2">
        <v>15959.585707510767</v>
      </c>
      <c r="EO42" s="2">
        <f t="shared" si="7"/>
        <v>112329.429782356</v>
      </c>
      <c r="EP42" s="2">
        <f t="shared" si="8"/>
        <v>112329.429782356</v>
      </c>
      <c r="EQ42" s="30">
        <f t="shared" si="9"/>
        <v>0</v>
      </c>
      <c r="ER42" s="30">
        <f t="shared" si="10"/>
        <v>1.5682220430494859E-4</v>
      </c>
      <c r="ET42" s="2">
        <f t="shared" si="11"/>
        <v>112329.429782356</v>
      </c>
      <c r="FF42" s="1823">
        <v>43</v>
      </c>
      <c r="FI42" s="1">
        <v>1</v>
      </c>
      <c r="FJ42" s="2">
        <f t="shared" si="4"/>
        <v>50.472638753651417</v>
      </c>
      <c r="FK42" s="2">
        <v>7514.0886376818762</v>
      </c>
      <c r="FL42" s="2">
        <f t="shared" si="5"/>
        <v>31627.753972366638</v>
      </c>
      <c r="FM42" s="2">
        <f t="shared" si="12"/>
        <v>31678.226611120288</v>
      </c>
      <c r="FN42" s="30">
        <f t="shared" si="13"/>
        <v>0</v>
      </c>
      <c r="FO42" s="30">
        <f t="shared" si="14"/>
        <v>4.6739298153190655E-5</v>
      </c>
      <c r="FQ42" s="2">
        <f t="shared" si="15"/>
        <v>31678.226611120288</v>
      </c>
      <c r="GB42" s="1823">
        <v>43</v>
      </c>
      <c r="GE42">
        <v>0</v>
      </c>
      <c r="GF42" s="2">
        <f t="shared" si="30"/>
        <v>0</v>
      </c>
      <c r="GG42" s="895">
        <v>0</v>
      </c>
      <c r="GH42" s="2">
        <f t="shared" si="16"/>
        <v>0</v>
      </c>
      <c r="GI42" s="2">
        <f t="shared" si="31"/>
        <v>0</v>
      </c>
      <c r="GJ42" s="2">
        <f t="shared" si="17"/>
        <v>0</v>
      </c>
      <c r="GK42" s="2">
        <f>GF42/$GF$56*100</f>
        <v>0</v>
      </c>
      <c r="GL42" s="2"/>
      <c r="GM42" s="2">
        <f t="shared" si="19"/>
        <v>0</v>
      </c>
      <c r="HC42" s="1963">
        <v>43</v>
      </c>
      <c r="HF42" s="73"/>
      <c r="HG42" s="2">
        <f t="shared" si="56"/>
        <v>0</v>
      </c>
      <c r="HH42" s="895"/>
      <c r="HI42" s="2">
        <f t="shared" si="20"/>
        <v>0</v>
      </c>
      <c r="HJ42" s="2">
        <f t="shared" si="57"/>
        <v>0</v>
      </c>
      <c r="HK42" s="2">
        <f t="shared" si="58"/>
        <v>0</v>
      </c>
      <c r="HL42" s="2">
        <f t="shared" si="22"/>
        <v>0</v>
      </c>
      <c r="HM42" s="2"/>
      <c r="HN42" s="2">
        <f t="shared" si="23"/>
        <v>0</v>
      </c>
    </row>
    <row r="43" spans="1:222" ht="14.4" thickTop="1" thickBot="1">
      <c r="A43" s="110">
        <v>44</v>
      </c>
      <c r="B43" s="1154">
        <v>7</v>
      </c>
      <c r="C43" s="2"/>
      <c r="D43" s="2">
        <v>7</v>
      </c>
      <c r="E43" s="2">
        <v>544010.18518518517</v>
      </c>
      <c r="F43">
        <v>7</v>
      </c>
      <c r="G43" s="2">
        <v>48790</v>
      </c>
      <c r="H43" s="129">
        <v>0</v>
      </c>
      <c r="I43" s="2">
        <v>0</v>
      </c>
      <c r="J43" s="2">
        <v>544017.18518518517</v>
      </c>
      <c r="K43" s="2">
        <v>0</v>
      </c>
      <c r="L43" s="1">
        <v>1.2261464394735216E-3</v>
      </c>
      <c r="M43" s="1">
        <v>0</v>
      </c>
      <c r="W43" s="391">
        <v>44</v>
      </c>
      <c r="X43" s="123">
        <v>11976.497767565434</v>
      </c>
      <c r="Y43" s="57">
        <f t="shared" si="0"/>
        <v>32032.66750947171</v>
      </c>
      <c r="Z43" s="392">
        <v>9795.9726092554483</v>
      </c>
      <c r="AA43" s="2">
        <v>66490.292317646192</v>
      </c>
      <c r="AB43" s="2">
        <f t="shared" si="50"/>
        <v>81433.632571828814</v>
      </c>
      <c r="AC43" s="30">
        <f t="shared" si="46"/>
        <v>2.9543622464350761E-2</v>
      </c>
      <c r="AD43" s="30">
        <f t="shared" si="47"/>
        <v>1.4202375470052493E-2</v>
      </c>
      <c r="AO43" s="438">
        <v>42</v>
      </c>
      <c r="AP43" s="1821">
        <v>64435.018456188925</v>
      </c>
      <c r="AQ43" s="1821">
        <v>130979.22089269184</v>
      </c>
      <c r="AR43" s="1146">
        <v>891314.17975931126</v>
      </c>
      <c r="AS43" s="57">
        <f t="shared" si="37"/>
        <v>5938340.6814096682</v>
      </c>
      <c r="AT43" s="1">
        <f t="shared" si="38"/>
        <v>1.9868109266912423E-3</v>
      </c>
      <c r="AU43" s="1">
        <f t="shared" si="1"/>
        <v>1.138571186300609E-2</v>
      </c>
      <c r="BE43" s="438">
        <v>42</v>
      </c>
      <c r="BF43" s="465">
        <v>226251.29875213929</v>
      </c>
      <c r="BG43" s="1147">
        <f t="shared" si="42"/>
        <v>590685.31702796137</v>
      </c>
      <c r="BH43" s="1146">
        <v>152752.94086337963</v>
      </c>
      <c r="BI43" s="57">
        <f t="shared" si="43"/>
        <v>2031437.7607238083</v>
      </c>
      <c r="BJ43" s="1">
        <f t="shared" si="41"/>
        <v>2.4436306102612439E-3</v>
      </c>
      <c r="BK43" s="1">
        <f t="shared" si="44"/>
        <v>3.7061526644559121E-3</v>
      </c>
      <c r="BV43" s="1823">
        <v>42</v>
      </c>
      <c r="BW43" s="1822">
        <v>37517.294044775503</v>
      </c>
      <c r="BX43" s="57">
        <f t="shared" si="48"/>
        <v>43342.177444419453</v>
      </c>
      <c r="BY43" s="1">
        <f t="shared" si="2"/>
        <v>8.3156215498457562E-4</v>
      </c>
      <c r="BZ43" s="1">
        <v>375699.86076117074</v>
      </c>
      <c r="CA43" s="2">
        <f t="shared" si="45"/>
        <v>1971227.9792652722</v>
      </c>
      <c r="CB43" s="1">
        <f t="shared" si="3"/>
        <v>2.64077519209526E-3</v>
      </c>
      <c r="CL43" s="1823">
        <v>42</v>
      </c>
      <c r="CM43" s="1822"/>
      <c r="CO43" s="57"/>
      <c r="CP43" s="1">
        <v>7185.8691768041754</v>
      </c>
      <c r="CQ43" s="2">
        <f t="shared" si="52"/>
        <v>195786.25416878352</v>
      </c>
      <c r="CR43" s="1">
        <f t="shared" si="51"/>
        <v>2.5208102475556134E-4</v>
      </c>
      <c r="DB43" s="1823">
        <v>44</v>
      </c>
      <c r="DE43" s="883">
        <v>228730.70648930661</v>
      </c>
      <c r="DF43" s="1">
        <f t="shared" si="24"/>
        <v>3443793.7846602909</v>
      </c>
      <c r="DG43" s="1">
        <f t="shared" si="25"/>
        <v>3.1542702803754271E-3</v>
      </c>
      <c r="DP43" s="1823">
        <v>44</v>
      </c>
      <c r="DR43">
        <v>0</v>
      </c>
      <c r="DS43" s="57">
        <f t="shared" si="26"/>
        <v>0</v>
      </c>
      <c r="DT43" s="895">
        <v>39822.771186707963</v>
      </c>
      <c r="DU43" s="57">
        <f t="shared" si="27"/>
        <v>39822.771186707963</v>
      </c>
      <c r="DV43" s="1">
        <f t="shared" si="6"/>
        <v>0</v>
      </c>
      <c r="DW43" s="1">
        <f t="shared" si="28"/>
        <v>5.4773545518620157E-5</v>
      </c>
      <c r="DY43" s="2">
        <f t="shared" si="29"/>
        <v>39822.771186707963</v>
      </c>
      <c r="EI43" s="1823">
        <v>44</v>
      </c>
      <c r="EJ43" s="2"/>
      <c r="EK43" s="2"/>
      <c r="EN43" s="2">
        <v>13187.976430377406</v>
      </c>
      <c r="EO43" s="2">
        <f t="shared" si="7"/>
        <v>92821.825049649109</v>
      </c>
      <c r="EP43" s="2">
        <f t="shared" si="8"/>
        <v>92821.825049649109</v>
      </c>
      <c r="EQ43" s="30">
        <f t="shared" si="9"/>
        <v>0</v>
      </c>
      <c r="ER43" s="30">
        <f t="shared" si="10"/>
        <v>1.2958779582606511E-4</v>
      </c>
      <c r="ET43" s="2">
        <f t="shared" si="11"/>
        <v>92821.825049649109</v>
      </c>
      <c r="FF43" s="1823">
        <v>44</v>
      </c>
      <c r="FI43" s="1">
        <v>0</v>
      </c>
      <c r="FJ43" s="2">
        <f t="shared" si="4"/>
        <v>0</v>
      </c>
      <c r="FK43" s="2">
        <v>10379.494888312169</v>
      </c>
      <c r="FL43" s="2">
        <f>FK43*$FK$59</f>
        <v>43688.613019376098</v>
      </c>
      <c r="FM43" s="2">
        <f t="shared" si="12"/>
        <v>43688.613019376098</v>
      </c>
      <c r="FN43" s="30">
        <f t="shared" si="13"/>
        <v>0</v>
      </c>
      <c r="FO43" s="30">
        <f t="shared" si="14"/>
        <v>6.4459893379737796E-5</v>
      </c>
      <c r="FQ43" s="2">
        <f t="shared" si="15"/>
        <v>43688.613019376098</v>
      </c>
      <c r="GB43" s="1823">
        <v>44</v>
      </c>
      <c r="GE43">
        <v>2</v>
      </c>
      <c r="GF43" s="2">
        <f t="shared" si="30"/>
        <v>23.760401079923241</v>
      </c>
      <c r="GI43" s="2">
        <f t="shared" si="31"/>
        <v>23.760401079923241</v>
      </c>
      <c r="GJ43" s="2">
        <f t="shared" si="17"/>
        <v>0</v>
      </c>
      <c r="GK43" s="2">
        <f t="shared" si="18"/>
        <v>5.6769798467215429E-2</v>
      </c>
      <c r="GL43" s="2"/>
      <c r="HC43" s="1963">
        <v>44</v>
      </c>
      <c r="HF43" s="73"/>
      <c r="HG43" s="2">
        <f t="shared" si="56"/>
        <v>0</v>
      </c>
      <c r="HJ43" s="2">
        <f t="shared" si="57"/>
        <v>0</v>
      </c>
      <c r="HK43" s="2">
        <f t="shared" si="58"/>
        <v>0</v>
      </c>
      <c r="HL43" s="2">
        <f t="shared" si="22"/>
        <v>0</v>
      </c>
      <c r="HM43" s="2"/>
    </row>
    <row r="44" spans="1:222" ht="14.4" thickTop="1" thickBot="1">
      <c r="A44" s="110">
        <v>45</v>
      </c>
      <c r="B44" s="1154">
        <v>4</v>
      </c>
      <c r="C44" s="2"/>
      <c r="D44" s="2">
        <v>4</v>
      </c>
      <c r="E44" s="2">
        <v>310862.96296296298</v>
      </c>
      <c r="F44">
        <v>3</v>
      </c>
      <c r="G44" s="2">
        <v>20910</v>
      </c>
      <c r="H44" s="129">
        <v>0</v>
      </c>
      <c r="I44" s="2">
        <v>0</v>
      </c>
      <c r="J44" s="2">
        <v>310865.96296296298</v>
      </c>
      <c r="K44" s="2">
        <v>0</v>
      </c>
      <c r="L44" s="1">
        <v>7.006528543961238E-4</v>
      </c>
      <c r="M44" s="1">
        <v>0</v>
      </c>
      <c r="W44" s="391">
        <v>45</v>
      </c>
      <c r="X44" s="123">
        <v>3078.7045584480425</v>
      </c>
      <c r="Y44" s="57">
        <f t="shared" si="0"/>
        <v>8234.387163477777</v>
      </c>
      <c r="Z44" s="392">
        <v>16327.751939707787</v>
      </c>
      <c r="AA44" s="2">
        <v>110824.83002611215</v>
      </c>
      <c r="AB44" s="2">
        <f t="shared" si="50"/>
        <v>135732.12229338693</v>
      </c>
      <c r="AC44" s="30">
        <f t="shared" si="46"/>
        <v>7.5945478318703947E-3</v>
      </c>
      <c r="AD44" s="30">
        <f t="shared" si="47"/>
        <v>2.367226541757686E-2</v>
      </c>
      <c r="AO44" s="438">
        <v>43</v>
      </c>
      <c r="AP44" s="1821">
        <v>22931.479271781864</v>
      </c>
      <c r="AQ44" s="1821">
        <v>46613.586228381268</v>
      </c>
      <c r="AR44" s="1146">
        <v>513288.78395063488</v>
      </c>
      <c r="AS44" s="57">
        <f t="shared" si="37"/>
        <v>3419763.464178761</v>
      </c>
      <c r="AT44" s="1">
        <f t="shared" si="38"/>
        <v>7.0707690746372239E-4</v>
      </c>
      <c r="AU44" s="1">
        <f t="shared" si="1"/>
        <v>6.5567880880710982E-3</v>
      </c>
      <c r="BE44" s="438">
        <v>43</v>
      </c>
      <c r="BF44" s="465">
        <v>43050.318235704319</v>
      </c>
      <c r="BG44" s="1147">
        <f t="shared" si="42"/>
        <v>112393.56863568585</v>
      </c>
      <c r="BH44" s="1146">
        <v>110376.94735615286</v>
      </c>
      <c r="BI44" s="57">
        <f t="shared" si="43"/>
        <v>1467885.9700204134</v>
      </c>
      <c r="BJ44" s="1">
        <f t="shared" si="41"/>
        <v>4.6496562009794962E-4</v>
      </c>
      <c r="BK44" s="1">
        <f t="shared" si="44"/>
        <v>2.6780094394672671E-3</v>
      </c>
      <c r="BV44" s="1823">
        <v>43</v>
      </c>
      <c r="BW44" s="1822">
        <v>12505.764681591836</v>
      </c>
      <c r="BX44" s="57">
        <f t="shared" si="48"/>
        <v>14447.392481473154</v>
      </c>
      <c r="BY44" s="1">
        <f t="shared" si="2"/>
        <v>2.7718738499485861E-4</v>
      </c>
      <c r="BZ44" s="1">
        <v>225617.33762432548</v>
      </c>
      <c r="CA44" s="2">
        <f t="shared" si="45"/>
        <v>1183772.6200679359</v>
      </c>
      <c r="CB44" s="1">
        <f t="shared" si="3"/>
        <v>1.5858527785924503E-3</v>
      </c>
      <c r="CL44" s="1823">
        <v>43</v>
      </c>
      <c r="CM44" s="1822"/>
      <c r="CN44" s="57"/>
      <c r="CP44" s="1">
        <v>4612.985907942696</v>
      </c>
      <c r="CQ44" s="2">
        <f t="shared" si="52"/>
        <v>125685.45421963192</v>
      </c>
      <c r="CR44" s="1">
        <f t="shared" si="51"/>
        <v>1.6182401686504395E-4</v>
      </c>
      <c r="DB44" s="1823">
        <v>45</v>
      </c>
      <c r="DE44" s="883">
        <v>206942.72546630219</v>
      </c>
      <c r="DF44" s="1">
        <f t="shared" si="24"/>
        <v>3115751.6307275095</v>
      </c>
      <c r="DG44" s="1">
        <f t="shared" si="25"/>
        <v>2.8538069885634919E-3</v>
      </c>
      <c r="DP44" s="1823">
        <v>45</v>
      </c>
      <c r="DR44">
        <v>0</v>
      </c>
      <c r="DS44" s="57">
        <f t="shared" si="26"/>
        <v>0</v>
      </c>
      <c r="DT44" s="895">
        <v>71674.427172876865</v>
      </c>
      <c r="DU44" s="57">
        <f t="shared" si="27"/>
        <v>71674.427172876865</v>
      </c>
      <c r="DV44" s="1">
        <f t="shared" si="6"/>
        <v>0</v>
      </c>
      <c r="DW44" s="1">
        <f t="shared" si="28"/>
        <v>9.8583357769560994E-5</v>
      </c>
      <c r="DY44" s="2">
        <f t="shared" si="29"/>
        <v>71674.427172876865</v>
      </c>
      <c r="EI44" s="1823">
        <v>45</v>
      </c>
      <c r="EN44" s="2">
        <v>3886.9723639875292</v>
      </c>
      <c r="EO44" s="2">
        <f t="shared" si="7"/>
        <v>27357.94006363313</v>
      </c>
      <c r="EP44" s="2">
        <f>EM44+EO44</f>
        <v>27357.94006363313</v>
      </c>
      <c r="EQ44" s="30">
        <f t="shared" si="9"/>
        <v>0</v>
      </c>
      <c r="ER44" s="30">
        <f t="shared" si="10"/>
        <v>3.8194197854777247E-5</v>
      </c>
      <c r="ET44" s="2">
        <f t="shared" si="11"/>
        <v>27357.94006363313</v>
      </c>
      <c r="FF44" s="1823">
        <v>45</v>
      </c>
      <c r="FI44" s="1">
        <v>0</v>
      </c>
      <c r="FJ44" s="2">
        <f t="shared" si="4"/>
        <v>0</v>
      </c>
      <c r="FK44" s="2">
        <v>2811.7328624366323</v>
      </c>
      <c r="FL44" s="2">
        <f t="shared" si="5"/>
        <v>11834.940935245459</v>
      </c>
      <c r="FM44" s="2">
        <f t="shared" si="12"/>
        <v>11834.940935245459</v>
      </c>
      <c r="FN44" s="30">
        <f t="shared" si="13"/>
        <v>0</v>
      </c>
      <c r="FO44" s="30">
        <f t="shared" si="14"/>
        <v>1.7461736093637864E-5</v>
      </c>
      <c r="FQ44" s="2">
        <f>FH44+FM44</f>
        <v>11834.940935245459</v>
      </c>
      <c r="GB44" s="1823">
        <v>45</v>
      </c>
      <c r="GE44">
        <v>0</v>
      </c>
      <c r="GF44" s="2">
        <f t="shared" si="30"/>
        <v>0</v>
      </c>
      <c r="GI44" s="2">
        <f t="shared" si="31"/>
        <v>0</v>
      </c>
      <c r="GJ44" s="2">
        <f t="shared" si="17"/>
        <v>0</v>
      </c>
      <c r="GK44" s="2">
        <f t="shared" si="18"/>
        <v>0</v>
      </c>
      <c r="GL44" s="2"/>
      <c r="HC44" s="1963">
        <v>45</v>
      </c>
      <c r="HF44" s="73"/>
      <c r="HG44" s="2">
        <f t="shared" si="56"/>
        <v>0</v>
      </c>
      <c r="HJ44" s="2">
        <f t="shared" si="57"/>
        <v>0</v>
      </c>
      <c r="HK44" s="2">
        <f t="shared" si="58"/>
        <v>0</v>
      </c>
      <c r="HL44" s="2">
        <f t="shared" si="22"/>
        <v>0</v>
      </c>
      <c r="HM44" s="2"/>
    </row>
    <row r="45" spans="1:222" ht="14.4" thickTop="1" thickBot="1">
      <c r="A45" s="110">
        <v>46</v>
      </c>
      <c r="B45" s="1154">
        <v>4</v>
      </c>
      <c r="C45" s="2"/>
      <c r="D45" s="2">
        <v>4</v>
      </c>
      <c r="E45" s="2">
        <v>310862.96296296298</v>
      </c>
      <c r="F45">
        <v>5</v>
      </c>
      <c r="G45" s="2">
        <v>34850</v>
      </c>
      <c r="H45" s="129">
        <v>5572.4817298686203</v>
      </c>
      <c r="I45" s="2">
        <v>7514.354856235208</v>
      </c>
      <c r="J45" s="2">
        <v>310867.96296296298</v>
      </c>
      <c r="K45" s="2">
        <v>7514.354856235208</v>
      </c>
      <c r="L45" s="1">
        <v>7.0065736214504381E-4</v>
      </c>
      <c r="M45" s="1">
        <v>2.8667369113559516E-5</v>
      </c>
      <c r="W45" s="391">
        <v>46</v>
      </c>
      <c r="Y45" s="57">
        <f t="shared" si="0"/>
        <v>0</v>
      </c>
      <c r="Z45" s="392">
        <v>0</v>
      </c>
      <c r="AA45" s="2">
        <v>0</v>
      </c>
      <c r="AB45" s="2">
        <f t="shared" si="50"/>
        <v>0</v>
      </c>
      <c r="AC45" s="30">
        <f t="shared" si="46"/>
        <v>0</v>
      </c>
      <c r="AD45" s="30">
        <f t="shared" si="47"/>
        <v>0</v>
      </c>
      <c r="AO45" s="438">
        <v>44</v>
      </c>
      <c r="AP45" s="1821">
        <v>1325.7806618814466</v>
      </c>
      <c r="AQ45" s="1821">
        <v>2694.9587713069131</v>
      </c>
      <c r="AR45" s="1146">
        <v>245639.36955660107</v>
      </c>
      <c r="AS45" s="57">
        <f t="shared" si="37"/>
        <v>1636561.2646123162</v>
      </c>
      <c r="AT45" s="1">
        <f t="shared" si="38"/>
        <v>4.0879564692186491E-5</v>
      </c>
      <c r="AU45" s="1">
        <f t="shared" si="1"/>
        <v>3.1378150909000084E-3</v>
      </c>
      <c r="BE45" s="438">
        <v>44</v>
      </c>
      <c r="BF45" s="465">
        <v>33514.52355818927</v>
      </c>
      <c r="BG45" s="1147">
        <f t="shared" si="42"/>
        <v>87498.003689682359</v>
      </c>
      <c r="BH45" s="1146">
        <v>38697.315423063017</v>
      </c>
      <c r="BI45" s="57">
        <f t="shared" si="43"/>
        <v>514629.61920555698</v>
      </c>
      <c r="BJ45" s="1">
        <f t="shared" si="41"/>
        <v>3.6197412393566874E-4</v>
      </c>
      <c r="BK45" s="1">
        <f t="shared" si="44"/>
        <v>9.3888967277394229E-4</v>
      </c>
      <c r="BV45" s="1823">
        <v>44</v>
      </c>
      <c r="BW45" s="1822">
        <v>12505.764681591832</v>
      </c>
      <c r="BX45" s="57">
        <f t="shared" si="48"/>
        <v>14447.392481473149</v>
      </c>
      <c r="BY45" s="1">
        <f t="shared" si="2"/>
        <v>2.771873849948585E-4</v>
      </c>
      <c r="BZ45" s="1">
        <v>190059.58618741183</v>
      </c>
      <c r="CA45" s="2">
        <f t="shared" si="45"/>
        <v>997207.64671341737</v>
      </c>
      <c r="CB45" s="1">
        <f t="shared" si="3"/>
        <v>1.33591915420662E-3</v>
      </c>
      <c r="CL45" s="1823">
        <v>44</v>
      </c>
      <c r="CM45" s="1822"/>
      <c r="CN45" s="57"/>
      <c r="CP45" s="1">
        <v>3570.6754380785919</v>
      </c>
      <c r="CQ45" s="2">
        <f t="shared" si="52"/>
        <v>97286.654080835739</v>
      </c>
      <c r="CR45" s="1">
        <f t="shared" si="51"/>
        <v>1.2525965911067035E-4</v>
      </c>
      <c r="DB45" s="1823">
        <v>46</v>
      </c>
      <c r="DE45" s="883">
        <v>187754.31633840478</v>
      </c>
      <c r="DF45" s="1">
        <f t="shared" si="24"/>
        <v>2826848.9070555512</v>
      </c>
      <c r="DG45" s="1">
        <f t="shared" si="25"/>
        <v>2.5891926323679845E-3</v>
      </c>
      <c r="DP45" s="1823">
        <v>46</v>
      </c>
      <c r="DS45" s="57">
        <f t="shared" si="26"/>
        <v>0</v>
      </c>
      <c r="DT45" s="895">
        <v>62470.847220915282</v>
      </c>
      <c r="DU45" s="57">
        <f t="shared" si="27"/>
        <v>62470.847220915282</v>
      </c>
      <c r="DV45" s="1">
        <f t="shared" si="6"/>
        <v>0</v>
      </c>
      <c r="DW45" s="1">
        <f t="shared" si="28"/>
        <v>8.5924452062835841E-5</v>
      </c>
      <c r="DY45" s="2">
        <f t="shared" si="29"/>
        <v>62470.847220915282</v>
      </c>
      <c r="EI45" s="1823">
        <v>46</v>
      </c>
      <c r="EN45" s="2">
        <v>4891.2193299737082</v>
      </c>
      <c r="EO45" s="2">
        <f t="shared" si="7"/>
        <v>34426.199297756008</v>
      </c>
      <c r="EP45" s="2">
        <f t="shared" si="8"/>
        <v>34426.199297756008</v>
      </c>
      <c r="EQ45" s="30">
        <f t="shared" si="9"/>
        <v>0</v>
      </c>
      <c r="ER45" s="30">
        <f t="shared" si="10"/>
        <v>4.8062137145857552E-5</v>
      </c>
      <c r="ET45" s="2">
        <f t="shared" si="11"/>
        <v>34426.199297756008</v>
      </c>
      <c r="FF45" s="1823">
        <v>46</v>
      </c>
      <c r="FI45" s="1">
        <v>0</v>
      </c>
      <c r="FJ45" s="2">
        <f t="shared" si="4"/>
        <v>0</v>
      </c>
      <c r="FK45" s="2">
        <v>4772.1179575181932</v>
      </c>
      <c r="FL45" s="2">
        <f t="shared" si="5"/>
        <v>20086.450927741662</v>
      </c>
      <c r="FM45" s="2">
        <f t="shared" si="12"/>
        <v>20086.450927741662</v>
      </c>
      <c r="FN45" s="30">
        <f t="shared" si="13"/>
        <v>0</v>
      </c>
      <c r="FO45" s="30">
        <f t="shared" si="14"/>
        <v>2.9636337610565168E-5</v>
      </c>
      <c r="FQ45" s="2">
        <f t="shared" si="15"/>
        <v>20086.450927741662</v>
      </c>
      <c r="GB45" s="1823">
        <v>46</v>
      </c>
      <c r="GE45">
        <v>0</v>
      </c>
      <c r="GF45" s="2">
        <f t="shared" si="30"/>
        <v>0</v>
      </c>
      <c r="GI45" s="2">
        <f t="shared" si="31"/>
        <v>0</v>
      </c>
      <c r="GJ45" s="2">
        <f t="shared" si="17"/>
        <v>0</v>
      </c>
      <c r="GK45" s="2">
        <f t="shared" si="18"/>
        <v>0</v>
      </c>
      <c r="GL45" s="2"/>
      <c r="HC45" s="1963">
        <v>46</v>
      </c>
      <c r="HD45" s="1" t="s">
        <v>18</v>
      </c>
      <c r="HF45" s="73"/>
      <c r="HG45" s="2">
        <f t="shared" si="56"/>
        <v>0</v>
      </c>
      <c r="HJ45" s="2">
        <f t="shared" si="57"/>
        <v>0</v>
      </c>
      <c r="HK45" s="2">
        <f t="shared" si="58"/>
        <v>0</v>
      </c>
      <c r="HL45" s="2">
        <f t="shared" si="22"/>
        <v>0</v>
      </c>
      <c r="HM45" s="2"/>
    </row>
    <row r="46" spans="1:222" ht="14.4" thickTop="1" thickBot="1">
      <c r="A46" s="110">
        <v>47</v>
      </c>
      <c r="B46" s="1154">
        <v>4</v>
      </c>
      <c r="C46" s="2"/>
      <c r="D46" s="2">
        <v>4</v>
      </c>
      <c r="E46" s="2">
        <v>310862.96296296298</v>
      </c>
      <c r="F46">
        <v>1</v>
      </c>
      <c r="G46" s="2">
        <v>6970</v>
      </c>
      <c r="H46" s="74"/>
      <c r="I46" s="2">
        <v>0</v>
      </c>
      <c r="J46" s="2">
        <v>310863.96296296298</v>
      </c>
      <c r="K46" s="2">
        <v>0</v>
      </c>
      <c r="L46" s="1">
        <v>7.0064834664720389E-4</v>
      </c>
      <c r="M46" s="1">
        <v>0</v>
      </c>
      <c r="W46" s="391">
        <v>47</v>
      </c>
      <c r="Y46" s="57">
        <f t="shared" si="0"/>
        <v>0</v>
      </c>
      <c r="Z46" s="392">
        <v>4987.1740857692012</v>
      </c>
      <c r="AA46" s="2">
        <v>33850.509390816638</v>
      </c>
      <c r="AB46" s="2">
        <f t="shared" si="50"/>
        <v>41458.231690905399</v>
      </c>
      <c r="AC46" s="30">
        <f t="shared" si="46"/>
        <v>0</v>
      </c>
      <c r="AD46" s="30">
        <f t="shared" si="47"/>
        <v>7.2304937677845817E-3</v>
      </c>
      <c r="AO46" s="438">
        <v>45</v>
      </c>
      <c r="AP46" s="1821">
        <v>0</v>
      </c>
      <c r="AQ46" s="1821">
        <v>0</v>
      </c>
      <c r="AR46" s="1146">
        <v>250235.37106013024</v>
      </c>
      <c r="AS46" s="57">
        <f t="shared" si="37"/>
        <v>1667181.9181596404</v>
      </c>
      <c r="AT46" s="1">
        <f t="shared" si="38"/>
        <v>0</v>
      </c>
      <c r="AU46" s="1">
        <f t="shared" si="1"/>
        <v>3.196524746854609E-3</v>
      </c>
      <c r="BE46" s="438">
        <v>45</v>
      </c>
      <c r="BF46" s="1821"/>
      <c r="BG46" s="1821"/>
      <c r="BH46" s="1146">
        <v>66322.464367673587</v>
      </c>
      <c r="BI46" s="57">
        <f t="shared" si="43"/>
        <v>882012.2070268502</v>
      </c>
      <c r="BJ46" s="1">
        <f t="shared" si="41"/>
        <v>0</v>
      </c>
      <c r="BK46" s="1">
        <f t="shared" si="44"/>
        <v>1.6091420344527267E-3</v>
      </c>
      <c r="BV46" s="1823">
        <v>45</v>
      </c>
      <c r="BW46" s="1119"/>
      <c r="BX46" s="57">
        <f t="shared" si="48"/>
        <v>0</v>
      </c>
      <c r="BY46" s="1">
        <f t="shared" si="2"/>
        <v>0</v>
      </c>
      <c r="BZ46" s="1">
        <v>173526.97959155383</v>
      </c>
      <c r="CA46" s="2">
        <f t="shared" si="45"/>
        <v>910464.1046053255</v>
      </c>
      <c r="CB46" s="1">
        <f t="shared" si="3"/>
        <v>1.2197123042212113E-3</v>
      </c>
      <c r="CL46" s="1823">
        <v>45</v>
      </c>
      <c r="CM46" s="1119"/>
      <c r="CN46" s="57"/>
      <c r="CP46" s="1">
        <v>5951.5379570447694</v>
      </c>
      <c r="CQ46" s="2">
        <f t="shared" si="52"/>
        <v>162155.65500614233</v>
      </c>
      <c r="CR46" s="1">
        <f t="shared" si="51"/>
        <v>2.0878055948002821E-4</v>
      </c>
      <c r="DB46" s="1823">
        <v>47</v>
      </c>
      <c r="DE46" s="883">
        <v>148724.53399819729</v>
      </c>
      <c r="DF46" s="1">
        <f t="shared" si="24"/>
        <v>2239212.3631788581</v>
      </c>
      <c r="DG46" s="1">
        <f t="shared" si="25"/>
        <v>2.0509593344657912E-3</v>
      </c>
      <c r="DP46" s="1823">
        <v>47</v>
      </c>
      <c r="DS46" s="57"/>
      <c r="DT46" s="895">
        <v>69261.780357998636</v>
      </c>
      <c r="DU46" s="57">
        <f t="shared" si="27"/>
        <v>69261.780357998636</v>
      </c>
      <c r="DV46" s="1">
        <f t="shared" si="6"/>
        <v>0</v>
      </c>
      <c r="DW46" s="1">
        <f t="shared" si="28"/>
        <v>9.526492421516298E-5</v>
      </c>
      <c r="DY46" s="2">
        <f t="shared" si="29"/>
        <v>69261.780357998636</v>
      </c>
      <c r="EI46" s="1823">
        <v>47</v>
      </c>
      <c r="EN46" s="2">
        <v>387.57093698514711</v>
      </c>
      <c r="EO46" s="2">
        <f t="shared" si="7"/>
        <v>2727.8666971453172</v>
      </c>
      <c r="EP46" s="2">
        <f t="shared" si="8"/>
        <v>2727.8666971453172</v>
      </c>
      <c r="EQ46" s="30">
        <f t="shared" si="9"/>
        <v>0</v>
      </c>
      <c r="ER46" s="30">
        <f t="shared" si="10"/>
        <v>3.808352533483463E-6</v>
      </c>
      <c r="ET46" s="2">
        <f t="shared" si="11"/>
        <v>2727.8666971453172</v>
      </c>
      <c r="FF46" s="1823">
        <v>47</v>
      </c>
      <c r="FI46" s="1">
        <v>0</v>
      </c>
      <c r="FJ46" s="2">
        <f t="shared" si="4"/>
        <v>0</v>
      </c>
      <c r="FK46" s="2">
        <v>264.7368826274701</v>
      </c>
      <c r="FL46" s="2">
        <f t="shared" si="5"/>
        <v>1114.3111819527376</v>
      </c>
      <c r="FM46" s="2">
        <f t="shared" si="12"/>
        <v>1114.3111819527376</v>
      </c>
      <c r="FN46" s="30">
        <f t="shared" si="13"/>
        <v>0</v>
      </c>
      <c r="FO46" s="30">
        <f t="shared" si="14"/>
        <v>1.6440984278596086E-6</v>
      </c>
      <c r="FQ46" s="2">
        <f t="shared" si="15"/>
        <v>1114.3111819527376</v>
      </c>
      <c r="GB46" s="1823">
        <v>47</v>
      </c>
      <c r="GI46" s="2">
        <f t="shared" si="31"/>
        <v>0</v>
      </c>
      <c r="GJ46" s="2"/>
      <c r="HC46" s="1963">
        <v>47</v>
      </c>
      <c r="HJ46" s="2">
        <f t="shared" si="57"/>
        <v>0</v>
      </c>
      <c r="HK46" s="2"/>
    </row>
    <row r="47" spans="1:222" ht="14.4" thickTop="1" thickBot="1">
      <c r="A47" s="110">
        <v>48</v>
      </c>
      <c r="B47" s="1154">
        <v>6</v>
      </c>
      <c r="C47" s="2"/>
      <c r="D47" s="2">
        <v>6</v>
      </c>
      <c r="E47" s="2">
        <v>466294.4444444445</v>
      </c>
      <c r="F47">
        <v>3</v>
      </c>
      <c r="G47" s="2">
        <v>20910</v>
      </c>
      <c r="H47" s="74"/>
      <c r="I47" s="2">
        <v>0</v>
      </c>
      <c r="J47" s="2">
        <v>466297.4444444445</v>
      </c>
      <c r="K47" s="2">
        <v>0</v>
      </c>
      <c r="L47" s="1">
        <v>1.0509759007824959E-3</v>
      </c>
      <c r="M47" s="1">
        <v>0</v>
      </c>
      <c r="W47" s="191" t="s">
        <v>372</v>
      </c>
      <c r="X47" s="393">
        <f>SUM(X16:X46)</f>
        <v>40538352.336505271</v>
      </c>
      <c r="Y47" s="57">
        <f t="shared" si="0"/>
        <v>108424982.57660986</v>
      </c>
      <c r="Z47" s="393">
        <f>SUM(Z16:Z46)</f>
        <v>68974184.142022565</v>
      </c>
      <c r="AA47" s="2">
        <v>468163177.75747722</v>
      </c>
      <c r="AB47" s="2">
        <f t="shared" si="50"/>
        <v>573380366.85160124</v>
      </c>
      <c r="AC47" s="30">
        <f t="shared" si="46"/>
        <v>100</v>
      </c>
      <c r="AD47" s="30">
        <f t="shared" si="47"/>
        <v>100</v>
      </c>
      <c r="AO47" s="438">
        <v>46</v>
      </c>
      <c r="AP47" s="1821">
        <v>7315.6419679477694</v>
      </c>
      <c r="AQ47" s="1821">
        <v>14870.750536731533</v>
      </c>
      <c r="AR47" s="1146">
        <v>119017.79870652955</v>
      </c>
      <c r="AS47" s="57">
        <f t="shared" si="37"/>
        <v>792950.73714822496</v>
      </c>
      <c r="AT47" s="1">
        <f t="shared" si="38"/>
        <v>2.2557295312272232E-4</v>
      </c>
      <c r="AU47" s="1">
        <f t="shared" si="1"/>
        <v>1.5203419775142962E-3</v>
      </c>
      <c r="BE47" s="438">
        <v>46</v>
      </c>
      <c r="BF47" s="1821"/>
      <c r="BG47" s="1821"/>
      <c r="BH47" s="1146">
        <v>1357.0222389115231</v>
      </c>
      <c r="BI47" s="57">
        <f t="shared" si="43"/>
        <v>18046.829099888804</v>
      </c>
      <c r="BJ47" s="1">
        <f t="shared" si="41"/>
        <v>0</v>
      </c>
      <c r="BK47" s="1">
        <f t="shared" si="44"/>
        <v>3.292461381130489E-5</v>
      </c>
      <c r="BV47" s="1823">
        <v>46</v>
      </c>
      <c r="BW47" s="1119"/>
      <c r="BX47" s="57">
        <f t="shared" si="48"/>
        <v>0</v>
      </c>
      <c r="BY47" s="1">
        <f t="shared" si="2"/>
        <v>0</v>
      </c>
      <c r="BZ47" s="1">
        <v>66504.44085128211</v>
      </c>
      <c r="CA47" s="2">
        <f t="shared" si="45"/>
        <v>348936.55346541613</v>
      </c>
      <c r="CB47" s="1">
        <f t="shared" si="3"/>
        <v>4.6745632859277164E-4</v>
      </c>
      <c r="CL47" s="1823">
        <v>46</v>
      </c>
      <c r="CM47" s="1119"/>
      <c r="CN47" s="57"/>
      <c r="CP47" s="1">
        <v>0</v>
      </c>
      <c r="CQ47" s="2">
        <f t="shared" si="52"/>
        <v>0</v>
      </c>
      <c r="CR47" s="1">
        <f t="shared" si="51"/>
        <v>0</v>
      </c>
      <c r="DB47" s="1823">
        <v>48</v>
      </c>
      <c r="DE47" s="883">
        <v>82100.621577795071</v>
      </c>
      <c r="DF47" s="1">
        <f t="shared" si="24"/>
        <v>1236115.6691463965</v>
      </c>
      <c r="DG47" s="1">
        <f t="shared" si="25"/>
        <v>1.1321940749363072E-3</v>
      </c>
      <c r="DP47" s="1823">
        <v>48</v>
      </c>
      <c r="DS47" s="57"/>
      <c r="DT47" s="895">
        <v>37233.421425091736</v>
      </c>
      <c r="DU47" s="57">
        <f t="shared" si="27"/>
        <v>37233.421425091736</v>
      </c>
      <c r="DV47" s="1">
        <f t="shared" si="6"/>
        <v>0</v>
      </c>
      <c r="DW47" s="1">
        <f t="shared" si="28"/>
        <v>5.1212068936125217E-5</v>
      </c>
      <c r="DY47" s="2">
        <f t="shared" si="29"/>
        <v>37233.421425091736</v>
      </c>
      <c r="EI47" s="1823">
        <v>48</v>
      </c>
      <c r="EN47" s="2">
        <v>1881.4808531417752</v>
      </c>
      <c r="EO47" s="2">
        <f t="shared" si="7"/>
        <v>13242.553738746148</v>
      </c>
      <c r="EP47" s="2">
        <f t="shared" si="8"/>
        <v>13242.553738746148</v>
      </c>
      <c r="EQ47" s="30">
        <f t="shared" si="9"/>
        <v>0</v>
      </c>
      <c r="ER47" s="30">
        <f t="shared" si="10"/>
        <v>1.8487821686272891E-5</v>
      </c>
      <c r="ET47" s="2">
        <f t="shared" si="11"/>
        <v>13242.553738746148</v>
      </c>
      <c r="FF47" s="1823">
        <v>48</v>
      </c>
      <c r="FI47" s="1">
        <v>1</v>
      </c>
      <c r="FJ47" s="2">
        <f t="shared" si="4"/>
        <v>50.472638753651417</v>
      </c>
      <c r="FK47" s="2">
        <v>1762.3794806862602</v>
      </c>
      <c r="FL47" s="2">
        <f t="shared" si="5"/>
        <v>7418.0791987953371</v>
      </c>
      <c r="FM47" s="2">
        <f t="shared" si="12"/>
        <v>7468.5518375489883</v>
      </c>
      <c r="FN47" s="30">
        <f t="shared" si="13"/>
        <v>0</v>
      </c>
      <c r="FO47" s="30">
        <f t="shared" si="14"/>
        <v>1.1019394342776223E-5</v>
      </c>
      <c r="FQ47" s="2">
        <f t="shared" si="15"/>
        <v>7468.5518375489883</v>
      </c>
      <c r="GB47" s="1823">
        <v>48</v>
      </c>
      <c r="GI47" s="2">
        <f t="shared" si="31"/>
        <v>0</v>
      </c>
      <c r="HC47" s="1963">
        <v>48</v>
      </c>
      <c r="HJ47" s="2">
        <f t="shared" si="57"/>
        <v>0</v>
      </c>
    </row>
    <row r="48" spans="1:222" ht="14.4" thickTop="1" thickBot="1">
      <c r="A48" s="110">
        <v>49</v>
      </c>
      <c r="B48" s="1154">
        <v>4</v>
      </c>
      <c r="C48" s="2"/>
      <c r="D48" s="2">
        <v>4</v>
      </c>
      <c r="E48" s="2">
        <v>310862.96296296298</v>
      </c>
      <c r="F48">
        <v>1</v>
      </c>
      <c r="G48" s="2">
        <v>6970</v>
      </c>
      <c r="H48" s="74"/>
      <c r="I48" s="2">
        <v>0</v>
      </c>
      <c r="J48" s="2">
        <v>310863.96296296298</v>
      </c>
      <c r="K48" s="2">
        <v>0</v>
      </c>
      <c r="L48" s="1">
        <v>7.0064834664720389E-4</v>
      </c>
      <c r="M48" s="1">
        <v>0</v>
      </c>
      <c r="W48" s="191" t="s">
        <v>375</v>
      </c>
      <c r="X48" s="393">
        <v>14823</v>
      </c>
      <c r="Y48" s="57">
        <f t="shared" si="0"/>
        <v>39646</v>
      </c>
      <c r="Z48" s="393">
        <v>20053</v>
      </c>
      <c r="AA48" s="2">
        <v>136110</v>
      </c>
      <c r="AB48" s="2">
        <f t="shared" si="50"/>
        <v>166700</v>
      </c>
      <c r="AO48" s="438">
        <v>47</v>
      </c>
      <c r="AP48" s="1147"/>
      <c r="AQ48" s="1821">
        <v>0</v>
      </c>
      <c r="AR48" s="1146">
        <v>68691.631086737878</v>
      </c>
      <c r="AS48" s="57">
        <f t="shared" si="37"/>
        <v>457654.90622500022</v>
      </c>
      <c r="AT48" s="1">
        <f t="shared" si="38"/>
        <v>0</v>
      </c>
      <c r="AU48" s="1">
        <f t="shared" si="1"/>
        <v>8.7747186874633475E-4</v>
      </c>
      <c r="BE48" s="438">
        <v>47</v>
      </c>
      <c r="BF48" s="1147"/>
      <c r="BG48" s="1821"/>
      <c r="BH48" s="1146">
        <v>0</v>
      </c>
      <c r="BI48" s="57">
        <f t="shared" si="43"/>
        <v>0</v>
      </c>
      <c r="BJ48" s="1">
        <f t="shared" si="41"/>
        <v>0</v>
      </c>
      <c r="BK48" s="1">
        <f t="shared" si="44"/>
        <v>0</v>
      </c>
      <c r="BV48" s="1823">
        <v>47</v>
      </c>
      <c r="BW48" s="1119"/>
      <c r="BX48" s="57">
        <f t="shared" si="48"/>
        <v>0</v>
      </c>
      <c r="BY48" s="1">
        <f t="shared" si="2"/>
        <v>0</v>
      </c>
      <c r="BZ48" s="1">
        <v>39262.990144213712</v>
      </c>
      <c r="CA48" s="2">
        <f t="shared" si="45"/>
        <v>206005.67848251315</v>
      </c>
      <c r="CB48" s="1">
        <f t="shared" si="3"/>
        <v>2.7597755860290775E-4</v>
      </c>
      <c r="CL48" s="1823">
        <v>47</v>
      </c>
      <c r="CM48" s="1119"/>
      <c r="CN48" s="57"/>
      <c r="CP48" s="1">
        <v>1820.8470606025537</v>
      </c>
      <c r="CQ48" s="2">
        <f t="shared" si="52"/>
        <v>49610.814869880698</v>
      </c>
      <c r="CR48" s="1">
        <f t="shared" si="51"/>
        <v>6.3875500884637363E-5</v>
      </c>
      <c r="DB48" s="1823">
        <v>49</v>
      </c>
      <c r="DE48" s="883">
        <v>43997.024867420907</v>
      </c>
      <c r="DF48" s="1">
        <f t="shared" si="24"/>
        <v>662423.87437845801</v>
      </c>
      <c r="DG48" s="1">
        <f t="shared" si="25"/>
        <v>6.0673317585687781E-4</v>
      </c>
      <c r="DP48" s="1823">
        <v>49</v>
      </c>
      <c r="DS48" s="57"/>
      <c r="DT48" s="895">
        <v>18458.319657674539</v>
      </c>
      <c r="DU48" s="57">
        <f t="shared" si="27"/>
        <v>18458.319657674539</v>
      </c>
      <c r="DV48" s="1">
        <f t="shared" si="6"/>
        <v>0</v>
      </c>
      <c r="DW48" s="1">
        <f t="shared" si="28"/>
        <v>2.5388178216596294E-5</v>
      </c>
      <c r="DY48" s="2">
        <f t="shared" si="29"/>
        <v>18458.319657674539</v>
      </c>
      <c r="EI48" s="1823">
        <v>49</v>
      </c>
      <c r="EN48" s="2">
        <v>4672.0841954582902</v>
      </c>
      <c r="EO48" s="2">
        <f t="shared" si="7"/>
        <v>32883.84568303702</v>
      </c>
      <c r="EP48" s="2">
        <f t="shared" si="8"/>
        <v>32883.84568303702</v>
      </c>
      <c r="EQ48" s="30">
        <f t="shared" si="9"/>
        <v>0</v>
      </c>
      <c r="ER48" s="30">
        <f>EP48/$EP$56</f>
        <v>4.5908869795114454E-5</v>
      </c>
      <c r="ET48" s="2">
        <f t="shared" si="11"/>
        <v>32883.84568303702</v>
      </c>
      <c r="FF48" s="1823">
        <v>49</v>
      </c>
      <c r="FK48" s="2">
        <v>4672.0841954582902</v>
      </c>
      <c r="FL48" s="2">
        <f t="shared" si="5"/>
        <v>19665.396110861442</v>
      </c>
      <c r="FM48" s="2">
        <f t="shared" si="12"/>
        <v>19665.396110861442</v>
      </c>
      <c r="FN48" s="30">
        <f t="shared" si="13"/>
        <v>0</v>
      </c>
      <c r="FO48" s="30">
        <f t="shared" si="14"/>
        <v>2.9015096817430198E-5</v>
      </c>
      <c r="FQ48" s="2">
        <f t="shared" si="15"/>
        <v>19665.396110861442</v>
      </c>
      <c r="GB48" s="1823">
        <v>49</v>
      </c>
      <c r="HC48" s="1963">
        <v>49</v>
      </c>
    </row>
    <row r="49" spans="1:222" ht="14.4" thickTop="1" thickBot="1">
      <c r="A49" s="110">
        <v>50</v>
      </c>
      <c r="B49" s="1154">
        <v>2</v>
      </c>
      <c r="C49" s="2"/>
      <c r="D49" s="2">
        <v>2</v>
      </c>
      <c r="E49" s="2">
        <v>155431.48148148149</v>
      </c>
      <c r="F49">
        <v>4</v>
      </c>
      <c r="G49" s="2">
        <v>27880</v>
      </c>
      <c r="H49" s="74"/>
      <c r="I49" s="2">
        <v>0</v>
      </c>
      <c r="J49" s="2">
        <v>155435.48148148149</v>
      </c>
      <c r="K49" s="2">
        <v>0</v>
      </c>
      <c r="L49" s="1">
        <v>3.5033206188421186E-4</v>
      </c>
      <c r="M49" s="1">
        <v>0</v>
      </c>
      <c r="W49" s="191" t="s">
        <v>444</v>
      </c>
      <c r="X49" s="393">
        <v>14823</v>
      </c>
      <c r="Y49" s="393"/>
      <c r="Z49" s="393">
        <v>136110</v>
      </c>
      <c r="AA49" s="2">
        <v>166700</v>
      </c>
      <c r="AO49" s="438">
        <v>48</v>
      </c>
      <c r="AP49" s="1147"/>
      <c r="AQ49" s="1821">
        <v>0</v>
      </c>
      <c r="AR49" s="1146">
        <v>54795.466633917167</v>
      </c>
      <c r="AS49" s="57">
        <f t="shared" si="37"/>
        <v>365072.33482685668</v>
      </c>
      <c r="AT49" s="1">
        <f t="shared" si="38"/>
        <v>0</v>
      </c>
      <c r="AU49" s="1">
        <f t="shared" si="1"/>
        <v>6.9996125794971403E-4</v>
      </c>
      <c r="BE49" s="438">
        <v>48</v>
      </c>
      <c r="BF49" s="1147"/>
      <c r="BG49" s="1821"/>
      <c r="BH49" s="1146">
        <v>20928.065700506915</v>
      </c>
      <c r="BI49" s="57">
        <f t="shared" si="43"/>
        <v>278319.11243491259</v>
      </c>
      <c r="BJ49" s="1">
        <f t="shared" si="41"/>
        <v>0</v>
      </c>
      <c r="BK49" s="1">
        <f t="shared" si="44"/>
        <v>5.0776506180141661E-4</v>
      </c>
      <c r="BV49" s="1823">
        <v>48</v>
      </c>
      <c r="BW49" s="1119"/>
      <c r="BX49" s="57">
        <f t="shared" si="48"/>
        <v>0</v>
      </c>
      <c r="BY49" s="1">
        <f t="shared" si="2"/>
        <v>0</v>
      </c>
      <c r="BZ49" s="1">
        <v>43066.936146279011</v>
      </c>
      <c r="CA49" s="2">
        <f t="shared" si="45"/>
        <v>225964.28260787396</v>
      </c>
      <c r="CB49" s="1">
        <f t="shared" si="3"/>
        <v>3.0271530136909348E-4</v>
      </c>
      <c r="CL49" s="1823">
        <v>48</v>
      </c>
      <c r="CM49" s="1119"/>
      <c r="CN49" s="57"/>
      <c r="CP49" s="1">
        <v>2</v>
      </c>
      <c r="CQ49" s="2">
        <f t="shared" si="52"/>
        <v>54.492017416842813</v>
      </c>
      <c r="CR49" s="1">
        <f t="shared" si="51"/>
        <v>7.0160204299091119E-8</v>
      </c>
      <c r="CV49" s="1" t="s">
        <v>18</v>
      </c>
      <c r="DB49" s="1823">
        <v>50</v>
      </c>
      <c r="DE49" s="884">
        <v>20846.807454200582</v>
      </c>
      <c r="DF49" s="1">
        <f t="shared" si="24"/>
        <v>313871.74482470343</v>
      </c>
      <c r="DG49" s="1">
        <f t="shared" si="25"/>
        <v>2.8748420447242398E-4</v>
      </c>
      <c r="DP49" s="1823">
        <v>50</v>
      </c>
      <c r="DT49" s="895">
        <v>14466.716851182131</v>
      </c>
      <c r="DU49" s="57">
        <f t="shared" si="27"/>
        <v>14466.716851182131</v>
      </c>
      <c r="DV49" s="1">
        <f t="shared" si="6"/>
        <v>0</v>
      </c>
      <c r="DW49" s="1">
        <f t="shared" si="28"/>
        <v>1.9897996807858982E-5</v>
      </c>
      <c r="DY49" s="2">
        <f t="shared" si="29"/>
        <v>14466.716851182131</v>
      </c>
      <c r="EI49" s="1823">
        <v>50</v>
      </c>
      <c r="EN49" s="2">
        <v>119.09011547440474</v>
      </c>
      <c r="EO49" s="2">
        <f t="shared" si="7"/>
        <v>838.20000149874136</v>
      </c>
      <c r="EP49" s="2">
        <f t="shared" si="8"/>
        <v>838.20000149874136</v>
      </c>
      <c r="EQ49" s="30">
        <f t="shared" si="9"/>
        <v>0</v>
      </c>
      <c r="ER49" s="30">
        <f t="shared" si="10"/>
        <v>1.1702042121831451E-6</v>
      </c>
      <c r="ET49" s="2">
        <f t="shared" si="11"/>
        <v>838.20000149874136</v>
      </c>
      <c r="FF49" s="1823">
        <v>50</v>
      </c>
      <c r="FK49" s="2">
        <v>119.09011547440474</v>
      </c>
      <c r="FL49" s="2">
        <f t="shared" si="5"/>
        <v>501.26543009841328</v>
      </c>
      <c r="FM49" s="2">
        <f t="shared" si="12"/>
        <v>501.26543009841328</v>
      </c>
      <c r="FN49" s="30">
        <f t="shared" si="13"/>
        <v>0</v>
      </c>
      <c r="FO49" s="30">
        <f t="shared" si="14"/>
        <v>7.3958667822120672E-7</v>
      </c>
      <c r="FQ49" s="2">
        <f t="shared" si="15"/>
        <v>501.26543009841328</v>
      </c>
      <c r="GB49" s="1823">
        <v>50</v>
      </c>
      <c r="HC49" s="1963">
        <v>50</v>
      </c>
    </row>
    <row r="50" spans="1:222" ht="14.4" thickTop="1" thickBot="1">
      <c r="A50" s="111" t="s">
        <v>45</v>
      </c>
      <c r="B50">
        <v>5197</v>
      </c>
      <c r="C50" s="2"/>
      <c r="D50" s="1">
        <v>5197</v>
      </c>
      <c r="E50" s="2">
        <v>403888704.62962985</v>
      </c>
      <c r="F50" s="2">
        <v>5709</v>
      </c>
      <c r="G50" s="2">
        <v>39791730</v>
      </c>
      <c r="H50" s="74">
        <v>194384134.37223524</v>
      </c>
      <c r="I50" s="2">
        <v>262122234.74253017</v>
      </c>
      <c r="J50" s="2">
        <v>443680434.62962985</v>
      </c>
      <c r="K50" s="2">
        <v>262122234.74253017</v>
      </c>
      <c r="L50" s="1">
        <v>1</v>
      </c>
      <c r="M50" s="1">
        <v>1</v>
      </c>
      <c r="W50" s="1" t="s">
        <v>445</v>
      </c>
      <c r="X50" s="393">
        <v>39646</v>
      </c>
      <c r="Y50"/>
      <c r="Z50">
        <f>Z49/Z48</f>
        <v>6.7875130903106768</v>
      </c>
      <c r="AA50" s="2">
        <f>AA49/AA48</f>
        <v>1.2247446917934024</v>
      </c>
      <c r="AO50" s="438">
        <v>49</v>
      </c>
      <c r="AP50" s="1147"/>
      <c r="AQ50" s="1821">
        <v>0</v>
      </c>
      <c r="AR50" s="1146">
        <v>16002.717201390918</v>
      </c>
      <c r="AS50" s="57">
        <f t="shared" si="37"/>
        <v>106617.38445109846</v>
      </c>
      <c r="AT50" s="1">
        <f t="shared" si="38"/>
        <v>0</v>
      </c>
      <c r="AU50" s="1">
        <f t="shared" si="1"/>
        <v>2.0441986812036331E-4</v>
      </c>
      <c r="BE50" s="438">
        <v>49</v>
      </c>
      <c r="BF50" s="1147"/>
      <c r="BG50" s="1821"/>
      <c r="BH50" s="1146"/>
      <c r="BI50" s="57"/>
      <c r="BK50" s="1">
        <f t="shared" si="44"/>
        <v>0</v>
      </c>
      <c r="BV50" s="1823">
        <v>49</v>
      </c>
      <c r="BW50" s="1119"/>
      <c r="BX50" s="57">
        <f t="shared" si="48"/>
        <v>0</v>
      </c>
      <c r="BY50" s="1">
        <f t="shared" si="2"/>
        <v>0</v>
      </c>
      <c r="BZ50" s="1">
        <v>3961.1271552073745</v>
      </c>
      <c r="CA50" s="2">
        <f t="shared" si="45"/>
        <v>20783.304688888056</v>
      </c>
      <c r="CB50" s="1">
        <f t="shared" si="3"/>
        <v>2.784256108856033E-5</v>
      </c>
      <c r="CL50" s="1823">
        <v>49</v>
      </c>
      <c r="CM50" s="1119"/>
      <c r="CN50" s="57"/>
      <c r="CP50" s="1">
        <v>1</v>
      </c>
      <c r="CQ50" s="2">
        <f t="shared" si="52"/>
        <v>27.246008708421407</v>
      </c>
      <c r="CR50" s="1">
        <f t="shared" si="51"/>
        <v>3.5080102149545559E-8</v>
      </c>
      <c r="DE50" s="884">
        <v>747.25028353323887</v>
      </c>
      <c r="DF50" s="1">
        <f t="shared" si="24"/>
        <v>11250.679550267188</v>
      </c>
      <c r="DG50" s="1">
        <f t="shared" si="25"/>
        <v>1.0304822634127615E-5</v>
      </c>
      <c r="DP50" s="1">
        <v>51</v>
      </c>
      <c r="DT50" s="895">
        <v>1307.7833283340126</v>
      </c>
      <c r="DU50" s="57">
        <f t="shared" si="27"/>
        <v>1307.7833283340126</v>
      </c>
      <c r="DV50" s="1">
        <f t="shared" si="6"/>
        <v>0</v>
      </c>
      <c r="DW50" s="1">
        <f t="shared" si="28"/>
        <v>1.7987680798795063E-6</v>
      </c>
      <c r="DY50" s="2">
        <f t="shared" si="29"/>
        <v>1307.7833283340126</v>
      </c>
      <c r="EI50" s="1">
        <v>51</v>
      </c>
      <c r="EN50" s="2" t="s">
        <v>18</v>
      </c>
      <c r="EO50" s="2"/>
      <c r="FF50" s="1">
        <v>51</v>
      </c>
      <c r="FK50" s="2"/>
      <c r="FN50" s="30"/>
      <c r="FQ50" s="2">
        <f t="shared" si="15"/>
        <v>0</v>
      </c>
      <c r="GB50" s="1">
        <v>51</v>
      </c>
      <c r="HC50" s="1">
        <v>51</v>
      </c>
    </row>
    <row r="51" spans="1:222" ht="16.8" thickTop="1" thickBot="1">
      <c r="A51" s="113" t="s">
        <v>446</v>
      </c>
      <c r="B51" s="133">
        <v>1.08</v>
      </c>
      <c r="C51" s="2"/>
      <c r="D51" s="1">
        <v>1.08</v>
      </c>
      <c r="E51" s="32">
        <v>83933</v>
      </c>
      <c r="F51" s="32">
        <v>1.7</v>
      </c>
      <c r="G51" s="21">
        <v>11849</v>
      </c>
      <c r="H51" s="130">
        <v>32272</v>
      </c>
      <c r="I51" s="2">
        <v>43518</v>
      </c>
      <c r="J51" s="2">
        <v>95782</v>
      </c>
      <c r="K51" s="2">
        <v>43518</v>
      </c>
      <c r="X51" s="1">
        <f>X50/X49</f>
        <v>2.6746272684341901</v>
      </c>
      <c r="AO51" s="438">
        <v>50</v>
      </c>
      <c r="AP51" s="1147"/>
      <c r="AQ51" s="1821">
        <v>0</v>
      </c>
      <c r="AR51" s="1146">
        <v>20108.027364351296</v>
      </c>
      <c r="AS51" s="57">
        <f t="shared" si="37"/>
        <v>133968.82898561191</v>
      </c>
      <c r="AT51" s="1">
        <f t="shared" si="38"/>
        <v>0</v>
      </c>
      <c r="AU51" s="1">
        <f t="shared" si="1"/>
        <v>2.5686139736469718E-4</v>
      </c>
      <c r="BE51" s="438">
        <v>50</v>
      </c>
      <c r="BF51" s="1147"/>
      <c r="BG51" s="1821"/>
      <c r="BH51" s="1146"/>
      <c r="BI51" s="57"/>
      <c r="BK51" s="1">
        <f t="shared" si="44"/>
        <v>0</v>
      </c>
      <c r="BV51" s="1823">
        <v>50</v>
      </c>
      <c r="BW51" s="1119"/>
      <c r="BX51" s="57">
        <f t="shared" si="48"/>
        <v>0</v>
      </c>
      <c r="BY51" s="1">
        <f t="shared" si="2"/>
        <v>0</v>
      </c>
      <c r="BZ51" s="1">
        <v>3961.127155207374</v>
      </c>
      <c r="CA51" s="2">
        <f t="shared" si="45"/>
        <v>20783.304688888053</v>
      </c>
      <c r="CB51" s="1">
        <f t="shared" si="3"/>
        <v>2.7842561088560327E-5</v>
      </c>
      <c r="CL51" s="1823">
        <v>50</v>
      </c>
      <c r="CM51" s="1119"/>
      <c r="CN51" s="57"/>
      <c r="CP51" s="1">
        <v>0</v>
      </c>
      <c r="CQ51" s="2">
        <f t="shared" si="52"/>
        <v>0</v>
      </c>
      <c r="CR51" s="1">
        <f t="shared" si="51"/>
        <v>0</v>
      </c>
      <c r="DP51" s="1">
        <v>52</v>
      </c>
      <c r="DT51" s="895">
        <v>665.2768438837652</v>
      </c>
      <c r="DU51" s="57">
        <f t="shared" si="27"/>
        <v>665.2768438837652</v>
      </c>
      <c r="DV51" s="1">
        <f t="shared" si="6"/>
        <v>0</v>
      </c>
      <c r="DW51" s="1">
        <f t="shared" si="28"/>
        <v>9.1504358951077121E-7</v>
      </c>
      <c r="DY51" s="2">
        <f t="shared" si="29"/>
        <v>665.2768438837652</v>
      </c>
      <c r="EI51" s="1">
        <v>52</v>
      </c>
      <c r="EN51" s="2" t="s">
        <v>18</v>
      </c>
      <c r="EO51" s="2"/>
      <c r="FF51" s="1">
        <v>52</v>
      </c>
      <c r="FK51" s="2"/>
      <c r="FN51" s="30"/>
      <c r="FQ51" s="2"/>
    </row>
    <row r="52" spans="1:222" ht="15" thickTop="1" thickBot="1">
      <c r="F52" s="31"/>
      <c r="I52" s="32"/>
      <c r="K52" s="1">
        <v>72</v>
      </c>
      <c r="AO52" s="438">
        <v>51</v>
      </c>
      <c r="AP52" s="1147"/>
      <c r="AQ52" s="1821">
        <v>0</v>
      </c>
      <c r="AR52" s="1146">
        <v>8809.1802683095339</v>
      </c>
      <c r="AS52" s="57">
        <f t="shared" si="37"/>
        <v>58690.767795593747</v>
      </c>
      <c r="AT52" s="1">
        <f t="shared" si="38"/>
        <v>0</v>
      </c>
      <c r="AU52" s="1">
        <f t="shared" si="1"/>
        <v>1.1252910652822276E-4</v>
      </c>
      <c r="BE52" s="438">
        <v>51</v>
      </c>
      <c r="BF52" s="1147"/>
      <c r="BG52" s="1821"/>
      <c r="BH52" s="1146"/>
      <c r="BI52" s="57"/>
      <c r="BK52" s="1">
        <f t="shared" si="44"/>
        <v>0</v>
      </c>
      <c r="BV52" s="1818" t="s">
        <v>372</v>
      </c>
      <c r="BW52" s="1822">
        <v>45116644.402211159</v>
      </c>
      <c r="BX52" s="57">
        <f t="shared" si="48"/>
        <v>52121392.471526548</v>
      </c>
      <c r="BY52" s="1">
        <f t="shared" si="2"/>
        <v>1</v>
      </c>
      <c r="BZ52" s="1">
        <v>142268778.4578439</v>
      </c>
      <c r="CA52" s="2">
        <f t="shared" si="45"/>
        <v>746458079.87208796</v>
      </c>
      <c r="CB52" s="1">
        <f t="shared" si="3"/>
        <v>1</v>
      </c>
      <c r="CL52" s="1818" t="s">
        <v>372</v>
      </c>
      <c r="CM52" s="1822">
        <v>570176.48395846155</v>
      </c>
      <c r="CN52" s="6">
        <f>SUM(CN8:CN51)</f>
        <v>1290180.3651614822</v>
      </c>
      <c r="CO52" s="6">
        <f>CN52/$BX$52</f>
        <v>2.475337484251397E-2</v>
      </c>
      <c r="CP52" s="6">
        <f>SUM(CP8:CP51)</f>
        <v>28506188.372457583</v>
      </c>
      <c r="CQ52" s="13">
        <f>SUM(CQ8:CQ51)</f>
        <v>776679856.63988042</v>
      </c>
      <c r="CR52" s="13">
        <f>SUM(CR8:CR51)</f>
        <v>1</v>
      </c>
      <c r="DE52" s="13">
        <f>SUM(DE8:DE51)</f>
        <v>72514618.646466359</v>
      </c>
      <c r="DF52" s="13">
        <f>SUM(DF8:DF51)</f>
        <v>1091787791.9613171</v>
      </c>
      <c r="DG52" s="13">
        <f>SUM(DG8:DG51)</f>
        <v>1.0000000000000004</v>
      </c>
      <c r="DP52" s="1">
        <v>53</v>
      </c>
      <c r="DT52" s="895">
        <v>2700.5806296198634</v>
      </c>
      <c r="DU52" s="57">
        <f t="shared" si="27"/>
        <v>2700.5806296198634</v>
      </c>
      <c r="DV52" s="1">
        <f t="shared" si="6"/>
        <v>0</v>
      </c>
      <c r="DW52" s="1">
        <f t="shared" si="28"/>
        <v>3.7144671662769746E-6</v>
      </c>
      <c r="DY52" s="2">
        <f t="shared" si="29"/>
        <v>2700.5806296198634</v>
      </c>
      <c r="EI52" s="1">
        <v>53</v>
      </c>
      <c r="FF52" s="1">
        <v>53</v>
      </c>
      <c r="FI52" s="1">
        <v>0</v>
      </c>
      <c r="FK52" s="2"/>
      <c r="FQ52" s="2"/>
    </row>
    <row r="53" spans="1:222" ht="15" thickTop="1" thickBot="1">
      <c r="A53" s="1" t="s">
        <v>447</v>
      </c>
      <c r="D53" s="32">
        <v>83933</v>
      </c>
      <c r="E53" s="132">
        <v>207.81219934577629</v>
      </c>
      <c r="F53" s="1">
        <v>11849</v>
      </c>
      <c r="H53" s="13">
        <v>43518</v>
      </c>
      <c r="AO53" s="438">
        <v>52</v>
      </c>
      <c r="AP53" s="1147"/>
      <c r="AQ53" s="1821">
        <v>0</v>
      </c>
      <c r="AR53" s="1146">
        <v>3061.1674444793462</v>
      </c>
      <c r="AS53" s="57">
        <f t="shared" si="37"/>
        <v>20394.890579511921</v>
      </c>
      <c r="AT53" s="1">
        <f t="shared" si="38"/>
        <v>0</v>
      </c>
      <c r="AU53" s="1">
        <f t="shared" si="1"/>
        <v>3.9103574562976564E-5</v>
      </c>
      <c r="BE53" s="438">
        <v>52</v>
      </c>
      <c r="BF53" s="1147"/>
      <c r="BG53" s="1821"/>
      <c r="BH53" s="1146"/>
      <c r="BI53" s="57"/>
      <c r="BK53" s="1">
        <f t="shared" si="44"/>
        <v>0</v>
      </c>
      <c r="BV53" s="1818" t="s">
        <v>375</v>
      </c>
      <c r="BW53" s="1825">
        <v>8364</v>
      </c>
      <c r="BX53" s="57">
        <f t="shared" si="48"/>
        <v>9662.5831200000011</v>
      </c>
      <c r="BY53" s="57"/>
      <c r="BZ53" s="1">
        <v>32003</v>
      </c>
      <c r="CA53" s="2">
        <f t="shared" si="45"/>
        <v>167913.84722000003</v>
      </c>
      <c r="CL53" s="1818" t="s">
        <v>375</v>
      </c>
      <c r="CM53" s="1822">
        <v>137</v>
      </c>
      <c r="CN53" s="380">
        <v>310</v>
      </c>
      <c r="CO53" s="380"/>
      <c r="CP53" s="6">
        <v>8989</v>
      </c>
      <c r="CQ53" s="664">
        <v>244914.37228000001</v>
      </c>
      <c r="CR53" s="6"/>
      <c r="CS53" s="2" t="s">
        <v>18</v>
      </c>
      <c r="DE53" s="1">
        <v>15041</v>
      </c>
      <c r="DF53" s="92">
        <v>226458.89181257371</v>
      </c>
      <c r="DP53" s="1">
        <v>54</v>
      </c>
      <c r="DT53" s="895">
        <v>0</v>
      </c>
      <c r="DU53" s="57">
        <f t="shared" si="27"/>
        <v>0</v>
      </c>
      <c r="DV53" s="1">
        <f t="shared" si="6"/>
        <v>0</v>
      </c>
      <c r="DW53" s="1">
        <f t="shared" si="28"/>
        <v>0</v>
      </c>
      <c r="DY53" s="2">
        <f t="shared" si="29"/>
        <v>0</v>
      </c>
      <c r="EI53" s="1">
        <v>54</v>
      </c>
      <c r="FF53" s="1">
        <v>54</v>
      </c>
      <c r="FK53" s="2"/>
      <c r="FQ53" s="2"/>
    </row>
    <row r="54" spans="1:222" ht="13.8" thickBot="1">
      <c r="D54" s="2">
        <v>403888704.62962961</v>
      </c>
      <c r="E54" s="2"/>
      <c r="F54" s="2">
        <v>39791730</v>
      </c>
      <c r="H54" s="2">
        <v>262122234.74253017</v>
      </c>
      <c r="I54" s="1">
        <v>166.02178003993288</v>
      </c>
      <c r="AO54" s="438">
        <v>53</v>
      </c>
      <c r="AP54" s="1147"/>
      <c r="AQ54" s="1821">
        <v>0</v>
      </c>
      <c r="AR54" s="1146">
        <v>0</v>
      </c>
      <c r="AS54" s="57">
        <f t="shared" si="37"/>
        <v>0</v>
      </c>
      <c r="AT54" s="1">
        <f t="shared" si="38"/>
        <v>0</v>
      </c>
      <c r="AU54" s="1">
        <f t="shared" si="1"/>
        <v>0</v>
      </c>
      <c r="BE54" s="438">
        <v>53</v>
      </c>
      <c r="BF54" s="1147"/>
      <c r="BG54" s="1821"/>
      <c r="BH54" s="1146"/>
      <c r="BI54" s="57"/>
      <c r="BK54" s="1">
        <f t="shared" si="44"/>
        <v>0</v>
      </c>
      <c r="BW54" s="2">
        <v>9662.5831200000011</v>
      </c>
      <c r="BZ54" s="2">
        <v>167913.84722000003</v>
      </c>
      <c r="CL54" s="6" t="s">
        <v>448</v>
      </c>
      <c r="CM54" s="686">
        <f>CM53*1000/CM52</f>
        <v>0.24027648255304179</v>
      </c>
      <c r="CN54" s="686">
        <f>CN53*1000/CN52</f>
        <v>0.24027648255304182</v>
      </c>
      <c r="CO54" s="686">
        <f>CO53*1000/CO52</f>
        <v>0</v>
      </c>
      <c r="CP54" s="686">
        <f>CP53*1000/CP52</f>
        <v>0.31533503822226505</v>
      </c>
      <c r="CQ54" s="686">
        <f>CQ53*1000/CQ52</f>
        <v>0.315335038222265</v>
      </c>
      <c r="CR54" s="6"/>
      <c r="DD54" s="1" t="s">
        <v>394</v>
      </c>
      <c r="DE54" s="1">
        <f>DF53/DE53</f>
        <v>15.056106097505067</v>
      </c>
      <c r="DP54" s="1">
        <v>55</v>
      </c>
      <c r="DT54" s="895">
        <v>0</v>
      </c>
      <c r="DU54" s="57">
        <f t="shared" si="27"/>
        <v>0</v>
      </c>
      <c r="DV54" s="1">
        <f t="shared" si="6"/>
        <v>0</v>
      </c>
      <c r="DW54" s="1">
        <f t="shared" si="28"/>
        <v>0</v>
      </c>
      <c r="DY54" s="2">
        <f t="shared" si="29"/>
        <v>0</v>
      </c>
      <c r="EI54" s="1">
        <v>55</v>
      </c>
      <c r="FF54" s="1">
        <v>55</v>
      </c>
      <c r="FK54" s="2"/>
      <c r="FQ54" s="2"/>
    </row>
    <row r="55" spans="1:222" ht="14.4" thickTop="1" thickBot="1">
      <c r="AO55" s="438">
        <v>54</v>
      </c>
      <c r="AP55" s="1147"/>
      <c r="AQ55" s="1821">
        <v>0</v>
      </c>
      <c r="AR55" s="1146">
        <v>2409.9594866231519</v>
      </c>
      <c r="AS55" s="57">
        <f t="shared" si="37"/>
        <v>16056.246815043356</v>
      </c>
      <c r="AT55" s="1">
        <f t="shared" si="38"/>
        <v>0</v>
      </c>
      <c r="AU55" s="1">
        <f t="shared" si="1"/>
        <v>3.0784996962147388E-5</v>
      </c>
      <c r="BE55" s="438">
        <v>54</v>
      </c>
      <c r="BF55" s="1147"/>
      <c r="BG55" s="1821"/>
      <c r="BH55" s="1146"/>
      <c r="BI55" s="57"/>
      <c r="BK55" s="1">
        <f t="shared" si="44"/>
        <v>0</v>
      </c>
      <c r="BW55" s="1">
        <f>BW54/BW53</f>
        <v>1.1552586226685797</v>
      </c>
      <c r="BZ55" s="1">
        <f>BZ54/BZ53</f>
        <v>5.2468158366403159</v>
      </c>
      <c r="CL55" s="1" t="s">
        <v>449</v>
      </c>
      <c r="CM55" s="1">
        <f>CN53/CM53</f>
        <v>2.2627737226277373</v>
      </c>
      <c r="CP55" s="1">
        <f>CQ53/CP53</f>
        <v>27.246008708421407</v>
      </c>
      <c r="DP55" s="1">
        <v>56</v>
      </c>
      <c r="DT55" s="895">
        <v>2700.5806296198634</v>
      </c>
      <c r="DU55" s="57">
        <f t="shared" si="27"/>
        <v>2700.5806296198634</v>
      </c>
      <c r="DV55" s="1">
        <f t="shared" si="6"/>
        <v>0</v>
      </c>
      <c r="DW55" s="1">
        <f t="shared" si="28"/>
        <v>3.7144671662769746E-6</v>
      </c>
      <c r="DY55" s="2">
        <f t="shared" si="29"/>
        <v>2700.5806296198634</v>
      </c>
      <c r="EI55" s="1">
        <v>56</v>
      </c>
      <c r="FF55" s="1">
        <v>56</v>
      </c>
      <c r="FK55" s="2"/>
      <c r="FQ55" s="2"/>
    </row>
    <row r="56" spans="1:222" ht="14.4" thickTop="1" thickBot="1">
      <c r="B56" s="1" t="s">
        <v>450</v>
      </c>
      <c r="D56" s="2">
        <v>77715.740740740745</v>
      </c>
      <c r="E56" s="2"/>
      <c r="F56" s="2">
        <v>6970</v>
      </c>
      <c r="H56" s="30">
        <v>1.3484754586018841</v>
      </c>
      <c r="AO56" s="438">
        <v>55</v>
      </c>
      <c r="AP56" s="1147"/>
      <c r="AQ56" s="1821">
        <v>0</v>
      </c>
      <c r="AR56" s="1146">
        <v>1204.9797433115759</v>
      </c>
      <c r="AS56" s="57">
        <f t="shared" si="37"/>
        <v>8028.123407521678</v>
      </c>
      <c r="AT56" s="1">
        <f t="shared" si="38"/>
        <v>0</v>
      </c>
      <c r="AU56" s="1">
        <f t="shared" si="1"/>
        <v>1.5392498481073694E-5</v>
      </c>
      <c r="BE56" s="438">
        <v>55</v>
      </c>
      <c r="BF56" s="1147"/>
      <c r="BG56" s="1821"/>
      <c r="BH56" s="1146"/>
      <c r="BI56" s="57"/>
      <c r="BK56" s="1">
        <f t="shared" si="44"/>
        <v>0</v>
      </c>
      <c r="DP56" s="1818" t="s">
        <v>372</v>
      </c>
      <c r="DQ56" s="13">
        <f>SUM(DQ8:DQ51)</f>
        <v>93587820.473861635</v>
      </c>
      <c r="DR56">
        <f>SUM(DR8:DR44)</f>
        <v>6219</v>
      </c>
      <c r="DS56">
        <f>SUM(DS8:DS44)</f>
        <v>639220006.88278425</v>
      </c>
      <c r="DT56" s="13">
        <f>SUM(DT8:DT55)</f>
        <v>87823875.517895758</v>
      </c>
      <c r="DU56" s="13">
        <f>SUM(DU8:DU55)</f>
        <v>727043882.40067995</v>
      </c>
      <c r="DY56" s="2">
        <f>DQ56+DT56</f>
        <v>181411695.99175739</v>
      </c>
      <c r="EI56" s="1818" t="s">
        <v>372</v>
      </c>
      <c r="EJ56" s="1">
        <f>SUM(EJ6:EJ53)</f>
        <v>191666916.39922312</v>
      </c>
      <c r="EK56" s="1">
        <f t="shared" ref="EK56:ET56" si="59">SUM(EK6:EK53)</f>
        <v>626823056.10016429</v>
      </c>
      <c r="EL56" s="1">
        <f t="shared" si="59"/>
        <v>779</v>
      </c>
      <c r="EM56" s="1">
        <f t="shared" si="59"/>
        <v>83332551.428874344</v>
      </c>
      <c r="EN56" s="1">
        <f t="shared" si="59"/>
        <v>89928905.134166881</v>
      </c>
      <c r="EO56" s="1">
        <f t="shared" si="59"/>
        <v>632952685.60252094</v>
      </c>
      <c r="EP56" s="1">
        <f t="shared" si="59"/>
        <v>716285237.03139532</v>
      </c>
      <c r="EQ56" s="1">
        <f t="shared" si="59"/>
        <v>1</v>
      </c>
      <c r="ER56" s="1">
        <f t="shared" si="59"/>
        <v>1</v>
      </c>
      <c r="ES56" s="1">
        <f t="shared" si="59"/>
        <v>0</v>
      </c>
      <c r="ET56" s="1">
        <f t="shared" si="59"/>
        <v>1259775741.7026856</v>
      </c>
      <c r="FF56" s="1818" t="s">
        <v>372</v>
      </c>
      <c r="FG56" s="2">
        <f>SUM(FG6:FG53)</f>
        <v>89048912.751214013</v>
      </c>
      <c r="FH56" s="2">
        <f>SUM(FH6:FH53)</f>
        <v>303187348.09081566</v>
      </c>
      <c r="FI56" s="1">
        <v>6098</v>
      </c>
      <c r="FJ56" s="2">
        <f t="shared" ref="FJ56:FO56" si="60">SUM(FJ6:FJ53)</f>
        <v>307782.15111976623</v>
      </c>
      <c r="FK56" s="2">
        <f t="shared" si="60"/>
        <v>160949403.91410694</v>
      </c>
      <c r="FL56" s="1">
        <f t="shared" si="60"/>
        <v>677456494.65280533</v>
      </c>
      <c r="FM56" s="1">
        <f t="shared" si="60"/>
        <v>677764276.80392492</v>
      </c>
      <c r="FN56" s="1">
        <f t="shared" si="60"/>
        <v>1</v>
      </c>
      <c r="FO56" s="1">
        <f t="shared" si="60"/>
        <v>1</v>
      </c>
      <c r="FQ56" s="1">
        <f>SUM(FQ6:FQ53)</f>
        <v>980951624.89474046</v>
      </c>
      <c r="GB56" s="1818" t="s">
        <v>372</v>
      </c>
      <c r="GC56" s="1">
        <f t="shared" ref="GC56:GK56" si="61">SUM(GC6:GC53)</f>
        <v>138772240.74413198</v>
      </c>
      <c r="GD56" s="1">
        <f t="shared" si="61"/>
        <v>533380130.88466269</v>
      </c>
      <c r="GE56" s="1">
        <f t="shared" si="61"/>
        <v>3523</v>
      </c>
      <c r="GF56" s="1">
        <f t="shared" si="61"/>
        <v>41853.946502284802</v>
      </c>
      <c r="GG56" s="1">
        <f t="shared" si="61"/>
        <v>254330226.28055495</v>
      </c>
      <c r="GH56" s="1">
        <f t="shared" si="61"/>
        <v>2299795103.6897411</v>
      </c>
      <c r="GI56" s="1">
        <f t="shared" si="61"/>
        <v>2299836957.6362438</v>
      </c>
      <c r="GJ56" s="1">
        <f t="shared" si="61"/>
        <v>100.00000000000004</v>
      </c>
      <c r="GK56" s="1">
        <f t="shared" si="61"/>
        <v>99.999999999999986</v>
      </c>
      <c r="GL56" s="1">
        <f>SUM(GL6:GL53)</f>
        <v>0</v>
      </c>
      <c r="GM56" s="1">
        <f>SUM(GM6:GM53)</f>
        <v>2833217064.7605057</v>
      </c>
      <c r="HC56" s="1783" t="s">
        <v>372</v>
      </c>
      <c r="HD56" s="1">
        <f>SUM(HD6:HD53)</f>
        <v>97273944.152078956</v>
      </c>
      <c r="HE56" s="1">
        <f>SUM(HE6:HE53)</f>
        <v>839159871.32007086</v>
      </c>
      <c r="HF56" s="1" t="s">
        <v>18</v>
      </c>
      <c r="HG56" s="1" t="s">
        <v>18</v>
      </c>
      <c r="HH56" s="1">
        <f t="shared" ref="HH56:HL56" si="62">SUM(HH6:HH53)</f>
        <v>7761</v>
      </c>
      <c r="HI56" s="1">
        <f t="shared" si="62"/>
        <v>1646264280.9980357</v>
      </c>
      <c r="HJ56" s="1">
        <f t="shared" si="62"/>
        <v>1646264280.9980357</v>
      </c>
      <c r="HK56" s="1">
        <f t="shared" si="62"/>
        <v>157.32867100396911</v>
      </c>
      <c r="HL56" s="1">
        <f t="shared" si="62"/>
        <v>100.00000000000001</v>
      </c>
      <c r="HM56" s="1">
        <f>SUM(HM6:HM53)</f>
        <v>0</v>
      </c>
      <c r="HN56" s="1">
        <f>SUM(HN6:HN53)</f>
        <v>2485424152.3181067</v>
      </c>
    </row>
    <row r="57" spans="1:222" ht="16.8" thickTop="1" thickBot="1">
      <c r="N57" s="84" t="s">
        <v>451</v>
      </c>
      <c r="AO57" s="439" t="s">
        <v>372</v>
      </c>
      <c r="AP57" s="1821">
        <v>32431379.146628961</v>
      </c>
      <c r="AQ57" s="1821">
        <v>65924350.995401226</v>
      </c>
      <c r="AR57" s="1146">
        <v>78283570.714214772</v>
      </c>
      <c r="AS57" s="57">
        <f t="shared" si="37"/>
        <v>521560773.08650684</v>
      </c>
      <c r="AT57" s="1">
        <f t="shared" si="38"/>
        <v>1</v>
      </c>
      <c r="AU57" s="1">
        <f t="shared" si="1"/>
        <v>1</v>
      </c>
      <c r="BE57" s="439" t="s">
        <v>372</v>
      </c>
      <c r="BF57" s="1821">
        <f>SUM(BF6:BF56)</f>
        <v>92588175.071170524</v>
      </c>
      <c r="BG57" s="1821">
        <f>SUM(BG6:BG56)</f>
        <v>241724471.18135107</v>
      </c>
      <c r="BH57" s="1821">
        <f>SUM(BH6:BH56)</f>
        <v>41216041.186960861</v>
      </c>
      <c r="BI57" s="1821">
        <f>SUM(BI6:BI56)</f>
        <v>548125764.00493121</v>
      </c>
      <c r="BJ57" s="1">
        <f>SUM(BJ13:BJ56)</f>
        <v>1.0000000000000002</v>
      </c>
      <c r="BK57" s="1">
        <f>SUM(BK15:BK56)</f>
        <v>1.0000000000000002</v>
      </c>
      <c r="DP57" s="1818" t="s">
        <v>375</v>
      </c>
      <c r="DQ57" s="35">
        <v>9936</v>
      </c>
      <c r="DR57" s="148">
        <v>1.0672999999999999</v>
      </c>
      <c r="DS57" s="148">
        <v>109702.44626885279</v>
      </c>
      <c r="DT57" s="35">
        <v>15322.005297356829</v>
      </c>
      <c r="DU57" s="35">
        <v>125024.45156620961</v>
      </c>
      <c r="DY57" s="2">
        <f>DQ57+DT57</f>
        <v>25258.005297356831</v>
      </c>
      <c r="EI57" s="1818" t="s">
        <v>375</v>
      </c>
      <c r="EJ57" s="2">
        <v>13440</v>
      </c>
      <c r="EK57" s="2">
        <v>43953.865550999995</v>
      </c>
      <c r="EL57" s="1">
        <v>0.16370000000000001</v>
      </c>
      <c r="EM57" s="1">
        <v>17511.602912588874</v>
      </c>
      <c r="EN57" s="1">
        <v>15086</v>
      </c>
      <c r="EO57" s="1">
        <v>106180.81250687625</v>
      </c>
      <c r="EP57" s="1">
        <f>EM57+EO57</f>
        <v>123692.41541946512</v>
      </c>
      <c r="ET57" s="2">
        <f>EK57+EP57</f>
        <v>167646.2809704651</v>
      </c>
      <c r="FF57" s="1818" t="s">
        <v>375</v>
      </c>
      <c r="FG57" s="1">
        <v>9663</v>
      </c>
      <c r="FH57" s="30">
        <v>32899.88899456396</v>
      </c>
      <c r="FI57" s="1">
        <v>1027</v>
      </c>
      <c r="FJ57" s="1">
        <v>51835.4</v>
      </c>
      <c r="FK57" s="2">
        <v>12315</v>
      </c>
      <c r="FL57" s="1">
        <v>51835.4</v>
      </c>
      <c r="FM57" s="2">
        <f>FJ57+FL57</f>
        <v>103670.8</v>
      </c>
      <c r="FQ57" s="2">
        <f>FH57+FM57</f>
        <v>136570.68899456397</v>
      </c>
      <c r="GB57" s="1818" t="s">
        <v>375</v>
      </c>
      <c r="GC57" s="2">
        <v>19008.053800000002</v>
      </c>
      <c r="GD57" s="2">
        <v>73058.690767990847</v>
      </c>
      <c r="GE57" s="1">
        <v>277.10000000000002</v>
      </c>
      <c r="GF57" s="2">
        <v>3292.0035696233654</v>
      </c>
      <c r="GG57" s="2">
        <v>26614.332149999998</v>
      </c>
      <c r="GH57" s="2">
        <v>240661.56689934156</v>
      </c>
      <c r="GI57" s="2">
        <f>GF57+GH57</f>
        <v>243953.57046896493</v>
      </c>
      <c r="GM57" s="2">
        <f>GD57+GI57</f>
        <v>317012.26123695576</v>
      </c>
      <c r="HC57" s="1783" t="s">
        <v>375</v>
      </c>
      <c r="HD57" s="1">
        <v>10914</v>
      </c>
      <c r="HE57" s="2">
        <v>94152.559715977273</v>
      </c>
      <c r="HF57" s="1" t="s">
        <v>18</v>
      </c>
      <c r="HG57" s="2" t="s">
        <v>18</v>
      </c>
      <c r="HH57" s="2">
        <v>1.2408399999999999</v>
      </c>
      <c r="HI57" s="2">
        <v>263207.13444576768</v>
      </c>
      <c r="HJ57" s="2">
        <v>263207.13444576768</v>
      </c>
      <c r="HN57" s="2">
        <f t="shared" ref="HN57" si="63">HE57+HJ57</f>
        <v>357359.69416174496</v>
      </c>
    </row>
    <row r="58" spans="1:222" ht="14.4" thickTop="1" thickBot="1">
      <c r="AO58" s="440" t="s">
        <v>375</v>
      </c>
      <c r="AP58" s="1825">
        <v>11670</v>
      </c>
      <c r="AQ58" s="1821">
        <v>23722.000000000004</v>
      </c>
      <c r="AR58" s="1147">
        <v>28616</v>
      </c>
      <c r="AS58" s="57">
        <f t="shared" si="37"/>
        <v>190652.81446000002</v>
      </c>
      <c r="BE58" s="440" t="s">
        <v>375</v>
      </c>
      <c r="BF58" s="1826">
        <v>19386</v>
      </c>
      <c r="BG58" s="1826">
        <v>50611.977120399999</v>
      </c>
      <c r="BH58" s="1147">
        <v>13599</v>
      </c>
      <c r="BI58" s="57">
        <v>180851</v>
      </c>
      <c r="CQ58" s="1" t="s">
        <v>18</v>
      </c>
      <c r="DP58" s="6" t="s">
        <v>448</v>
      </c>
      <c r="DQ58" s="20">
        <f>DQ57*1000000/DQ56</f>
        <v>106.16766102353083</v>
      </c>
      <c r="DR58" s="20">
        <f>DR57*1000000/DR56</f>
        <v>171.6192313876829</v>
      </c>
      <c r="DS58" s="20">
        <f>DS57*1000000/DS56</f>
        <v>171.61923138768287</v>
      </c>
      <c r="DT58" s="20">
        <f>DT57*1000000/DT56</f>
        <v>174.46286908888101</v>
      </c>
      <c r="DU58" s="20">
        <f>DU57*1000000/DU56</f>
        <v>171.96273098864697</v>
      </c>
      <c r="DV58" s="20" t="s">
        <v>18</v>
      </c>
      <c r="DW58" s="20" t="s">
        <v>18</v>
      </c>
      <c r="DX58" s="20" t="s">
        <v>18</v>
      </c>
      <c r="DY58" s="20">
        <f>DY57*1000000/DY56</f>
        <v>139.23030243046981</v>
      </c>
      <c r="DZ58" s="20" t="s">
        <v>18</v>
      </c>
      <c r="EA58" s="20" t="s">
        <v>18</v>
      </c>
      <c r="EI58" s="6" t="s">
        <v>448</v>
      </c>
      <c r="EJ58" s="2">
        <f>EJ57*1000000/EJ56</f>
        <v>70.121647765260732</v>
      </c>
      <c r="EK58" s="2">
        <f t="shared" ref="EK58:EP58" si="64">EK57*1000000/EK56</f>
        <v>70.121647765260732</v>
      </c>
      <c r="EL58" s="2">
        <f t="shared" si="64"/>
        <v>210.14120667522465</v>
      </c>
      <c r="EM58" s="2">
        <f t="shared" si="64"/>
        <v>210.14120667522471</v>
      </c>
      <c r="EN58" s="2">
        <f t="shared" si="64"/>
        <v>167.75473889616325</v>
      </c>
      <c r="EO58" s="2">
        <f t="shared" si="64"/>
        <v>167.7547388961633</v>
      </c>
      <c r="EP58" s="2">
        <f t="shared" si="64"/>
        <v>172.68597623497243</v>
      </c>
      <c r="ET58" s="2">
        <f>ET57*1000000/ET56</f>
        <v>133.07628923214381</v>
      </c>
      <c r="FF58" s="6" t="s">
        <v>448</v>
      </c>
      <c r="FG58" s="2">
        <f>FG57*1000000/FG56</f>
        <v>108.5133967552935</v>
      </c>
      <c r="FI58" s="30">
        <v>0.1684158740570679</v>
      </c>
      <c r="FK58" s="35">
        <f>FK57*1000000/FK56</f>
        <v>76.514728855858849</v>
      </c>
      <c r="FL58" s="35">
        <f>FL57*1000000/FL56</f>
        <v>76.514728855858863</v>
      </c>
      <c r="FM58" s="2"/>
      <c r="FN58" s="2"/>
      <c r="FQ58" s="35">
        <f>FQ57*1000000/FQ56</f>
        <v>139.22265433753523</v>
      </c>
      <c r="GB58" s="6" t="s">
        <v>448</v>
      </c>
      <c r="GC58" s="35">
        <f>GC57*1000000/GC56</f>
        <v>136.97302643579141</v>
      </c>
      <c r="GD58" s="35">
        <f>GD57*1000000/GD56</f>
        <v>136.97302643579152</v>
      </c>
      <c r="GE58" s="35">
        <f>GE57*1000/GE56</f>
        <v>78.654555776327001</v>
      </c>
      <c r="GF58" s="35">
        <f>GF57*1000/GF56</f>
        <v>78.654555776326987</v>
      </c>
      <c r="GG58" s="35">
        <f>GG57*1000000/GG56</f>
        <v>104.64478618692135</v>
      </c>
      <c r="GH58" s="35">
        <f>GH57*1000000/GH56</f>
        <v>104.64478618692134</v>
      </c>
      <c r="GI58" s="35">
        <f>GI57*1000000/GI56</f>
        <v>106.07428916165374</v>
      </c>
      <c r="GM58" s="35">
        <f>GM57*1000000/GM56</f>
        <v>111.89127200310473</v>
      </c>
      <c r="HC58" s="6" t="s">
        <v>448</v>
      </c>
      <c r="HD58" s="35">
        <f>HD57*1000000/HD56</f>
        <v>112.19859639840402</v>
      </c>
      <c r="HE58" s="35">
        <f>HE57*1000000/HE56</f>
        <v>112.19859639840402</v>
      </c>
      <c r="HF58" s="35" t="s">
        <v>18</v>
      </c>
      <c r="HG58" s="35" t="s">
        <v>18</v>
      </c>
      <c r="HH58" s="35">
        <f>HH57*1000000/HH56</f>
        <v>159.88145857492592</v>
      </c>
      <c r="HI58" s="35">
        <f>HH57*1000000/HI56</f>
        <v>7.5373074318769149E-4</v>
      </c>
      <c r="HJ58" s="35">
        <f>HJ57*1000000/HJ56</f>
        <v>159.88145857492594</v>
      </c>
      <c r="HN58" s="35">
        <f>HN57*1000000/HN56</f>
        <v>143.78217650634903</v>
      </c>
    </row>
    <row r="59" spans="1:222">
      <c r="AP59" s="1825">
        <v>23722</v>
      </c>
      <c r="AQ59" s="1821"/>
      <c r="AR59" s="57">
        <v>190652.81446000002</v>
      </c>
      <c r="BG59" s="1821"/>
      <c r="DP59" s="1" t="s">
        <v>449</v>
      </c>
      <c r="DR59" s="1">
        <f>DS57/DR57</f>
        <v>102785.01477452712</v>
      </c>
      <c r="DT59" s="1">
        <f>DU57/DT57</f>
        <v>8.1597969156019907</v>
      </c>
      <c r="EI59" s="1" t="s">
        <v>449</v>
      </c>
      <c r="EJ59" s="92">
        <f>EK57/EJ57</f>
        <v>3.2703769011160713</v>
      </c>
      <c r="EL59" s="1">
        <f>EM57/EL57</f>
        <v>106973.75022962048</v>
      </c>
      <c r="EN59" s="1">
        <f>EO57/EN57</f>
        <v>7.0383675266390195</v>
      </c>
      <c r="FF59" s="1" t="s">
        <v>449</v>
      </c>
      <c r="FG59" s="35">
        <f>FH57/FG57</f>
        <v>3.4047282411843072</v>
      </c>
      <c r="FI59" s="35">
        <f>FJ57/FI57</f>
        <v>50.472638753651417</v>
      </c>
      <c r="FK59" s="35">
        <f>FL57/FK57</f>
        <v>4.2091270807957777</v>
      </c>
      <c r="FL59" s="35"/>
      <c r="FQ59" s="2"/>
      <c r="GB59" s="1" t="s">
        <v>449</v>
      </c>
      <c r="GC59" s="35">
        <f>GD57/GC57</f>
        <v>3.843565024420903</v>
      </c>
      <c r="GE59" s="35">
        <f>GF57/GE57</f>
        <v>11.880200539961621</v>
      </c>
      <c r="GG59" s="35">
        <f>GH57/GG57</f>
        <v>9.0425551745186876</v>
      </c>
      <c r="HC59" s="1" t="s">
        <v>449</v>
      </c>
      <c r="HD59" s="35">
        <f>HE57/HD57</f>
        <v>8.6267692611304074</v>
      </c>
      <c r="HF59" s="35" t="s">
        <v>18</v>
      </c>
      <c r="HH59" s="35">
        <f>HI57/HH57</f>
        <v>212120.1238239964</v>
      </c>
    </row>
    <row r="60" spans="1:222">
      <c r="AP60" s="1">
        <f>AP59/AP58</f>
        <v>2.0327335047129393</v>
      </c>
      <c r="AR60" s="1">
        <f>AR59/AR58</f>
        <v>6.6624550761811578</v>
      </c>
      <c r="BF60" s="418">
        <f>BG58/BF58</f>
        <v>2.610748845579284</v>
      </c>
      <c r="BH60" s="466">
        <f>BI58/BH58</f>
        <v>13.298845503345834</v>
      </c>
      <c r="FQ60" s="2"/>
    </row>
    <row r="61" spans="1:222">
      <c r="O61" s="1" t="s">
        <v>452</v>
      </c>
      <c r="P61" s="1" t="s">
        <v>416</v>
      </c>
      <c r="Q61" s="1" t="s">
        <v>35</v>
      </c>
      <c r="R61" s="1" t="s">
        <v>453</v>
      </c>
      <c r="T61" s="1" t="s">
        <v>421</v>
      </c>
      <c r="FQ61" s="2"/>
    </row>
    <row r="62" spans="1:222">
      <c r="N62" s="1">
        <v>5</v>
      </c>
      <c r="P62" s="1">
        <f t="shared" ref="P62:P108" si="65">O62*$O$113</f>
        <v>0</v>
      </c>
      <c r="R62" s="1">
        <f t="shared" ref="R62:R109" si="66">P62+Q62</f>
        <v>0</v>
      </c>
      <c r="T62" s="1">
        <f t="shared" ref="T62:T108" si="67">R62/$R$108</f>
        <v>0</v>
      </c>
      <c r="DV62" s="1" t="s">
        <v>18</v>
      </c>
      <c r="FQ62" s="2"/>
    </row>
    <row r="63" spans="1:222">
      <c r="N63" s="1">
        <v>6</v>
      </c>
      <c r="P63" s="1">
        <f t="shared" si="65"/>
        <v>0</v>
      </c>
      <c r="R63" s="1">
        <f t="shared" si="66"/>
        <v>0</v>
      </c>
      <c r="T63" s="1">
        <f t="shared" si="67"/>
        <v>0</v>
      </c>
      <c r="DY63" s="35" t="s">
        <v>18</v>
      </c>
      <c r="FQ63" s="2"/>
    </row>
    <row r="64" spans="1:222">
      <c r="N64" s="1">
        <v>7</v>
      </c>
      <c r="P64" s="1">
        <f t="shared" si="65"/>
        <v>0</v>
      </c>
      <c r="R64" s="1">
        <f t="shared" si="66"/>
        <v>0</v>
      </c>
      <c r="T64" s="1">
        <f t="shared" si="67"/>
        <v>0</v>
      </c>
      <c r="BF64" s="1">
        <v>1</v>
      </c>
      <c r="DY64" s="1" t="s">
        <v>18</v>
      </c>
      <c r="FQ64" s="2"/>
    </row>
    <row r="65" spans="14:173">
      <c r="N65" s="1">
        <v>8</v>
      </c>
      <c r="P65" s="1">
        <f t="shared" si="65"/>
        <v>0</v>
      </c>
      <c r="R65" s="1">
        <f t="shared" si="66"/>
        <v>0</v>
      </c>
      <c r="T65" s="1">
        <f t="shared" si="67"/>
        <v>0</v>
      </c>
      <c r="FQ65" s="2"/>
    </row>
    <row r="66" spans="14:173">
      <c r="N66" s="1">
        <v>9</v>
      </c>
      <c r="P66" s="1">
        <f t="shared" si="65"/>
        <v>0</v>
      </c>
      <c r="R66" s="1">
        <f t="shared" si="66"/>
        <v>0</v>
      </c>
      <c r="T66" s="1">
        <f t="shared" si="67"/>
        <v>0</v>
      </c>
      <c r="FQ66" s="2"/>
    </row>
    <row r="67" spans="14:173">
      <c r="N67" s="1">
        <v>10</v>
      </c>
      <c r="P67" s="1">
        <f t="shared" si="65"/>
        <v>0</v>
      </c>
      <c r="R67" s="1">
        <f t="shared" si="66"/>
        <v>0</v>
      </c>
      <c r="T67" s="1">
        <f t="shared" si="67"/>
        <v>0</v>
      </c>
      <c r="BF67" s="1">
        <v>14934.160000000002</v>
      </c>
      <c r="FQ67" s="2"/>
    </row>
    <row r="68" spans="14:173">
      <c r="N68" s="1">
        <v>11</v>
      </c>
      <c r="P68" s="1">
        <f t="shared" si="65"/>
        <v>0</v>
      </c>
      <c r="R68" s="1">
        <f t="shared" si="66"/>
        <v>0</v>
      </c>
      <c r="T68" s="1">
        <f t="shared" si="67"/>
        <v>0</v>
      </c>
      <c r="BF68" s="1">
        <v>21877.244920000001</v>
      </c>
      <c r="FQ68" s="2"/>
    </row>
    <row r="69" spans="14:173">
      <c r="N69" s="1">
        <v>12</v>
      </c>
      <c r="P69" s="1">
        <f t="shared" si="65"/>
        <v>0</v>
      </c>
      <c r="R69" s="1">
        <f t="shared" si="66"/>
        <v>0</v>
      </c>
      <c r="T69" s="1">
        <f t="shared" si="67"/>
        <v>0</v>
      </c>
      <c r="BF69" s="1">
        <v>13799.5722004</v>
      </c>
      <c r="FQ69" s="2"/>
    </row>
    <row r="70" spans="14:173">
      <c r="N70" s="1">
        <v>13</v>
      </c>
      <c r="P70" s="1">
        <f t="shared" si="65"/>
        <v>0</v>
      </c>
      <c r="R70" s="1">
        <f t="shared" si="66"/>
        <v>0</v>
      </c>
      <c r="T70" s="1">
        <f t="shared" si="67"/>
        <v>0</v>
      </c>
      <c r="BF70" s="1">
        <f>SUM(BF64:BF69)</f>
        <v>50611.977120399999</v>
      </c>
      <c r="FQ70" s="2"/>
    </row>
    <row r="71" spans="14:173">
      <c r="N71" s="1">
        <v>14</v>
      </c>
      <c r="P71" s="1">
        <f t="shared" si="65"/>
        <v>0</v>
      </c>
      <c r="R71" s="1">
        <f t="shared" si="66"/>
        <v>0</v>
      </c>
      <c r="T71" s="1">
        <f t="shared" si="67"/>
        <v>0</v>
      </c>
      <c r="FQ71" s="2"/>
    </row>
    <row r="72" spans="14:173">
      <c r="N72" s="1">
        <v>15</v>
      </c>
      <c r="P72" s="1">
        <f t="shared" si="65"/>
        <v>0</v>
      </c>
      <c r="R72" s="1">
        <f t="shared" si="66"/>
        <v>0</v>
      </c>
      <c r="T72" s="1">
        <f t="shared" si="67"/>
        <v>0</v>
      </c>
      <c r="FQ72" s="2"/>
    </row>
    <row r="73" spans="14:173">
      <c r="N73" s="1">
        <v>16</v>
      </c>
      <c r="P73" s="1">
        <f t="shared" si="65"/>
        <v>0</v>
      </c>
      <c r="R73" s="1">
        <f t="shared" si="66"/>
        <v>0</v>
      </c>
      <c r="T73" s="1">
        <f t="shared" si="67"/>
        <v>0</v>
      </c>
      <c r="FQ73" s="2"/>
    </row>
    <row r="74" spans="14:173">
      <c r="N74" s="1">
        <v>17</v>
      </c>
      <c r="P74" s="1">
        <f t="shared" si="65"/>
        <v>0</v>
      </c>
      <c r="R74" s="1">
        <f t="shared" si="66"/>
        <v>0</v>
      </c>
      <c r="T74" s="1">
        <f t="shared" si="67"/>
        <v>0</v>
      </c>
      <c r="FQ74" s="2"/>
    </row>
    <row r="75" spans="14:173">
      <c r="N75" s="1">
        <v>18</v>
      </c>
      <c r="P75" s="1">
        <f t="shared" si="65"/>
        <v>0</v>
      </c>
      <c r="R75" s="1">
        <f t="shared" si="66"/>
        <v>0</v>
      </c>
      <c r="T75" s="1">
        <f t="shared" si="67"/>
        <v>0</v>
      </c>
      <c r="FQ75" s="2"/>
    </row>
    <row r="76" spans="14:173">
      <c r="N76" s="1">
        <v>19</v>
      </c>
      <c r="P76" s="1">
        <f t="shared" si="65"/>
        <v>0</v>
      </c>
      <c r="Q76" s="1">
        <v>36419.218814812324</v>
      </c>
      <c r="R76" s="1">
        <f t="shared" si="66"/>
        <v>36419.218814812324</v>
      </c>
      <c r="T76" s="1">
        <f t="shared" si="67"/>
        <v>8.0772761701280375E-4</v>
      </c>
      <c r="FQ76" s="2"/>
    </row>
    <row r="77" spans="14:173">
      <c r="N77" s="1">
        <v>20</v>
      </c>
      <c r="P77" s="1">
        <f t="shared" si="65"/>
        <v>0</v>
      </c>
      <c r="Q77" s="1">
        <v>90506.281965192276</v>
      </c>
      <c r="R77" s="1">
        <f t="shared" si="66"/>
        <v>90506.281965192276</v>
      </c>
      <c r="T77" s="1">
        <f t="shared" si="67"/>
        <v>2.0073034467916928E-3</v>
      </c>
      <c r="FQ77" s="2"/>
    </row>
    <row r="78" spans="14:173">
      <c r="N78" s="1">
        <v>21</v>
      </c>
      <c r="P78" s="1">
        <f t="shared" si="65"/>
        <v>0</v>
      </c>
      <c r="Q78" s="1">
        <v>107657.37698495379</v>
      </c>
      <c r="R78" s="1">
        <f t="shared" si="66"/>
        <v>107657.37698495379</v>
      </c>
      <c r="T78" s="1">
        <f t="shared" si="67"/>
        <v>2.387690878491291E-3</v>
      </c>
    </row>
    <row r="79" spans="14:173">
      <c r="N79" s="1">
        <v>22</v>
      </c>
      <c r="P79" s="1">
        <f t="shared" si="65"/>
        <v>0</v>
      </c>
      <c r="Q79" s="1">
        <v>83197.222181520876</v>
      </c>
      <c r="R79" s="1">
        <f t="shared" si="66"/>
        <v>83197.222181520876</v>
      </c>
      <c r="T79" s="1">
        <f t="shared" si="67"/>
        <v>1.8451986671233309E-3</v>
      </c>
    </row>
    <row r="80" spans="14:173">
      <c r="N80" s="1">
        <v>23</v>
      </c>
      <c r="P80" s="1">
        <f t="shared" si="65"/>
        <v>0</v>
      </c>
      <c r="Q80" s="1">
        <v>19297.376995700761</v>
      </c>
      <c r="R80" s="1">
        <f t="shared" si="66"/>
        <v>19297.376995700761</v>
      </c>
      <c r="T80" s="1">
        <f t="shared" si="67"/>
        <v>4.2798898061469575E-4</v>
      </c>
    </row>
    <row r="81" spans="14:20">
      <c r="N81" s="1">
        <v>24</v>
      </c>
      <c r="O81" s="1">
        <v>21709.219574457537</v>
      </c>
      <c r="P81" s="1">
        <f t="shared" si="65"/>
        <v>109114.94908038844</v>
      </c>
      <c r="Q81" s="1">
        <v>102171.03932520177</v>
      </c>
      <c r="R81" s="1">
        <f t="shared" si="66"/>
        <v>211285.98840559021</v>
      </c>
      <c r="T81" s="1">
        <f t="shared" si="67"/>
        <v>4.6860293404654601E-3</v>
      </c>
    </row>
    <row r="82" spans="14:20">
      <c r="N82" s="1">
        <v>25</v>
      </c>
      <c r="O82" s="1">
        <v>104033.50774587024</v>
      </c>
      <c r="P82" s="1">
        <f t="shared" si="65"/>
        <v>522893.55042964406</v>
      </c>
      <c r="Q82" s="1">
        <v>1062734.6243445424</v>
      </c>
      <c r="R82" s="1">
        <f t="shared" si="66"/>
        <v>1585628.1747741865</v>
      </c>
      <c r="T82" s="1">
        <f t="shared" si="67"/>
        <v>3.5167027431071911E-2</v>
      </c>
    </row>
    <row r="83" spans="14:20">
      <c r="N83" s="1">
        <v>26</v>
      </c>
      <c r="O83" s="1">
        <v>315177.8350421561</v>
      </c>
      <c r="P83" s="1">
        <f t="shared" si="65"/>
        <v>1584147.845754666</v>
      </c>
      <c r="Q83" s="1">
        <v>1721593.144012383</v>
      </c>
      <c r="R83" s="1">
        <f t="shared" si="66"/>
        <v>3305740.989767049</v>
      </c>
      <c r="T83" s="1">
        <f t="shared" si="67"/>
        <v>7.3316737124523232E-2</v>
      </c>
    </row>
    <row r="84" spans="14:20">
      <c r="N84" s="1">
        <v>27</v>
      </c>
      <c r="O84" s="1">
        <v>527303.68213399348</v>
      </c>
      <c r="P84" s="1">
        <f t="shared" si="65"/>
        <v>2650335.4590253504</v>
      </c>
      <c r="Q84" s="1">
        <v>1744606.5976287352</v>
      </c>
      <c r="R84" s="1">
        <f t="shared" si="66"/>
        <v>4394942.0566540854</v>
      </c>
      <c r="T84" s="1">
        <f t="shared" si="67"/>
        <v>9.7473701794140166E-2</v>
      </c>
    </row>
    <row r="85" spans="14:20">
      <c r="N85" s="1">
        <v>28</v>
      </c>
      <c r="O85" s="1">
        <v>682846.79009539238</v>
      </c>
      <c r="P85" s="1">
        <f t="shared" si="65"/>
        <v>3432126.7273297291</v>
      </c>
      <c r="Q85" s="1">
        <v>1598662.3479864183</v>
      </c>
      <c r="R85" s="1">
        <f t="shared" si="66"/>
        <v>5030789.0753161479</v>
      </c>
      <c r="T85" s="1">
        <f t="shared" si="67"/>
        <v>0.11157590425433453</v>
      </c>
    </row>
    <row r="86" spans="14:20">
      <c r="N86" s="1">
        <v>29</v>
      </c>
      <c r="O86" s="1">
        <v>693125.61696422368</v>
      </c>
      <c r="P86" s="1">
        <f t="shared" si="65"/>
        <v>3483790.1999180419</v>
      </c>
      <c r="Q86" s="1">
        <v>1142139.4036797427</v>
      </c>
      <c r="R86" s="1">
        <f t="shared" si="66"/>
        <v>4625929.6035977844</v>
      </c>
      <c r="T86" s="1">
        <f t="shared" si="67"/>
        <v>0.10259668429964586</v>
      </c>
    </row>
    <row r="87" spans="14:20">
      <c r="N87" s="1">
        <v>30</v>
      </c>
      <c r="O87" s="1">
        <v>1043768.6664852769</v>
      </c>
      <c r="P87" s="1">
        <f t="shared" si="65"/>
        <v>5246193.4204786727</v>
      </c>
      <c r="Q87" s="1">
        <v>904711.81777996069</v>
      </c>
      <c r="R87" s="1">
        <f t="shared" si="66"/>
        <v>6150905.2382586338</v>
      </c>
      <c r="T87" s="1">
        <f t="shared" si="67"/>
        <v>0.1364185227539681</v>
      </c>
    </row>
    <row r="88" spans="14:20">
      <c r="N88" s="1">
        <v>31</v>
      </c>
      <c r="O88" s="1">
        <v>870658.48215019156</v>
      </c>
      <c r="P88" s="1">
        <f t="shared" si="65"/>
        <v>4376106.4565399205</v>
      </c>
      <c r="Q88" s="1">
        <v>684621.22688914987</v>
      </c>
      <c r="R88" s="1">
        <f t="shared" si="66"/>
        <v>5060727.6834290707</v>
      </c>
      <c r="T88" s="1">
        <f t="shared" si="67"/>
        <v>0.11223990094000469</v>
      </c>
    </row>
    <row r="89" spans="14:20">
      <c r="N89" s="1">
        <v>32</v>
      </c>
      <c r="O89" s="1">
        <v>941524.60382174887</v>
      </c>
      <c r="P89" s="1">
        <f t="shared" si="65"/>
        <v>4732293.9846634325</v>
      </c>
      <c r="Q89" s="1">
        <v>871805.82696986012</v>
      </c>
      <c r="R89" s="1">
        <f t="shared" si="66"/>
        <v>5604099.8116332926</v>
      </c>
      <c r="T89" s="1">
        <f t="shared" si="67"/>
        <v>0.12429113895522166</v>
      </c>
    </row>
    <row r="90" spans="14:20">
      <c r="N90" s="1">
        <v>33</v>
      </c>
      <c r="O90" s="1">
        <v>739294.07898370118</v>
      </c>
      <c r="P90" s="1">
        <f t="shared" si="65"/>
        <v>3715842.2718544425</v>
      </c>
      <c r="Q90" s="1">
        <v>673781.68668135849</v>
      </c>
      <c r="R90" s="1">
        <f t="shared" si="66"/>
        <v>4389623.9585358007</v>
      </c>
      <c r="T90" s="1">
        <f t="shared" si="67"/>
        <v>9.7355753774937312E-2</v>
      </c>
    </row>
    <row r="91" spans="14:20">
      <c r="N91" s="1">
        <v>34</v>
      </c>
      <c r="O91" s="1">
        <v>465681.20211807208</v>
      </c>
      <c r="P91" s="1">
        <f t="shared" si="65"/>
        <v>2340608.3522501388</v>
      </c>
      <c r="Q91" s="1">
        <v>286478.96333764354</v>
      </c>
      <c r="R91" s="1">
        <f t="shared" si="66"/>
        <v>2627087.3155877823</v>
      </c>
      <c r="T91" s="1">
        <f t="shared" si="67"/>
        <v>5.8265142585684479E-2</v>
      </c>
    </row>
    <row r="92" spans="14:20">
      <c r="N92" s="1">
        <v>35</v>
      </c>
      <c r="O92" s="1">
        <v>173990.15128795663</v>
      </c>
      <c r="P92" s="1">
        <f t="shared" si="65"/>
        <v>874509.85666069749</v>
      </c>
      <c r="Q92" s="1">
        <v>97410.375039388804</v>
      </c>
      <c r="R92" s="1">
        <f t="shared" si="66"/>
        <v>971920.23170008627</v>
      </c>
      <c r="T92" s="1">
        <f t="shared" si="67"/>
        <v>2.1555838873686953E-2</v>
      </c>
    </row>
    <row r="93" spans="14:20">
      <c r="N93" s="1">
        <v>36</v>
      </c>
      <c r="O93" s="1">
        <v>53721.192153847813</v>
      </c>
      <c r="P93" s="1">
        <f t="shared" si="65"/>
        <v>270013.62837113132</v>
      </c>
      <c r="Q93" s="1">
        <v>63899.7477434795</v>
      </c>
      <c r="R93" s="1">
        <f t="shared" si="66"/>
        <v>333913.37611461082</v>
      </c>
      <c r="T93" s="1">
        <f t="shared" si="67"/>
        <v>7.405734234696394E-3</v>
      </c>
    </row>
    <row r="94" spans="14:20">
      <c r="N94" s="1">
        <v>37</v>
      </c>
      <c r="O94" s="1">
        <v>38840.424756383945</v>
      </c>
      <c r="P94" s="1">
        <f t="shared" si="65"/>
        <v>195219.8675322207</v>
      </c>
      <c r="Q94" s="1">
        <v>30668.341254477717</v>
      </c>
      <c r="R94" s="1">
        <f t="shared" si="66"/>
        <v>225888.20878669841</v>
      </c>
      <c r="T94" s="1">
        <f t="shared" si="67"/>
        <v>5.009886277966032E-3</v>
      </c>
    </row>
    <row r="95" spans="14:20">
      <c r="N95" s="1">
        <v>38</v>
      </c>
      <c r="O95" s="1">
        <v>17546.0676711493</v>
      </c>
      <c r="P95" s="1">
        <f t="shared" si="65"/>
        <v>88190.101626273943</v>
      </c>
      <c r="Q95" s="1">
        <v>12944.380227658208</v>
      </c>
      <c r="R95" s="1">
        <f t="shared" si="66"/>
        <v>101134.48185393216</v>
      </c>
      <c r="T95" s="1">
        <f t="shared" si="67"/>
        <v>2.2430221373248372E-3</v>
      </c>
    </row>
    <row r="96" spans="14:20">
      <c r="N96" s="1">
        <v>39</v>
      </c>
      <c r="O96" s="1">
        <v>6058.1270896113756</v>
      </c>
      <c r="P96" s="1">
        <f t="shared" si="65"/>
        <v>30449.377815645625</v>
      </c>
      <c r="Q96" s="1">
        <v>7825.0707017399236</v>
      </c>
      <c r="R96" s="1">
        <f t="shared" si="66"/>
        <v>38274.44851738555</v>
      </c>
      <c r="T96" s="1">
        <f t="shared" si="67"/>
        <v>8.4887403133570986E-4</v>
      </c>
    </row>
    <row r="97" spans="14:20">
      <c r="N97" s="1">
        <v>40</v>
      </c>
      <c r="O97" s="1">
        <v>15.957857197685003</v>
      </c>
      <c r="P97" s="1">
        <f t="shared" si="65"/>
        <v>80.207433048685218</v>
      </c>
      <c r="Q97" s="1">
        <v>6302.8354952374739</v>
      </c>
      <c r="R97" s="1">
        <f t="shared" si="66"/>
        <v>6383.0429282861587</v>
      </c>
      <c r="T97" s="1">
        <f t="shared" si="67"/>
        <v>1.415670138333135E-4</v>
      </c>
    </row>
    <row r="98" spans="14:20">
      <c r="N98" s="1">
        <v>41</v>
      </c>
      <c r="O98" s="1">
        <v>14501.046269145927</v>
      </c>
      <c r="P98" s="1">
        <f t="shared" si="65"/>
        <v>72885.205285402451</v>
      </c>
      <c r="Q98" s="1">
        <v>5107.6854230537183</v>
      </c>
      <c r="R98" s="1">
        <f t="shared" si="66"/>
        <v>77992.890708456165</v>
      </c>
      <c r="T98" s="1">
        <f t="shared" si="67"/>
        <v>1.7297738338709059E-3</v>
      </c>
    </row>
    <row r="99" spans="14:20">
      <c r="N99" s="1">
        <v>42</v>
      </c>
      <c r="O99" s="1">
        <v>0</v>
      </c>
      <c r="P99" s="1">
        <f t="shared" si="65"/>
        <v>0</v>
      </c>
      <c r="Q99" s="1">
        <v>3130.0282806959699</v>
      </c>
      <c r="R99" s="1">
        <f t="shared" si="66"/>
        <v>3130.0282806959699</v>
      </c>
      <c r="T99" s="1">
        <f t="shared" si="67"/>
        <v>6.9419673640033492E-5</v>
      </c>
    </row>
    <row r="100" spans="14:20">
      <c r="N100" s="1">
        <v>43</v>
      </c>
      <c r="O100" s="1">
        <v>574.22621745113179</v>
      </c>
      <c r="P100" s="1">
        <f t="shared" si="65"/>
        <v>2886.1776565899399</v>
      </c>
      <c r="Q100" s="1">
        <v>2347.5212105219775</v>
      </c>
      <c r="R100" s="1">
        <f t="shared" si="66"/>
        <v>5233.6988671119179</v>
      </c>
      <c r="T100" s="1">
        <f t="shared" si="67"/>
        <v>1.1607616120463195E-4</v>
      </c>
    </row>
    <row r="101" spans="14:20">
      <c r="N101" s="1">
        <v>44</v>
      </c>
      <c r="P101" s="1">
        <f t="shared" si="65"/>
        <v>0</v>
      </c>
      <c r="Q101" s="1">
        <v>782.50707017399247</v>
      </c>
      <c r="R101" s="1">
        <f t="shared" si="66"/>
        <v>782.50707017399247</v>
      </c>
      <c r="T101" s="1">
        <f t="shared" si="67"/>
        <v>1.7354918410008373E-5</v>
      </c>
    </row>
    <row r="102" spans="14:20">
      <c r="N102" s="1">
        <v>45</v>
      </c>
      <c r="P102" s="1">
        <f t="shared" si="65"/>
        <v>0</v>
      </c>
      <c r="R102" s="1">
        <f t="shared" si="66"/>
        <v>0</v>
      </c>
      <c r="T102" s="1">
        <f t="shared" si="67"/>
        <v>0</v>
      </c>
    </row>
    <row r="103" spans="14:20">
      <c r="N103" s="1">
        <v>46</v>
      </c>
      <c r="P103" s="1">
        <f t="shared" si="65"/>
        <v>0</v>
      </c>
      <c r="R103" s="1">
        <f t="shared" si="66"/>
        <v>0</v>
      </c>
      <c r="T103" s="1">
        <f t="shared" si="67"/>
        <v>0</v>
      </c>
    </row>
    <row r="104" spans="14:20">
      <c r="N104" s="1">
        <v>47</v>
      </c>
      <c r="P104" s="1">
        <f t="shared" si="65"/>
        <v>0</v>
      </c>
      <c r="R104" s="1">
        <f t="shared" si="66"/>
        <v>0</v>
      </c>
      <c r="T104" s="1">
        <f t="shared" si="67"/>
        <v>0</v>
      </c>
    </row>
    <row r="105" spans="14:20">
      <c r="N105" s="1">
        <v>48</v>
      </c>
      <c r="P105" s="1">
        <f t="shared" si="65"/>
        <v>0</v>
      </c>
      <c r="R105" s="1">
        <f t="shared" si="66"/>
        <v>0</v>
      </c>
      <c r="T105" s="1">
        <f t="shared" si="67"/>
        <v>0</v>
      </c>
    </row>
    <row r="106" spans="14:20">
      <c r="N106" s="1">
        <v>49</v>
      </c>
      <c r="P106" s="1">
        <f t="shared" si="65"/>
        <v>0</v>
      </c>
      <c r="R106" s="1">
        <f t="shared" si="66"/>
        <v>0</v>
      </c>
      <c r="T106" s="1">
        <f t="shared" si="67"/>
        <v>0</v>
      </c>
    </row>
    <row r="107" spans="14:20">
      <c r="N107" s="1">
        <v>50</v>
      </c>
      <c r="P107" s="1">
        <f t="shared" si="65"/>
        <v>0</v>
      </c>
      <c r="R107" s="1">
        <f t="shared" si="66"/>
        <v>0</v>
      </c>
      <c r="T107" s="1">
        <f t="shared" si="67"/>
        <v>0</v>
      </c>
    </row>
    <row r="108" spans="14:20">
      <c r="N108" s="1" t="s">
        <v>372</v>
      </c>
      <c r="O108" s="1">
        <v>6710370.8784178272</v>
      </c>
      <c r="P108" s="2">
        <f t="shared" si="65"/>
        <v>33727687.639705434</v>
      </c>
      <c r="Q108" s="1">
        <v>11360802.648023603</v>
      </c>
      <c r="R108" s="1">
        <f t="shared" si="66"/>
        <v>45088490.28772904</v>
      </c>
      <c r="T108" s="1">
        <f t="shared" si="67"/>
        <v>1</v>
      </c>
    </row>
    <row r="109" spans="14:20" ht="13.8">
      <c r="N109" s="1" t="s">
        <v>375</v>
      </c>
      <c r="O109" s="1">
        <v>1870</v>
      </c>
      <c r="P109" s="32">
        <v>9399</v>
      </c>
      <c r="Q109" s="1">
        <v>2932</v>
      </c>
      <c r="R109" s="1">
        <f t="shared" si="66"/>
        <v>12331</v>
      </c>
    </row>
    <row r="110" spans="14:20">
      <c r="O110" s="1">
        <f>O111*O108/O109</f>
        <v>33727687.639705434</v>
      </c>
    </row>
    <row r="111" spans="14:20" ht="13.8">
      <c r="N111" s="1" t="s">
        <v>454</v>
      </c>
      <c r="O111" s="32">
        <v>9399</v>
      </c>
    </row>
    <row r="113" spans="14:15">
      <c r="N113" s="1" t="s">
        <v>450</v>
      </c>
      <c r="O113" s="13">
        <f>O110/O108</f>
        <v>5.0262032085561499</v>
      </c>
    </row>
  </sheetData>
  <phoneticPr fontId="23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ColWidth="11.44140625" defaultRowHeight="13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ColWidth="11.44140625" defaultRowHeight="13.2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4140625" defaultRowHeight="13.2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E46"/>
  <sheetViews>
    <sheetView workbookViewId="0">
      <selection activeCell="E3" sqref="E3:E46"/>
    </sheetView>
  </sheetViews>
  <sheetFormatPr defaultColWidth="11.44140625" defaultRowHeight="13.2"/>
  <sheetData>
    <row r="1" spans="2:5">
      <c r="B1" s="1820">
        <v>5</v>
      </c>
    </row>
    <row r="2" spans="2:5">
      <c r="B2" s="1820">
        <v>6</v>
      </c>
    </row>
    <row r="3" spans="2:5">
      <c r="B3" s="1820">
        <v>7</v>
      </c>
      <c r="D3">
        <v>2</v>
      </c>
      <c r="E3">
        <f>SUM(C3:D3)</f>
        <v>2</v>
      </c>
    </row>
    <row r="4" spans="2:5">
      <c r="B4" s="1820">
        <v>8</v>
      </c>
      <c r="D4">
        <v>5</v>
      </c>
      <c r="E4">
        <f t="shared" ref="E4:E46" si="0">SUM(C4:D4)</f>
        <v>5</v>
      </c>
    </row>
    <row r="5" spans="2:5">
      <c r="B5" s="1820">
        <v>9</v>
      </c>
      <c r="D5">
        <v>2</v>
      </c>
      <c r="E5">
        <f t="shared" si="0"/>
        <v>2</v>
      </c>
    </row>
    <row r="6" spans="2:5">
      <c r="B6" s="1820">
        <v>10</v>
      </c>
      <c r="D6">
        <v>0</v>
      </c>
      <c r="E6">
        <f t="shared" si="0"/>
        <v>0</v>
      </c>
    </row>
    <row r="7" spans="2:5">
      <c r="B7" s="1820">
        <v>11</v>
      </c>
      <c r="D7">
        <v>0</v>
      </c>
      <c r="E7">
        <f t="shared" si="0"/>
        <v>0</v>
      </c>
    </row>
    <row r="8" spans="2:5">
      <c r="B8" s="1820">
        <v>12</v>
      </c>
      <c r="D8">
        <v>0</v>
      </c>
      <c r="E8">
        <f t="shared" si="0"/>
        <v>0</v>
      </c>
    </row>
    <row r="9" spans="2:5">
      <c r="B9" s="1820">
        <v>13</v>
      </c>
      <c r="D9">
        <v>0</v>
      </c>
      <c r="E9">
        <f t="shared" si="0"/>
        <v>0</v>
      </c>
    </row>
    <row r="10" spans="2:5">
      <c r="B10" s="1820">
        <v>14</v>
      </c>
      <c r="D10">
        <v>0</v>
      </c>
      <c r="E10">
        <f t="shared" si="0"/>
        <v>0</v>
      </c>
    </row>
    <row r="11" spans="2:5">
      <c r="B11" s="1820">
        <v>15</v>
      </c>
      <c r="D11">
        <v>0</v>
      </c>
      <c r="E11">
        <f t="shared" si="0"/>
        <v>0</v>
      </c>
    </row>
    <row r="12" spans="2:5">
      <c r="B12" s="1820">
        <v>16</v>
      </c>
      <c r="D12">
        <v>1</v>
      </c>
      <c r="E12">
        <f t="shared" si="0"/>
        <v>1</v>
      </c>
    </row>
    <row r="13" spans="2:5">
      <c r="B13" s="1823">
        <v>17</v>
      </c>
      <c r="D13">
        <v>8</v>
      </c>
      <c r="E13">
        <f t="shared" si="0"/>
        <v>8</v>
      </c>
    </row>
    <row r="14" spans="2:5">
      <c r="B14" s="1823">
        <v>18</v>
      </c>
      <c r="D14">
        <v>3</v>
      </c>
      <c r="E14">
        <f t="shared" si="0"/>
        <v>3</v>
      </c>
    </row>
    <row r="15" spans="2:5">
      <c r="B15" s="1823">
        <v>19</v>
      </c>
      <c r="C15">
        <v>15127.127622059415</v>
      </c>
      <c r="D15">
        <v>20</v>
      </c>
      <c r="E15">
        <f t="shared" si="0"/>
        <v>15147.127622059415</v>
      </c>
    </row>
    <row r="16" spans="2:5">
      <c r="B16" s="1823">
        <v>20</v>
      </c>
      <c r="C16">
        <v>231481.90022642026</v>
      </c>
      <c r="D16">
        <v>13</v>
      </c>
      <c r="E16">
        <f t="shared" si="0"/>
        <v>231494.90022642026</v>
      </c>
    </row>
    <row r="17" spans="2:5">
      <c r="B17" s="1823">
        <v>21</v>
      </c>
      <c r="C17">
        <v>833813.61948370188</v>
      </c>
      <c r="D17">
        <v>13</v>
      </c>
      <c r="E17">
        <f t="shared" si="0"/>
        <v>833826.61948370188</v>
      </c>
    </row>
    <row r="18" spans="2:5">
      <c r="B18" s="1823">
        <v>22</v>
      </c>
      <c r="C18">
        <v>1056566.796691136</v>
      </c>
      <c r="D18">
        <v>24</v>
      </c>
      <c r="E18">
        <f t="shared" si="0"/>
        <v>1056590.796691136</v>
      </c>
    </row>
    <row r="19" spans="2:5">
      <c r="B19" s="1823">
        <v>23</v>
      </c>
      <c r="C19">
        <v>604963.10058618011</v>
      </c>
      <c r="D19">
        <v>49</v>
      </c>
      <c r="E19">
        <f t="shared" si="0"/>
        <v>605012.10058618011</v>
      </c>
    </row>
    <row r="20" spans="2:5">
      <c r="B20" s="1823">
        <v>24</v>
      </c>
      <c r="C20">
        <v>380734.96937119187</v>
      </c>
      <c r="D20">
        <v>113</v>
      </c>
      <c r="E20">
        <f t="shared" si="0"/>
        <v>380847.96937119187</v>
      </c>
    </row>
    <row r="21" spans="2:5">
      <c r="B21" s="1824">
        <v>25</v>
      </c>
      <c r="C21">
        <v>476589.92832702247</v>
      </c>
      <c r="D21">
        <v>161</v>
      </c>
      <c r="E21">
        <f t="shared" si="0"/>
        <v>476750.92832702247</v>
      </c>
    </row>
    <row r="22" spans="2:5">
      <c r="B22" s="1823">
        <v>26</v>
      </c>
      <c r="C22">
        <v>612384.46276556514</v>
      </c>
      <c r="D22">
        <v>566</v>
      </c>
      <c r="E22">
        <f t="shared" si="0"/>
        <v>612950.46276556514</v>
      </c>
    </row>
    <row r="23" spans="2:5">
      <c r="B23" s="1823">
        <v>27</v>
      </c>
      <c r="C23">
        <v>1281079.1417675826</v>
      </c>
      <c r="D23">
        <v>886</v>
      </c>
      <c r="E23">
        <f t="shared" si="0"/>
        <v>1281965.1417675826</v>
      </c>
    </row>
    <row r="24" spans="2:5">
      <c r="B24" s="1823">
        <v>28</v>
      </c>
      <c r="C24">
        <v>1708345.1187384729</v>
      </c>
      <c r="D24">
        <v>1094</v>
      </c>
      <c r="E24">
        <f t="shared" si="0"/>
        <v>1709439.1187384729</v>
      </c>
    </row>
    <row r="25" spans="2:5">
      <c r="B25" s="1823">
        <v>29</v>
      </c>
      <c r="C25">
        <v>1329737.9614387588</v>
      </c>
      <c r="D25">
        <v>986</v>
      </c>
      <c r="E25">
        <f t="shared" si="0"/>
        <v>1330723.9614387588</v>
      </c>
    </row>
    <row r="26" spans="2:5">
      <c r="B26" s="1823">
        <v>30</v>
      </c>
      <c r="C26">
        <v>1896044.1448658174</v>
      </c>
      <c r="D26">
        <v>1071</v>
      </c>
      <c r="E26">
        <f t="shared" si="0"/>
        <v>1897115.1448658174</v>
      </c>
    </row>
    <row r="27" spans="2:5">
      <c r="B27" s="1823">
        <v>31</v>
      </c>
      <c r="C27">
        <v>1998389.8467881554</v>
      </c>
      <c r="D27">
        <v>670</v>
      </c>
      <c r="E27">
        <f t="shared" si="0"/>
        <v>1999059.8467881554</v>
      </c>
    </row>
    <row r="28" spans="2:5">
      <c r="B28" s="1823">
        <v>32</v>
      </c>
      <c r="C28">
        <v>2457713.9180201292</v>
      </c>
      <c r="D28">
        <v>629</v>
      </c>
      <c r="E28">
        <f t="shared" si="0"/>
        <v>2458342.9180201292</v>
      </c>
    </row>
    <row r="29" spans="2:5">
      <c r="B29" s="1823">
        <v>33</v>
      </c>
      <c r="C29">
        <v>2491228.1434010295</v>
      </c>
      <c r="D29">
        <v>394</v>
      </c>
      <c r="E29">
        <f t="shared" si="0"/>
        <v>2491622.1434010295</v>
      </c>
    </row>
    <row r="30" spans="2:5">
      <c r="B30" s="1823">
        <v>34</v>
      </c>
      <c r="C30">
        <v>2631365.7590484787</v>
      </c>
      <c r="D30">
        <v>421</v>
      </c>
      <c r="E30">
        <f t="shared" si="0"/>
        <v>2631786.7590484787</v>
      </c>
    </row>
    <row r="31" spans="2:5">
      <c r="B31" s="1823">
        <v>35</v>
      </c>
      <c r="C31">
        <v>2719688.3060745038</v>
      </c>
      <c r="D31">
        <v>303</v>
      </c>
      <c r="E31">
        <f t="shared" si="0"/>
        <v>2719991.3060745038</v>
      </c>
    </row>
    <row r="32" spans="2:5">
      <c r="B32" s="1823">
        <v>36</v>
      </c>
      <c r="C32">
        <v>2218557.5174561827</v>
      </c>
      <c r="D32">
        <v>457</v>
      </c>
      <c r="E32">
        <f t="shared" si="0"/>
        <v>2219014.5174561827</v>
      </c>
    </row>
    <row r="33" spans="2:5">
      <c r="B33" s="1823">
        <v>37</v>
      </c>
      <c r="C33">
        <v>2081963.7595247007</v>
      </c>
      <c r="D33">
        <v>339</v>
      </c>
      <c r="E33">
        <f t="shared" si="0"/>
        <v>2082302.7595247007</v>
      </c>
    </row>
    <row r="34" spans="2:5">
      <c r="B34" s="1823">
        <v>38</v>
      </c>
      <c r="C34">
        <v>850519.29536091886</v>
      </c>
      <c r="D34">
        <v>460</v>
      </c>
      <c r="E34">
        <f t="shared" si="0"/>
        <v>850979.29536091886</v>
      </c>
    </row>
    <row r="35" spans="2:5">
      <c r="B35" s="1823">
        <v>39</v>
      </c>
      <c r="C35">
        <v>426154.32798679062</v>
      </c>
      <c r="D35">
        <v>382</v>
      </c>
      <c r="E35">
        <f t="shared" si="0"/>
        <v>426536.32798679062</v>
      </c>
    </row>
    <row r="36" spans="2:5">
      <c r="B36" s="1823">
        <v>40</v>
      </c>
      <c r="C36">
        <v>143748.12698708259</v>
      </c>
      <c r="D36">
        <v>570</v>
      </c>
      <c r="E36">
        <f t="shared" si="0"/>
        <v>144318.12698708259</v>
      </c>
    </row>
    <row r="37" spans="2:5">
      <c r="B37" s="1823">
        <v>41</v>
      </c>
      <c r="C37">
        <v>36846.184385232351</v>
      </c>
      <c r="D37">
        <v>9</v>
      </c>
      <c r="E37">
        <f t="shared" si="0"/>
        <v>36855.184385232351</v>
      </c>
    </row>
    <row r="38" spans="2:5">
      <c r="B38" s="1823">
        <v>42</v>
      </c>
      <c r="C38">
        <v>7185.8691768041754</v>
      </c>
      <c r="D38">
        <v>3</v>
      </c>
      <c r="E38">
        <f t="shared" si="0"/>
        <v>7188.8691768041754</v>
      </c>
    </row>
    <row r="39" spans="2:5">
      <c r="B39" s="1823">
        <v>43</v>
      </c>
      <c r="C39">
        <v>4612.985907942696</v>
      </c>
      <c r="D39">
        <v>2</v>
      </c>
      <c r="E39">
        <f t="shared" si="0"/>
        <v>4614.985907942696</v>
      </c>
    </row>
    <row r="40" spans="2:5">
      <c r="B40" s="1823">
        <v>44</v>
      </c>
      <c r="C40">
        <v>3570.6754380785919</v>
      </c>
      <c r="D40">
        <v>6</v>
      </c>
      <c r="E40">
        <f t="shared" si="0"/>
        <v>3576.6754380785919</v>
      </c>
    </row>
    <row r="41" spans="2:5">
      <c r="B41" s="1823">
        <v>45</v>
      </c>
      <c r="C41">
        <v>5951.5379570447694</v>
      </c>
      <c r="D41">
        <v>2</v>
      </c>
      <c r="E41">
        <f t="shared" si="0"/>
        <v>5953.5379570447694</v>
      </c>
    </row>
    <row r="42" spans="2:5">
      <c r="B42" s="1823">
        <v>46</v>
      </c>
      <c r="C42">
        <v>0</v>
      </c>
      <c r="D42">
        <v>1</v>
      </c>
      <c r="E42">
        <f t="shared" si="0"/>
        <v>1</v>
      </c>
    </row>
    <row r="43" spans="2:5">
      <c r="B43" s="1823">
        <v>47</v>
      </c>
      <c r="C43">
        <v>1817.8470606025537</v>
      </c>
      <c r="D43">
        <v>3</v>
      </c>
      <c r="E43">
        <f t="shared" si="0"/>
        <v>1820.8470606025537</v>
      </c>
    </row>
    <row r="44" spans="2:5">
      <c r="B44" s="1823">
        <v>48</v>
      </c>
      <c r="D44">
        <v>2</v>
      </c>
      <c r="E44">
        <f t="shared" si="0"/>
        <v>2</v>
      </c>
    </row>
    <row r="45" spans="2:5">
      <c r="B45" s="1823">
        <v>49</v>
      </c>
      <c r="D45">
        <v>1</v>
      </c>
      <c r="E45">
        <f t="shared" si="0"/>
        <v>1</v>
      </c>
    </row>
    <row r="46" spans="2:5">
      <c r="B46" s="1823">
        <v>50</v>
      </c>
      <c r="E46">
        <f t="shared" si="0"/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G229"/>
  <sheetViews>
    <sheetView topLeftCell="AK1" zoomScale="60" zoomScaleNormal="60" workbookViewId="0">
      <selection activeCell="BI31" sqref="BI31"/>
    </sheetView>
  </sheetViews>
  <sheetFormatPr defaultColWidth="11.44140625" defaultRowHeight="13.2"/>
  <cols>
    <col min="28" max="28" width="13.44140625" bestFit="1" customWidth="1"/>
  </cols>
  <sheetData>
    <row r="1" spans="1:59">
      <c r="A1" s="1091"/>
      <c r="B1" s="1091"/>
      <c r="C1" s="1091"/>
      <c r="D1" s="1091"/>
      <c r="E1" s="1091"/>
      <c r="F1" s="1091"/>
      <c r="G1" s="1091"/>
      <c r="H1" s="1091"/>
      <c r="I1" s="1091"/>
      <c r="J1" s="1091"/>
      <c r="K1" s="1091"/>
      <c r="L1" s="1091"/>
      <c r="M1" s="1091"/>
      <c r="N1" s="684"/>
      <c r="O1" s="684"/>
      <c r="P1" s="684"/>
      <c r="Q1" s="1091"/>
      <c r="R1" s="1091"/>
      <c r="S1" s="1091"/>
      <c r="T1" s="1091"/>
      <c r="U1" s="1091"/>
      <c r="V1" s="1091"/>
      <c r="W1" s="1091"/>
      <c r="X1" s="1091"/>
      <c r="Y1" s="1091"/>
      <c r="Z1" s="1091"/>
      <c r="AA1" s="1091"/>
      <c r="AB1" s="1091"/>
      <c r="AC1" s="1091"/>
      <c r="AD1" s="1091"/>
      <c r="AE1" s="1091"/>
      <c r="AF1" s="1091"/>
      <c r="AG1" s="1091"/>
      <c r="AH1" s="1091"/>
      <c r="AI1" s="1091"/>
      <c r="AJ1" s="1091"/>
      <c r="AK1" s="1091"/>
      <c r="AL1" s="1091"/>
      <c r="AM1" s="1091"/>
      <c r="AN1" s="1091"/>
      <c r="AO1" s="1091"/>
      <c r="AP1" s="1091"/>
      <c r="AQ1" s="1091"/>
      <c r="AR1" s="1091"/>
      <c r="AS1" s="1091"/>
      <c r="AT1" s="1091"/>
      <c r="AU1" s="1091"/>
      <c r="AV1" s="1091"/>
      <c r="AW1" s="1091"/>
      <c r="AX1" s="1091"/>
      <c r="AY1" s="1091"/>
      <c r="AZ1" s="1091"/>
    </row>
    <row r="2" spans="1:59" ht="14.4">
      <c r="A2" s="1091"/>
      <c r="B2" s="1091"/>
      <c r="C2" s="1091"/>
      <c r="D2" s="1091"/>
      <c r="E2" s="1091"/>
      <c r="F2" s="1091"/>
      <c r="G2" s="1091"/>
      <c r="H2" s="1091"/>
      <c r="I2" s="1091"/>
      <c r="J2" s="1091"/>
      <c r="K2" s="1091"/>
      <c r="L2" s="1091"/>
      <c r="M2" s="1091"/>
      <c r="N2" s="1091"/>
      <c r="O2" s="1091"/>
      <c r="P2" s="1091"/>
      <c r="Q2" s="1091"/>
      <c r="R2" s="1091"/>
      <c r="S2" s="1091"/>
      <c r="T2" s="1091"/>
      <c r="U2" s="1091"/>
      <c r="V2" s="1091"/>
      <c r="W2" s="1091"/>
      <c r="X2" s="1091"/>
      <c r="Y2" s="1091"/>
      <c r="Z2" s="1091"/>
      <c r="AA2" s="1091"/>
      <c r="AB2" s="1091"/>
      <c r="AC2" s="1091"/>
      <c r="AD2" s="1091"/>
      <c r="AE2" s="1157"/>
      <c r="AF2" s="1157"/>
      <c r="AG2" s="1091"/>
      <c r="AH2" s="1091"/>
      <c r="AI2" s="1157"/>
      <c r="AJ2" s="1091"/>
      <c r="AK2" s="1091"/>
      <c r="AL2" s="1091"/>
      <c r="AM2" s="1158" t="s">
        <v>455</v>
      </c>
      <c r="AN2" s="1091"/>
      <c r="AO2" s="1091"/>
      <c r="AP2" s="1091"/>
      <c r="AQ2" s="1091"/>
      <c r="AR2" s="1091"/>
      <c r="AS2" s="1091"/>
      <c r="AT2" s="1091"/>
      <c r="AU2" s="1091"/>
      <c r="AV2" s="1091"/>
      <c r="AW2" s="1091"/>
      <c r="AX2" s="1091"/>
      <c r="AY2" s="1091"/>
      <c r="AZ2" s="1091"/>
    </row>
    <row r="3" spans="1:59" ht="38.25" customHeight="1">
      <c r="A3" s="1093">
        <v>2013</v>
      </c>
      <c r="B3" s="1093">
        <v>2014</v>
      </c>
      <c r="C3" s="1093">
        <v>2015</v>
      </c>
      <c r="D3" s="1093">
        <v>2016</v>
      </c>
      <c r="E3" s="1093">
        <v>2017</v>
      </c>
      <c r="F3" s="1093">
        <v>2018</v>
      </c>
      <c r="G3" s="1093">
        <v>2019</v>
      </c>
      <c r="H3" s="1093">
        <v>2020</v>
      </c>
      <c r="I3" s="1093">
        <v>2021</v>
      </c>
      <c r="J3" s="1093">
        <v>2022</v>
      </c>
      <c r="K3" s="1159">
        <v>2023</v>
      </c>
      <c r="L3" s="1091"/>
      <c r="M3" s="1094" t="s">
        <v>456</v>
      </c>
      <c r="N3" s="1094" t="s">
        <v>457</v>
      </c>
      <c r="O3" s="1100" t="s">
        <v>458</v>
      </c>
      <c r="P3" s="1100" t="s">
        <v>459</v>
      </c>
      <c r="Q3" s="1100" t="s">
        <v>460</v>
      </c>
      <c r="R3" s="1100" t="s">
        <v>461</v>
      </c>
      <c r="S3" s="1100" t="s">
        <v>462</v>
      </c>
      <c r="T3" s="1100" t="s">
        <v>463</v>
      </c>
      <c r="U3" s="1100" t="s">
        <v>464</v>
      </c>
      <c r="V3" s="1100" t="s">
        <v>465</v>
      </c>
      <c r="W3" s="1100" t="s">
        <v>466</v>
      </c>
      <c r="X3" s="1100" t="s">
        <v>467</v>
      </c>
      <c r="Y3" s="1091"/>
      <c r="Z3" s="1101" t="s">
        <v>468</v>
      </c>
      <c r="AA3" s="1101" t="s">
        <v>469</v>
      </c>
      <c r="AB3" s="1101" t="s">
        <v>470</v>
      </c>
      <c r="AC3" s="1101" t="s">
        <v>471</v>
      </c>
      <c r="AD3" s="1102" t="s">
        <v>472</v>
      </c>
      <c r="AE3" s="1101" t="s">
        <v>473</v>
      </c>
      <c r="AF3" s="1102" t="s">
        <v>474</v>
      </c>
      <c r="AG3" s="1101" t="s">
        <v>475</v>
      </c>
      <c r="AH3" s="1101" t="s">
        <v>476</v>
      </c>
      <c r="AI3" s="1101" t="s">
        <v>477</v>
      </c>
      <c r="AJ3" s="1101" t="s">
        <v>478</v>
      </c>
      <c r="AK3" s="1101" t="s">
        <v>479</v>
      </c>
      <c r="AL3" s="1104"/>
      <c r="AM3" s="1091"/>
      <c r="AN3" s="1091"/>
      <c r="AO3" s="1092"/>
      <c r="AP3" s="1093">
        <v>2013</v>
      </c>
      <c r="AQ3" s="1093">
        <v>2014</v>
      </c>
      <c r="AR3" s="1093">
        <v>2015</v>
      </c>
      <c r="AS3" s="1093">
        <v>2016</v>
      </c>
      <c r="AT3" s="1093">
        <v>2017</v>
      </c>
      <c r="AU3" s="1093">
        <v>2018</v>
      </c>
      <c r="AV3" s="1093">
        <v>2019</v>
      </c>
      <c r="AW3" s="1093">
        <v>2020</v>
      </c>
      <c r="AX3" s="1093">
        <v>2021</v>
      </c>
      <c r="AY3" s="1093">
        <v>2022</v>
      </c>
      <c r="AZ3" s="1093">
        <v>2023</v>
      </c>
      <c r="BA3" s="1093">
        <v>2020</v>
      </c>
      <c r="BB3" s="1093">
        <v>2021</v>
      </c>
      <c r="BC3" s="1093">
        <v>2022</v>
      </c>
      <c r="BD3" s="1093">
        <v>2023</v>
      </c>
      <c r="BE3" s="1093">
        <v>2024</v>
      </c>
      <c r="BF3" s="1912">
        <v>2025</v>
      </c>
    </row>
    <row r="4" spans="1:59">
      <c r="A4" s="375"/>
      <c r="B4" s="375"/>
      <c r="C4" s="375"/>
      <c r="D4" s="375"/>
      <c r="E4" s="375"/>
      <c r="F4" s="375"/>
      <c r="G4" s="375"/>
      <c r="H4" s="375"/>
      <c r="I4" s="375"/>
      <c r="J4" s="375"/>
      <c r="K4" s="1160"/>
      <c r="L4" s="375"/>
      <c r="M4" s="1096"/>
      <c r="N4" s="1096"/>
      <c r="O4" s="1097"/>
      <c r="P4" s="1097"/>
      <c r="Q4" s="1097"/>
      <c r="R4" s="1097"/>
      <c r="S4" s="1097"/>
      <c r="T4" s="1097"/>
      <c r="U4" s="1097"/>
      <c r="V4" s="1097"/>
      <c r="W4" s="1097"/>
      <c r="X4" s="1097"/>
      <c r="Y4" s="1103"/>
      <c r="Z4" s="1104"/>
      <c r="AA4" s="1105"/>
      <c r="AB4" s="1105"/>
      <c r="AC4" s="1104"/>
      <c r="AD4" s="1161"/>
      <c r="AE4" s="1104"/>
      <c r="AF4" s="1161"/>
      <c r="AG4" s="1104"/>
      <c r="AH4" s="1104"/>
      <c r="AI4" s="1104"/>
      <c r="AJ4" s="1104"/>
      <c r="AK4" s="1104"/>
      <c r="AL4" s="1104"/>
      <c r="AM4" s="1091"/>
      <c r="AN4" s="1095" t="s">
        <v>480</v>
      </c>
      <c r="AO4" s="1092" t="s">
        <v>481</v>
      </c>
      <c r="AP4" s="375"/>
      <c r="AQ4" s="375"/>
      <c r="AR4" s="375"/>
      <c r="AS4" s="1091"/>
      <c r="AT4" s="1091"/>
      <c r="AU4" s="1091"/>
      <c r="AV4" s="1091"/>
      <c r="AW4" s="1091"/>
      <c r="AX4" s="1091"/>
      <c r="AY4" s="1091"/>
      <c r="AZ4" s="1091"/>
      <c r="BD4" s="317"/>
    </row>
    <row r="5" spans="1:59" ht="14.4">
      <c r="A5" s="375">
        <f>Z5+AA5</f>
        <v>0</v>
      </c>
      <c r="B5" s="375">
        <f>AB5+AC5</f>
        <v>0</v>
      </c>
      <c r="C5" s="375">
        <f>AD5+AE5</f>
        <v>0</v>
      </c>
      <c r="D5" s="375">
        <f>AF5+AG5</f>
        <v>0</v>
      </c>
      <c r="E5" s="375">
        <v>0</v>
      </c>
      <c r="F5" s="375">
        <v>0</v>
      </c>
      <c r="G5" s="375">
        <v>0</v>
      </c>
      <c r="H5" s="375">
        <v>0</v>
      </c>
      <c r="I5" s="375">
        <v>0</v>
      </c>
      <c r="J5" s="375">
        <v>0</v>
      </c>
      <c r="K5" s="1160"/>
      <c r="L5" s="375"/>
      <c r="M5" s="1096">
        <f t="shared" ref="M5:M34" si="0">A5*100/$C$39</f>
        <v>0</v>
      </c>
      <c r="N5" s="1096">
        <f t="shared" ref="N5:N34" si="1">B5*100/$D$39</f>
        <v>0</v>
      </c>
      <c r="O5" s="1096">
        <f t="shared" ref="O5:O34" si="2">C5*100/$E$39</f>
        <v>0</v>
      </c>
      <c r="P5" s="1096">
        <f t="shared" ref="P5:P34" si="3">AE5*100/$AG$36</f>
        <v>0</v>
      </c>
      <c r="Q5" s="1096">
        <f t="shared" ref="Q5:Q34" si="4">D5*100/$F$39</f>
        <v>0</v>
      </c>
      <c r="R5" s="1096">
        <f t="shared" ref="R5:R34" si="5">E5*100/$G$39</f>
        <v>0</v>
      </c>
      <c r="S5" s="1096">
        <f t="shared" ref="S5:S34" si="6">F5*100/$H$39</f>
        <v>0</v>
      </c>
      <c r="T5" s="1096">
        <f t="shared" ref="T5:T34" si="7">G5*100/$I$39</f>
        <v>0</v>
      </c>
      <c r="U5" s="1096">
        <f t="shared" ref="U5:U34" si="8">H5*100/$J$39</f>
        <v>0</v>
      </c>
      <c r="V5" s="1096">
        <v>0</v>
      </c>
      <c r="W5" s="1096">
        <f>J5*100/$J$39</f>
        <v>0</v>
      </c>
      <c r="X5" s="1096">
        <f>K5*100/$K$39</f>
        <v>0</v>
      </c>
      <c r="Y5" s="375"/>
      <c r="Z5" s="1106"/>
      <c r="AA5" s="1107"/>
      <c r="AB5" s="1107"/>
      <c r="AC5" s="1104"/>
      <c r="AD5" s="1161"/>
      <c r="AE5" s="1104"/>
      <c r="AF5" s="1161"/>
      <c r="AG5" s="1104"/>
      <c r="AH5" s="1104"/>
      <c r="AI5" s="1104"/>
      <c r="AJ5" s="1104"/>
      <c r="AK5" s="1104"/>
      <c r="AL5" s="1104"/>
      <c r="AM5" s="1091"/>
      <c r="AN5" s="376">
        <v>6.5</v>
      </c>
      <c r="AO5" s="1092">
        <v>6</v>
      </c>
      <c r="AP5" s="1113">
        <f t="shared" ref="AP5:AP38" si="9">$AR$42*A5/$C$40</f>
        <v>0</v>
      </c>
      <c r="AQ5" s="1113">
        <f t="shared" ref="AQ5:AQ38" si="10">$AS$42*B5/$D$40</f>
        <v>0</v>
      </c>
      <c r="AR5" s="1113">
        <f t="shared" ref="AR5:AR38" si="11">$AT$42*C5/$E$40</f>
        <v>0</v>
      </c>
      <c r="AS5" s="1113">
        <f t="shared" ref="AS5:AS38" si="12">$AU$42*D5/$F$40</f>
        <v>0</v>
      </c>
      <c r="AT5" s="1113">
        <f t="shared" ref="AT5:AT38" si="13">$AV$42*E5/$G$40</f>
        <v>0</v>
      </c>
      <c r="AU5" s="1113">
        <f t="shared" ref="AU5:AU38" si="14">$AW$42*F5/$H$40</f>
        <v>0</v>
      </c>
      <c r="AV5" s="1113">
        <f t="shared" ref="AV5:AV38" si="15">$AX$42*G5/$I$40</f>
        <v>0</v>
      </c>
      <c r="AW5" s="1113">
        <f t="shared" ref="AW5:AW38" si="16">$AY$42*H5/$J$40</f>
        <v>0</v>
      </c>
      <c r="AX5" s="1113">
        <f t="shared" ref="AX5:AX34" si="17">$AZ$42*I5/$K$40</f>
        <v>0</v>
      </c>
      <c r="AY5" s="1113">
        <f>$AZ$42*J5/$K$40</f>
        <v>0</v>
      </c>
      <c r="AZ5" s="1113">
        <f>$AZ$42*K5/$K$40</f>
        <v>0</v>
      </c>
      <c r="BA5" s="1113">
        <v>0</v>
      </c>
      <c r="BB5" s="1113">
        <v>0</v>
      </c>
      <c r="BC5" s="1173">
        <v>0</v>
      </c>
      <c r="BD5" s="1174">
        <v>0</v>
      </c>
    </row>
    <row r="6" spans="1:59" ht="14.4">
      <c r="A6" s="375">
        <f t="shared" ref="A6:A33" si="18">Z6+AA6</f>
        <v>0</v>
      </c>
      <c r="B6" s="375">
        <f t="shared" ref="B6:B33" si="19">AB6+AC6</f>
        <v>0</v>
      </c>
      <c r="C6" s="375">
        <f t="shared" ref="C6:C33" si="20">AD6+AE6</f>
        <v>0</v>
      </c>
      <c r="D6" s="375">
        <f t="shared" ref="D6:D33" si="21">AF6+AG6</f>
        <v>0</v>
      </c>
      <c r="E6" s="375">
        <v>0</v>
      </c>
      <c r="F6" s="375">
        <v>0</v>
      </c>
      <c r="G6" s="375">
        <v>0</v>
      </c>
      <c r="H6" s="375">
        <v>0</v>
      </c>
      <c r="I6" s="375">
        <v>0</v>
      </c>
      <c r="J6" s="375">
        <v>0</v>
      </c>
      <c r="K6" s="1160"/>
      <c r="L6" s="375"/>
      <c r="M6" s="1096">
        <f t="shared" si="0"/>
        <v>0</v>
      </c>
      <c r="N6" s="1096">
        <f t="shared" si="1"/>
        <v>0</v>
      </c>
      <c r="O6" s="1096">
        <f t="shared" si="2"/>
        <v>0</v>
      </c>
      <c r="P6" s="1096">
        <f t="shared" si="3"/>
        <v>0</v>
      </c>
      <c r="Q6" s="1096">
        <f t="shared" si="4"/>
        <v>0</v>
      </c>
      <c r="R6" s="1096">
        <f t="shared" si="5"/>
        <v>0</v>
      </c>
      <c r="S6" s="1096">
        <f t="shared" si="6"/>
        <v>0</v>
      </c>
      <c r="T6" s="1096">
        <f t="shared" si="7"/>
        <v>0</v>
      </c>
      <c r="U6" s="1096">
        <f t="shared" si="8"/>
        <v>0</v>
      </c>
      <c r="V6" s="1096">
        <v>0</v>
      </c>
      <c r="W6" s="1096">
        <f t="shared" ref="W6:W33" si="22">J6*100/$J$39</f>
        <v>0</v>
      </c>
      <c r="X6" s="1096">
        <f t="shared" ref="X6:X34" si="23">K6*100/$K$39</f>
        <v>0</v>
      </c>
      <c r="Y6" s="375"/>
      <c r="Z6" s="1106"/>
      <c r="AA6" s="1107"/>
      <c r="AB6" s="1106"/>
      <c r="AC6" s="1104"/>
      <c r="AD6" s="1161"/>
      <c r="AE6" s="1104"/>
      <c r="AF6" s="1161"/>
      <c r="AG6" s="1104"/>
      <c r="AH6" s="1104"/>
      <c r="AI6" s="1104"/>
      <c r="AJ6" s="1104"/>
      <c r="AK6" s="1104"/>
      <c r="AL6" s="1104"/>
      <c r="AM6" s="1091"/>
      <c r="AN6" s="376">
        <v>7.5</v>
      </c>
      <c r="AO6" s="1092">
        <v>7</v>
      </c>
      <c r="AP6" s="1113">
        <f t="shared" si="9"/>
        <v>0</v>
      </c>
      <c r="AQ6" s="1113">
        <f t="shared" si="10"/>
        <v>0</v>
      </c>
      <c r="AR6" s="1113">
        <f t="shared" si="11"/>
        <v>0</v>
      </c>
      <c r="AS6" s="1113">
        <f t="shared" si="12"/>
        <v>0</v>
      </c>
      <c r="AT6" s="1113">
        <f t="shared" si="13"/>
        <v>0</v>
      </c>
      <c r="AU6" s="1113">
        <f t="shared" si="14"/>
        <v>0</v>
      </c>
      <c r="AV6" s="1113">
        <f t="shared" si="15"/>
        <v>0</v>
      </c>
      <c r="AW6" s="1113">
        <f t="shared" si="16"/>
        <v>0</v>
      </c>
      <c r="AX6" s="1113">
        <f t="shared" si="17"/>
        <v>0</v>
      </c>
      <c r="AY6" s="1113" t="e">
        <f t="shared" ref="AY6:AZ35" si="24">$BA$42*J6/$L$40</f>
        <v>#DIV/0!</v>
      </c>
      <c r="AZ6" s="1113" t="e">
        <f t="shared" si="24"/>
        <v>#DIV/0!</v>
      </c>
      <c r="BA6" s="1113">
        <v>0</v>
      </c>
      <c r="BB6" s="1113">
        <v>0</v>
      </c>
      <c r="BC6" s="1173">
        <v>0</v>
      </c>
      <c r="BD6" s="1174">
        <v>0</v>
      </c>
    </row>
    <row r="7" spans="1:59" ht="14.4">
      <c r="A7" s="375">
        <f t="shared" si="18"/>
        <v>0</v>
      </c>
      <c r="B7" s="375">
        <f t="shared" si="19"/>
        <v>0</v>
      </c>
      <c r="C7" s="375">
        <f t="shared" si="20"/>
        <v>0</v>
      </c>
      <c r="D7" s="375">
        <f t="shared" si="21"/>
        <v>0</v>
      </c>
      <c r="E7" s="375">
        <v>0</v>
      </c>
      <c r="F7" s="375">
        <v>0</v>
      </c>
      <c r="G7" s="375">
        <v>0</v>
      </c>
      <c r="H7" s="375">
        <v>0</v>
      </c>
      <c r="I7" s="375">
        <v>0</v>
      </c>
      <c r="J7" s="375">
        <v>0</v>
      </c>
      <c r="K7" s="1160"/>
      <c r="L7" s="375"/>
      <c r="M7" s="1096">
        <f t="shared" si="0"/>
        <v>0</v>
      </c>
      <c r="N7" s="1096">
        <f t="shared" si="1"/>
        <v>0</v>
      </c>
      <c r="O7" s="1096">
        <f t="shared" si="2"/>
        <v>0</v>
      </c>
      <c r="P7" s="1096">
        <f t="shared" si="3"/>
        <v>0</v>
      </c>
      <c r="Q7" s="1096">
        <f t="shared" si="4"/>
        <v>0</v>
      </c>
      <c r="R7" s="1096">
        <f t="shared" si="5"/>
        <v>0</v>
      </c>
      <c r="S7" s="1096">
        <f t="shared" si="6"/>
        <v>0</v>
      </c>
      <c r="T7" s="1096">
        <f t="shared" si="7"/>
        <v>0</v>
      </c>
      <c r="U7" s="1096">
        <f t="shared" si="8"/>
        <v>0</v>
      </c>
      <c r="V7" s="1096">
        <v>0</v>
      </c>
      <c r="W7" s="1096">
        <f t="shared" si="22"/>
        <v>0</v>
      </c>
      <c r="X7" s="1096">
        <f t="shared" si="23"/>
        <v>0</v>
      </c>
      <c r="Y7" s="375"/>
      <c r="Z7" s="1106"/>
      <c r="AA7" s="1107"/>
      <c r="AB7" s="1106"/>
      <c r="AC7" s="1162"/>
      <c r="AD7" s="1163"/>
      <c r="AE7" s="1104"/>
      <c r="AF7" s="1163"/>
      <c r="AG7" s="1104"/>
      <c r="AH7" s="1104"/>
      <c r="AI7" s="1104"/>
      <c r="AJ7" s="1104"/>
      <c r="AK7" s="1104"/>
      <c r="AL7" s="1104"/>
      <c r="AM7" s="1091"/>
      <c r="AN7" s="376">
        <v>8.5</v>
      </c>
      <c r="AO7" s="1092">
        <v>8</v>
      </c>
      <c r="AP7" s="1113">
        <f t="shared" si="9"/>
        <v>0</v>
      </c>
      <c r="AQ7" s="1113">
        <f t="shared" si="10"/>
        <v>0</v>
      </c>
      <c r="AR7" s="1113">
        <f t="shared" si="11"/>
        <v>0</v>
      </c>
      <c r="AS7" s="1113">
        <f t="shared" si="12"/>
        <v>0</v>
      </c>
      <c r="AT7" s="1113">
        <f t="shared" si="13"/>
        <v>0</v>
      </c>
      <c r="AU7" s="1113">
        <f t="shared" si="14"/>
        <v>0</v>
      </c>
      <c r="AV7" s="1113">
        <f t="shared" si="15"/>
        <v>0</v>
      </c>
      <c r="AW7" s="1113">
        <f t="shared" si="16"/>
        <v>0</v>
      </c>
      <c r="AX7" s="1113">
        <f t="shared" si="17"/>
        <v>0</v>
      </c>
      <c r="AY7" s="1113" t="e">
        <f t="shared" si="24"/>
        <v>#DIV/0!</v>
      </c>
      <c r="AZ7" s="1113" t="e">
        <f t="shared" si="24"/>
        <v>#DIV/0!</v>
      </c>
      <c r="BA7" s="1113">
        <v>0</v>
      </c>
      <c r="BB7" s="1113">
        <v>0</v>
      </c>
      <c r="BC7" s="1173">
        <v>0</v>
      </c>
      <c r="BD7" s="1174">
        <v>0</v>
      </c>
    </row>
    <row r="8" spans="1:59" ht="14.4">
      <c r="A8" s="375">
        <f t="shared" si="18"/>
        <v>0</v>
      </c>
      <c r="B8" s="375">
        <f t="shared" si="19"/>
        <v>0</v>
      </c>
      <c r="C8" s="375">
        <f t="shared" si="20"/>
        <v>1</v>
      </c>
      <c r="D8" s="375">
        <f t="shared" si="21"/>
        <v>0</v>
      </c>
      <c r="E8" s="375">
        <v>0</v>
      </c>
      <c r="F8" s="375">
        <v>0</v>
      </c>
      <c r="G8" s="375">
        <v>0</v>
      </c>
      <c r="H8" s="375">
        <v>0</v>
      </c>
      <c r="I8" s="375">
        <v>0</v>
      </c>
      <c r="J8" s="375">
        <v>1</v>
      </c>
      <c r="K8" s="1160"/>
      <c r="L8" s="375"/>
      <c r="M8" s="1096">
        <f t="shared" si="0"/>
        <v>0</v>
      </c>
      <c r="N8" s="1096">
        <f t="shared" si="1"/>
        <v>0</v>
      </c>
      <c r="O8" s="1096">
        <f t="shared" si="2"/>
        <v>2.3207240659085634E-2</v>
      </c>
      <c r="P8" s="1096">
        <f t="shared" si="3"/>
        <v>4.0469445568595712E-2</v>
      </c>
      <c r="Q8" s="1096">
        <f t="shared" si="4"/>
        <v>0</v>
      </c>
      <c r="R8" s="1096">
        <f t="shared" si="5"/>
        <v>0</v>
      </c>
      <c r="S8" s="1096">
        <f t="shared" si="6"/>
        <v>0</v>
      </c>
      <c r="T8" s="1096">
        <f t="shared" si="7"/>
        <v>0</v>
      </c>
      <c r="U8" s="1096">
        <f t="shared" si="8"/>
        <v>0</v>
      </c>
      <c r="V8" s="1096">
        <v>0</v>
      </c>
      <c r="W8" s="1096">
        <f t="shared" si="22"/>
        <v>7.3324534389206629E-3</v>
      </c>
      <c r="X8" s="1096">
        <f t="shared" si="23"/>
        <v>0</v>
      </c>
      <c r="Y8" s="375"/>
      <c r="Z8" s="1106"/>
      <c r="AA8" s="1107"/>
      <c r="AB8" s="1106"/>
      <c r="AC8" s="1162"/>
      <c r="AD8" s="1163"/>
      <c r="AE8" s="1104">
        <v>1</v>
      </c>
      <c r="AF8" s="1163"/>
      <c r="AG8" s="1104"/>
      <c r="AH8" s="1104"/>
      <c r="AI8" s="1104"/>
      <c r="AJ8" s="1104"/>
      <c r="AK8" s="1104"/>
      <c r="AL8" s="1104"/>
      <c r="AM8" s="1091"/>
      <c r="AN8" s="376">
        <v>9.5</v>
      </c>
      <c r="AO8" s="1092">
        <v>9</v>
      </c>
      <c r="AP8" s="1113">
        <f t="shared" si="9"/>
        <v>0</v>
      </c>
      <c r="AQ8" s="1113">
        <f t="shared" si="10"/>
        <v>0</v>
      </c>
      <c r="AR8" s="1113">
        <f t="shared" si="11"/>
        <v>3069.5764909248055</v>
      </c>
      <c r="AS8" s="1113">
        <f t="shared" si="12"/>
        <v>0</v>
      </c>
      <c r="AT8" s="1113">
        <f t="shared" si="13"/>
        <v>0</v>
      </c>
      <c r="AU8" s="1113">
        <f t="shared" si="14"/>
        <v>0</v>
      </c>
      <c r="AV8" s="1113">
        <f t="shared" si="15"/>
        <v>0</v>
      </c>
      <c r="AW8" s="1113">
        <f t="shared" si="16"/>
        <v>0</v>
      </c>
      <c r="AX8" s="1113">
        <f t="shared" si="17"/>
        <v>0</v>
      </c>
      <c r="AY8" s="1113" t="e">
        <f t="shared" si="24"/>
        <v>#DIV/0!</v>
      </c>
      <c r="AZ8" s="1113" t="e">
        <f t="shared" si="24"/>
        <v>#DIV/0!</v>
      </c>
      <c r="BA8" s="1113">
        <v>0</v>
      </c>
      <c r="BB8" s="1113">
        <v>0</v>
      </c>
      <c r="BC8" s="1173">
        <v>375.0956515870335</v>
      </c>
      <c r="BD8" s="1174">
        <v>0</v>
      </c>
    </row>
    <row r="9" spans="1:59" ht="14.4">
      <c r="A9" s="375">
        <f t="shared" si="18"/>
        <v>0</v>
      </c>
      <c r="B9" s="375">
        <f t="shared" si="19"/>
        <v>0</v>
      </c>
      <c r="C9" s="375">
        <f t="shared" si="20"/>
        <v>1</v>
      </c>
      <c r="D9" s="375">
        <f t="shared" si="21"/>
        <v>0</v>
      </c>
      <c r="E9" s="375">
        <v>0</v>
      </c>
      <c r="F9" s="1091">
        <v>1</v>
      </c>
      <c r="G9" s="375">
        <v>0</v>
      </c>
      <c r="H9" s="375">
        <v>0</v>
      </c>
      <c r="I9" s="375">
        <v>0</v>
      </c>
      <c r="J9" s="375">
        <v>0</v>
      </c>
      <c r="K9" s="1160"/>
      <c r="L9" s="1091"/>
      <c r="M9" s="1096">
        <f t="shared" si="0"/>
        <v>0</v>
      </c>
      <c r="N9" s="1096">
        <f t="shared" si="1"/>
        <v>0</v>
      </c>
      <c r="O9" s="1096">
        <f t="shared" si="2"/>
        <v>2.3207240659085634E-2</v>
      </c>
      <c r="P9" s="1096">
        <f t="shared" si="3"/>
        <v>4.0469445568595712E-2</v>
      </c>
      <c r="Q9" s="1096">
        <f t="shared" si="4"/>
        <v>0</v>
      </c>
      <c r="R9" s="1096">
        <f t="shared" si="5"/>
        <v>0</v>
      </c>
      <c r="S9" s="1096">
        <f t="shared" si="6"/>
        <v>4.5766590389016017E-2</v>
      </c>
      <c r="T9" s="1096">
        <f t="shared" si="7"/>
        <v>0</v>
      </c>
      <c r="U9" s="1096">
        <f t="shared" si="8"/>
        <v>0</v>
      </c>
      <c r="V9" s="1096">
        <v>0</v>
      </c>
      <c r="W9" s="1096">
        <f t="shared" si="22"/>
        <v>0</v>
      </c>
      <c r="X9" s="1096">
        <f t="shared" si="23"/>
        <v>0</v>
      </c>
      <c r="Y9" s="375"/>
      <c r="Z9" s="1106"/>
      <c r="AA9" s="1107"/>
      <c r="AB9" s="1106"/>
      <c r="AC9" s="1162"/>
      <c r="AD9" s="1163"/>
      <c r="AE9" s="1104">
        <v>1</v>
      </c>
      <c r="AF9" s="1163"/>
      <c r="AG9" s="1104"/>
      <c r="AH9" s="1104"/>
      <c r="AI9" s="1104">
        <v>1</v>
      </c>
      <c r="AJ9" s="1104"/>
      <c r="AK9" s="1104"/>
      <c r="AL9" s="1104"/>
      <c r="AM9" s="1091"/>
      <c r="AN9" s="376">
        <v>10.5</v>
      </c>
      <c r="AO9" s="1092">
        <v>10</v>
      </c>
      <c r="AP9" s="1113">
        <f t="shared" si="9"/>
        <v>0</v>
      </c>
      <c r="AQ9" s="1113">
        <f t="shared" si="10"/>
        <v>0</v>
      </c>
      <c r="AR9" s="1113">
        <f t="shared" si="11"/>
        <v>3069.5764909248055</v>
      </c>
      <c r="AS9" s="1113">
        <f t="shared" si="12"/>
        <v>0</v>
      </c>
      <c r="AT9" s="1113">
        <f t="shared" si="13"/>
        <v>0</v>
      </c>
      <c r="AU9" s="1113">
        <f t="shared" si="14"/>
        <v>6777.4660047485422</v>
      </c>
      <c r="AV9" s="1113">
        <f t="shared" si="15"/>
        <v>0</v>
      </c>
      <c r="AW9" s="1113">
        <f t="shared" si="16"/>
        <v>0</v>
      </c>
      <c r="AX9" s="1113">
        <f t="shared" si="17"/>
        <v>0</v>
      </c>
      <c r="AY9" s="1113" t="e">
        <f t="shared" si="24"/>
        <v>#DIV/0!</v>
      </c>
      <c r="AZ9" s="1113" t="e">
        <f t="shared" si="24"/>
        <v>#DIV/0!</v>
      </c>
      <c r="BA9" s="1113">
        <v>0</v>
      </c>
      <c r="BB9" s="1113">
        <v>0</v>
      </c>
      <c r="BC9" s="1173">
        <v>0</v>
      </c>
      <c r="BD9" s="1174">
        <v>0</v>
      </c>
    </row>
    <row r="10" spans="1:59">
      <c r="A10" s="375">
        <f t="shared" si="18"/>
        <v>2</v>
      </c>
      <c r="B10" s="375">
        <f t="shared" si="19"/>
        <v>7</v>
      </c>
      <c r="C10" s="375">
        <f t="shared" si="20"/>
        <v>4</v>
      </c>
      <c r="D10" s="375">
        <f t="shared" si="21"/>
        <v>0</v>
      </c>
      <c r="E10" s="375">
        <v>0</v>
      </c>
      <c r="F10" s="1091">
        <v>2</v>
      </c>
      <c r="G10" s="375">
        <v>0</v>
      </c>
      <c r="H10" s="375">
        <v>0</v>
      </c>
      <c r="I10" s="375">
        <v>0</v>
      </c>
      <c r="J10" s="375">
        <v>0</v>
      </c>
      <c r="K10" s="1160">
        <v>1</v>
      </c>
      <c r="L10" s="1091"/>
      <c r="M10" s="1096">
        <f t="shared" si="0"/>
        <v>1.8193395797325571E-2</v>
      </c>
      <c r="N10" s="1096">
        <f t="shared" si="1"/>
        <v>9.4517958412098299E-2</v>
      </c>
      <c r="O10" s="1096">
        <f t="shared" si="2"/>
        <v>9.2828962636342535E-2</v>
      </c>
      <c r="P10" s="1096">
        <f t="shared" si="3"/>
        <v>0.16187778227438285</v>
      </c>
      <c r="Q10" s="1096">
        <f t="shared" si="4"/>
        <v>0</v>
      </c>
      <c r="R10" s="1096">
        <f t="shared" si="5"/>
        <v>0</v>
      </c>
      <c r="S10" s="1096">
        <f t="shared" si="6"/>
        <v>9.1533180778032033E-2</v>
      </c>
      <c r="T10" s="1096">
        <f t="shared" si="7"/>
        <v>0</v>
      </c>
      <c r="U10" s="1096">
        <f t="shared" si="8"/>
        <v>0</v>
      </c>
      <c r="V10" s="1096">
        <v>0</v>
      </c>
      <c r="W10" s="1096">
        <f t="shared" si="22"/>
        <v>0</v>
      </c>
      <c r="X10" s="1096">
        <f t="shared" si="23"/>
        <v>1.5368065160596281E-2</v>
      </c>
      <c r="Y10" s="375"/>
      <c r="Z10" s="1106">
        <v>2</v>
      </c>
      <c r="AA10" s="1106"/>
      <c r="AB10" s="1106">
        <v>4</v>
      </c>
      <c r="AC10" s="1162">
        <v>3</v>
      </c>
      <c r="AD10" s="1163"/>
      <c r="AE10" s="1162">
        <v>4</v>
      </c>
      <c r="AF10" s="1163"/>
      <c r="AG10" s="1162"/>
      <c r="AH10" s="1162"/>
      <c r="AI10" s="1162">
        <v>2</v>
      </c>
      <c r="AJ10" s="1162"/>
      <c r="AK10" s="1104"/>
      <c r="AL10" s="1104"/>
      <c r="AM10" s="1091"/>
      <c r="AN10" s="376">
        <v>11.5</v>
      </c>
      <c r="AO10" s="1092">
        <v>11</v>
      </c>
      <c r="AP10" s="1113">
        <f t="shared" si="9"/>
        <v>1773.2394366197184</v>
      </c>
      <c r="AQ10" s="1113">
        <f t="shared" si="10"/>
        <v>13114.117959758518</v>
      </c>
      <c r="AR10" s="1113">
        <f t="shared" si="11"/>
        <v>12278.305963699222</v>
      </c>
      <c r="AS10" s="1113">
        <f t="shared" si="12"/>
        <v>0</v>
      </c>
      <c r="AT10" s="1113">
        <f t="shared" si="13"/>
        <v>0</v>
      </c>
      <c r="AU10" s="1113">
        <f t="shared" si="14"/>
        <v>13554.932009497084</v>
      </c>
      <c r="AV10" s="1113">
        <f t="shared" si="15"/>
        <v>0</v>
      </c>
      <c r="AW10" s="1113">
        <f t="shared" si="16"/>
        <v>0</v>
      </c>
      <c r="AX10" s="1113">
        <f t="shared" si="17"/>
        <v>0</v>
      </c>
      <c r="AY10" s="1113" t="e">
        <f t="shared" si="24"/>
        <v>#DIV/0!</v>
      </c>
      <c r="AZ10" s="1113" t="e">
        <f t="shared" si="24"/>
        <v>#DIV/0!</v>
      </c>
      <c r="BA10" s="1113">
        <v>0</v>
      </c>
      <c r="BB10" s="1113">
        <v>0</v>
      </c>
      <c r="BC10" s="1173">
        <v>0</v>
      </c>
      <c r="BD10" s="1174">
        <v>375.0956515870335</v>
      </c>
      <c r="BG10">
        <f t="shared" ref="BG10:BG39" si="25">BE10/$BE$41</f>
        <v>0</v>
      </c>
    </row>
    <row r="11" spans="1:59">
      <c r="A11" s="375">
        <f t="shared" si="18"/>
        <v>27</v>
      </c>
      <c r="B11" s="375">
        <f t="shared" si="19"/>
        <v>192</v>
      </c>
      <c r="C11" s="375">
        <f t="shared" si="20"/>
        <v>3</v>
      </c>
      <c r="D11" s="375">
        <f t="shared" si="21"/>
        <v>9</v>
      </c>
      <c r="E11" s="1091">
        <v>2</v>
      </c>
      <c r="F11" s="1091">
        <v>16</v>
      </c>
      <c r="G11" s="1091">
        <v>1</v>
      </c>
      <c r="H11" s="375">
        <v>0</v>
      </c>
      <c r="I11" s="1091">
        <v>1</v>
      </c>
      <c r="J11" s="1091">
        <v>6</v>
      </c>
      <c r="K11" s="1164">
        <v>10</v>
      </c>
      <c r="L11" s="1091"/>
      <c r="M11" s="1096">
        <f t="shared" si="0"/>
        <v>0.24561084326389521</v>
      </c>
      <c r="N11" s="1096">
        <f t="shared" si="1"/>
        <v>2.5924925735889821</v>
      </c>
      <c r="O11" s="1096">
        <f t="shared" si="2"/>
        <v>6.9621721977256898E-2</v>
      </c>
      <c r="P11" s="1096">
        <f t="shared" si="3"/>
        <v>0.12140833670578713</v>
      </c>
      <c r="Q11" s="1096">
        <f t="shared" si="4"/>
        <v>0.11720276077614272</v>
      </c>
      <c r="R11" s="1096">
        <f t="shared" si="5"/>
        <v>1.6561775422325273E-2</v>
      </c>
      <c r="S11" s="1096">
        <f t="shared" si="6"/>
        <v>0.73226544622425627</v>
      </c>
      <c r="T11" s="1096">
        <f t="shared" si="7"/>
        <v>7.4123489733896675E-3</v>
      </c>
      <c r="U11" s="1096">
        <f t="shared" si="8"/>
        <v>0</v>
      </c>
      <c r="V11" s="1096">
        <v>7.4123489733896675E-3</v>
      </c>
      <c r="W11" s="1096">
        <f t="shared" si="22"/>
        <v>4.3994720633523977E-2</v>
      </c>
      <c r="X11" s="1096">
        <f t="shared" si="23"/>
        <v>0.15368065160596281</v>
      </c>
      <c r="Y11" s="375"/>
      <c r="Z11" s="1106">
        <v>18</v>
      </c>
      <c r="AA11" s="1106">
        <v>9</v>
      </c>
      <c r="AB11" s="1106">
        <v>92</v>
      </c>
      <c r="AC11" s="1162">
        <v>100</v>
      </c>
      <c r="AD11" s="1163"/>
      <c r="AE11" s="1162">
        <v>3</v>
      </c>
      <c r="AF11" s="1163">
        <v>1</v>
      </c>
      <c r="AG11" s="1162">
        <v>8</v>
      </c>
      <c r="AH11" s="1162">
        <v>2</v>
      </c>
      <c r="AI11" s="1162">
        <v>16</v>
      </c>
      <c r="AJ11" s="1162">
        <v>1</v>
      </c>
      <c r="AK11" s="1104"/>
      <c r="AL11" s="1104"/>
      <c r="AM11" s="1165" t="s">
        <v>482</v>
      </c>
      <c r="AN11" s="376">
        <v>12.5</v>
      </c>
      <c r="AO11" s="1092">
        <v>12</v>
      </c>
      <c r="AP11" s="1113">
        <f t="shared" si="9"/>
        <v>23938.732394366198</v>
      </c>
      <c r="AQ11" s="1113">
        <f t="shared" si="10"/>
        <v>359701.52118194796</v>
      </c>
      <c r="AR11" s="1113">
        <f t="shared" si="11"/>
        <v>9208.7294727744156</v>
      </c>
      <c r="AS11" s="1113">
        <f t="shared" si="12"/>
        <v>9178.6934018665124</v>
      </c>
      <c r="AT11" s="1113">
        <f t="shared" si="13"/>
        <v>2140.4165176959855</v>
      </c>
      <c r="AU11" s="1113">
        <f t="shared" si="14"/>
        <v>108439.45607597668</v>
      </c>
      <c r="AV11" s="1113">
        <f t="shared" si="15"/>
        <v>391.40142226756353</v>
      </c>
      <c r="AW11" s="1113">
        <f t="shared" si="16"/>
        <v>0</v>
      </c>
      <c r="AX11" s="1113">
        <f t="shared" si="17"/>
        <v>0</v>
      </c>
      <c r="AY11" s="1113" t="e">
        <f t="shared" si="24"/>
        <v>#DIV/0!</v>
      </c>
      <c r="AZ11" s="1113" t="e">
        <f t="shared" si="24"/>
        <v>#DIV/0!</v>
      </c>
      <c r="BA11" s="1113">
        <v>0</v>
      </c>
      <c r="BB11" s="1113">
        <v>391.40142226756353</v>
      </c>
      <c r="BC11" s="1173">
        <v>2250.5739095222011</v>
      </c>
      <c r="BD11" s="1174">
        <v>3750.9565158703349</v>
      </c>
      <c r="BG11">
        <f t="shared" si="25"/>
        <v>0</v>
      </c>
    </row>
    <row r="12" spans="1:59">
      <c r="A12" s="375">
        <f t="shared" si="18"/>
        <v>115</v>
      </c>
      <c r="B12" s="375">
        <f t="shared" si="19"/>
        <v>1799</v>
      </c>
      <c r="C12" s="375">
        <f t="shared" si="20"/>
        <v>61</v>
      </c>
      <c r="D12" s="375">
        <f t="shared" si="21"/>
        <v>40</v>
      </c>
      <c r="E12" s="1091">
        <v>10</v>
      </c>
      <c r="F12" s="1091">
        <v>83</v>
      </c>
      <c r="G12" s="1091">
        <v>75</v>
      </c>
      <c r="H12" s="1091">
        <v>4</v>
      </c>
      <c r="I12" s="1091">
        <v>15</v>
      </c>
      <c r="J12" s="1091">
        <v>14</v>
      </c>
      <c r="K12" s="1164">
        <v>40</v>
      </c>
      <c r="L12" s="1091"/>
      <c r="M12" s="1096">
        <f t="shared" si="0"/>
        <v>1.0461202583462204</v>
      </c>
      <c r="N12" s="1096">
        <f t="shared" si="1"/>
        <v>24.291115311909262</v>
      </c>
      <c r="O12" s="1096">
        <f t="shared" si="2"/>
        <v>1.4156416802042238</v>
      </c>
      <c r="P12" s="1096">
        <f t="shared" si="3"/>
        <v>0.36422501011736141</v>
      </c>
      <c r="Q12" s="1096">
        <f t="shared" si="4"/>
        <v>0.52090115900507883</v>
      </c>
      <c r="R12" s="1096">
        <f t="shared" si="5"/>
        <v>8.2808877111626364E-2</v>
      </c>
      <c r="S12" s="1096">
        <f t="shared" si="6"/>
        <v>3.7986270022883297</v>
      </c>
      <c r="T12" s="1096">
        <f t="shared" si="7"/>
        <v>0.55592617300422509</v>
      </c>
      <c r="U12" s="1096">
        <f t="shared" si="8"/>
        <v>2.9329813755682652E-2</v>
      </c>
      <c r="V12" s="1096">
        <v>0.11118523460084501</v>
      </c>
      <c r="W12" s="1096">
        <f t="shared" si="22"/>
        <v>0.10265434814488927</v>
      </c>
      <c r="X12" s="1096">
        <f t="shared" si="23"/>
        <v>0.61472260642385124</v>
      </c>
      <c r="Y12" s="375"/>
      <c r="Z12" s="1106">
        <v>59</v>
      </c>
      <c r="AA12" s="1106">
        <v>56</v>
      </c>
      <c r="AB12" s="1106">
        <v>1025</v>
      </c>
      <c r="AC12" s="1106">
        <v>774</v>
      </c>
      <c r="AD12" s="1108">
        <v>52</v>
      </c>
      <c r="AE12" s="1162">
        <v>9</v>
      </c>
      <c r="AF12" s="1108">
        <v>6</v>
      </c>
      <c r="AG12" s="1162">
        <v>34</v>
      </c>
      <c r="AH12" s="1162">
        <v>10</v>
      </c>
      <c r="AI12" s="1162">
        <v>83</v>
      </c>
      <c r="AJ12" s="1162">
        <v>75</v>
      </c>
      <c r="AK12" s="1104">
        <v>4</v>
      </c>
      <c r="AL12" s="1104"/>
      <c r="AM12" s="1091" t="e">
        <f>AD12*(0.004433*#REF!^3.21425)/1000</f>
        <v>#REF!</v>
      </c>
      <c r="AN12" s="376">
        <v>13.5</v>
      </c>
      <c r="AO12" s="1092">
        <v>13</v>
      </c>
      <c r="AP12" s="1113">
        <f t="shared" si="9"/>
        <v>101961.26760563381</v>
      </c>
      <c r="AQ12" s="1113">
        <f t="shared" si="10"/>
        <v>3370328.3156579398</v>
      </c>
      <c r="AR12" s="1113">
        <f t="shared" si="11"/>
        <v>187244.16594641312</v>
      </c>
      <c r="AS12" s="1113">
        <f t="shared" si="12"/>
        <v>40794.192897184497</v>
      </c>
      <c r="AT12" s="1113">
        <f t="shared" si="13"/>
        <v>10702.082588479927</v>
      </c>
      <c r="AU12" s="1113">
        <f t="shared" si="14"/>
        <v>562529.67839412903</v>
      </c>
      <c r="AV12" s="1113">
        <f t="shared" si="15"/>
        <v>29355.106670067264</v>
      </c>
      <c r="AW12" s="1113">
        <f t="shared" si="16"/>
        <v>1500.382606348134</v>
      </c>
      <c r="AX12" s="1113">
        <f t="shared" si="17"/>
        <v>0</v>
      </c>
      <c r="AY12" s="1113" t="e">
        <f t="shared" si="24"/>
        <v>#DIV/0!</v>
      </c>
      <c r="AZ12" s="1113" t="e">
        <f t="shared" si="24"/>
        <v>#DIV/0!</v>
      </c>
      <c r="BA12" s="1113">
        <v>27109.864018994169</v>
      </c>
      <c r="BB12" s="1113">
        <v>5871.0213340134533</v>
      </c>
      <c r="BC12" s="1173">
        <v>5251.3391222184691</v>
      </c>
      <c r="BD12" s="1174">
        <v>15003.82606348134</v>
      </c>
      <c r="BG12">
        <f t="shared" si="25"/>
        <v>0</v>
      </c>
    </row>
    <row r="13" spans="1:59">
      <c r="A13" s="375">
        <f t="shared" si="18"/>
        <v>550</v>
      </c>
      <c r="B13" s="375">
        <f t="shared" si="19"/>
        <v>1979</v>
      </c>
      <c r="C13" s="375">
        <f t="shared" si="20"/>
        <v>446</v>
      </c>
      <c r="D13" s="375">
        <f t="shared" si="21"/>
        <v>85</v>
      </c>
      <c r="E13" s="1091">
        <v>46</v>
      </c>
      <c r="F13" s="1091">
        <v>328</v>
      </c>
      <c r="G13" s="1091">
        <v>712</v>
      </c>
      <c r="H13" s="1091">
        <v>46</v>
      </c>
      <c r="I13" s="1091">
        <v>264</v>
      </c>
      <c r="J13" s="1091">
        <v>243</v>
      </c>
      <c r="K13" s="1164">
        <v>61</v>
      </c>
      <c r="L13" s="1091"/>
      <c r="M13" s="1096">
        <f t="shared" si="0"/>
        <v>5.003183844264532</v>
      </c>
      <c r="N13" s="1096">
        <f t="shared" si="1"/>
        <v>26.721577099648933</v>
      </c>
      <c r="O13" s="1096">
        <f t="shared" si="2"/>
        <v>10.350429333952192</v>
      </c>
      <c r="P13" s="1096">
        <f t="shared" si="3"/>
        <v>5.7061918251719952</v>
      </c>
      <c r="Q13" s="1096">
        <f t="shared" si="4"/>
        <v>1.1069149628857924</v>
      </c>
      <c r="R13" s="1096">
        <f t="shared" si="5"/>
        <v>0.38092083471348126</v>
      </c>
      <c r="S13" s="1096">
        <f t="shared" si="6"/>
        <v>15.011441647597254</v>
      </c>
      <c r="T13" s="1096">
        <f t="shared" si="7"/>
        <v>5.2775924690534435</v>
      </c>
      <c r="U13" s="1096">
        <f t="shared" si="8"/>
        <v>0.33729285819035049</v>
      </c>
      <c r="V13" s="1096">
        <v>1.9568601289748722</v>
      </c>
      <c r="W13" s="1096">
        <f t="shared" si="22"/>
        <v>1.7817861856577211</v>
      </c>
      <c r="X13" s="1096">
        <f t="shared" si="23"/>
        <v>0.9374519747963731</v>
      </c>
      <c r="Y13" s="375"/>
      <c r="Z13" s="1106">
        <v>330</v>
      </c>
      <c r="AA13" s="1106">
        <v>220</v>
      </c>
      <c r="AB13" s="1106">
        <v>1345</v>
      </c>
      <c r="AC13" s="1106">
        <v>634</v>
      </c>
      <c r="AD13" s="1108">
        <v>305</v>
      </c>
      <c r="AE13" s="1162">
        <v>141</v>
      </c>
      <c r="AF13" s="1108">
        <v>16</v>
      </c>
      <c r="AG13" s="1162">
        <v>69</v>
      </c>
      <c r="AH13" s="1162">
        <v>46</v>
      </c>
      <c r="AI13" s="1162">
        <v>328</v>
      </c>
      <c r="AJ13" s="1162">
        <v>712</v>
      </c>
      <c r="AK13" s="1104">
        <v>46</v>
      </c>
      <c r="AL13" s="1104"/>
      <c r="AM13" s="1091" t="e">
        <f>AD13*(0.004433*#REF!^3.21425)/1000</f>
        <v>#REF!</v>
      </c>
      <c r="AN13" s="376">
        <v>14.5</v>
      </c>
      <c r="AO13" s="1092">
        <v>14</v>
      </c>
      <c r="AP13" s="1113">
        <f t="shared" si="9"/>
        <v>487640.84507042257</v>
      </c>
      <c r="AQ13" s="1113">
        <f t="shared" si="10"/>
        <v>3707548.491766016</v>
      </c>
      <c r="AR13" s="1113">
        <f t="shared" si="11"/>
        <v>1369031.1149524632</v>
      </c>
      <c r="AS13" s="1113">
        <f t="shared" si="12"/>
        <v>86687.659906517059</v>
      </c>
      <c r="AT13" s="1113">
        <f t="shared" si="13"/>
        <v>49229.579907007668</v>
      </c>
      <c r="AU13" s="1113">
        <f t="shared" si="14"/>
        <v>2223008.8495575218</v>
      </c>
      <c r="AV13" s="1113">
        <f t="shared" si="15"/>
        <v>278677.81265450525</v>
      </c>
      <c r="AW13" s="1113">
        <f t="shared" si="16"/>
        <v>17254.399973003539</v>
      </c>
      <c r="AX13" s="1113">
        <f t="shared" si="17"/>
        <v>0</v>
      </c>
      <c r="AY13" s="1113" t="e">
        <f t="shared" si="24"/>
        <v>#DIV/0!</v>
      </c>
      <c r="AZ13" s="1113" t="e">
        <f t="shared" si="24"/>
        <v>#DIV/0!</v>
      </c>
      <c r="BA13" s="1113">
        <v>311763.43621843297</v>
      </c>
      <c r="BB13" s="1113">
        <v>103329.97547863677</v>
      </c>
      <c r="BC13" s="1173">
        <v>91148.243335649153</v>
      </c>
      <c r="BD13" s="1174">
        <v>22880.834746809043</v>
      </c>
      <c r="BE13" s="1445">
        <v>2</v>
      </c>
      <c r="BG13">
        <f t="shared" si="25"/>
        <v>8.0580177276390005E-4</v>
      </c>
    </row>
    <row r="14" spans="1:59">
      <c r="A14" s="375">
        <f t="shared" si="18"/>
        <v>1295</v>
      </c>
      <c r="B14" s="375">
        <f t="shared" si="19"/>
        <v>638</v>
      </c>
      <c r="C14" s="375">
        <f t="shared" si="20"/>
        <v>1017</v>
      </c>
      <c r="D14" s="375">
        <f t="shared" si="21"/>
        <v>281</v>
      </c>
      <c r="E14" s="1091">
        <v>154</v>
      </c>
      <c r="F14" s="1091">
        <v>883</v>
      </c>
      <c r="G14" s="1091">
        <v>3641</v>
      </c>
      <c r="H14" s="1091">
        <v>304</v>
      </c>
      <c r="I14" s="1091">
        <v>2722</v>
      </c>
      <c r="J14" s="1091">
        <v>2673</v>
      </c>
      <c r="K14" s="1164">
        <v>490</v>
      </c>
      <c r="L14" s="1091"/>
      <c r="M14" s="1096">
        <f t="shared" si="0"/>
        <v>11.780223778768308</v>
      </c>
      <c r="N14" s="1096">
        <f t="shared" si="1"/>
        <v>8.6146367809883877</v>
      </c>
      <c r="O14" s="1096">
        <f t="shared" si="2"/>
        <v>23.60176375029009</v>
      </c>
      <c r="P14" s="1096">
        <f t="shared" si="3"/>
        <v>18.049372723593688</v>
      </c>
      <c r="Q14" s="1096">
        <f t="shared" si="4"/>
        <v>3.6593306420106786</v>
      </c>
      <c r="R14" s="1096">
        <f t="shared" si="5"/>
        <v>1.275256707519046</v>
      </c>
      <c r="S14" s="1096">
        <f t="shared" si="6"/>
        <v>40.411899313501145</v>
      </c>
      <c r="T14" s="1096">
        <f t="shared" si="7"/>
        <v>26.988362612111779</v>
      </c>
      <c r="U14" s="1096">
        <f t="shared" si="8"/>
        <v>2.2290658454318817</v>
      </c>
      <c r="V14" s="1096">
        <v>20.176413905566672</v>
      </c>
      <c r="W14" s="1096">
        <f t="shared" si="22"/>
        <v>19.599648042234932</v>
      </c>
      <c r="X14" s="1096">
        <f t="shared" si="23"/>
        <v>7.5303519286921778</v>
      </c>
      <c r="Y14" s="375"/>
      <c r="Z14" s="1106">
        <v>766</v>
      </c>
      <c r="AA14" s="1106">
        <v>529</v>
      </c>
      <c r="AB14" s="1106">
        <v>515</v>
      </c>
      <c r="AC14" s="1106">
        <v>123</v>
      </c>
      <c r="AD14" s="1108">
        <v>571</v>
      </c>
      <c r="AE14" s="1162">
        <v>446</v>
      </c>
      <c r="AF14" s="1108">
        <v>83</v>
      </c>
      <c r="AG14" s="1162">
        <v>198</v>
      </c>
      <c r="AH14" s="1162">
        <v>154</v>
      </c>
      <c r="AI14" s="1162">
        <v>883</v>
      </c>
      <c r="AJ14" s="1162">
        <v>3641</v>
      </c>
      <c r="AK14" s="1104">
        <v>304</v>
      </c>
      <c r="AL14" s="1104"/>
      <c r="AM14" s="1091" t="e">
        <f>AD14*(0.004433*#REF!^3.21425)/1000</f>
        <v>#REF!</v>
      </c>
      <c r="AN14" s="376">
        <v>15.5</v>
      </c>
      <c r="AO14" s="1092">
        <v>15</v>
      </c>
      <c r="AP14" s="1113">
        <f t="shared" si="9"/>
        <v>1148172.5352112676</v>
      </c>
      <c r="AQ14" s="1113">
        <f t="shared" si="10"/>
        <v>1195258.1797608477</v>
      </c>
      <c r="AR14" s="1113">
        <f t="shared" si="11"/>
        <v>3121759.2912705271</v>
      </c>
      <c r="AS14" s="1113">
        <f t="shared" si="12"/>
        <v>286579.20510272111</v>
      </c>
      <c r="AT14" s="1113">
        <f t="shared" si="13"/>
        <v>164812.07186259088</v>
      </c>
      <c r="AU14" s="1113">
        <f t="shared" si="14"/>
        <v>5984502.4821929634</v>
      </c>
      <c r="AV14" s="1113">
        <f t="shared" si="15"/>
        <v>1425092.5784761987</v>
      </c>
      <c r="AW14" s="1113">
        <f t="shared" si="16"/>
        <v>114029.07808245819</v>
      </c>
      <c r="AX14" s="1113">
        <f t="shared" si="17"/>
        <v>0</v>
      </c>
      <c r="AY14" s="1113" t="e">
        <f t="shared" si="24"/>
        <v>#DIV/0!</v>
      </c>
      <c r="AZ14" s="1113" t="e">
        <f t="shared" si="24"/>
        <v>#DIV/0!</v>
      </c>
      <c r="BA14" s="1113">
        <v>2060349.6654435568</v>
      </c>
      <c r="BB14" s="1113">
        <v>1065394.671412308</v>
      </c>
      <c r="BC14" s="1173">
        <v>1002630.6766921406</v>
      </c>
      <c r="BD14" s="1174">
        <v>183796.86927764642</v>
      </c>
      <c r="BE14" s="1445">
        <v>296</v>
      </c>
      <c r="BG14">
        <f t="shared" si="25"/>
        <v>0.11925866236905722</v>
      </c>
    </row>
    <row r="15" spans="1:59">
      <c r="A15" s="375">
        <f t="shared" si="18"/>
        <v>2104</v>
      </c>
      <c r="B15" s="375">
        <f t="shared" si="19"/>
        <v>473</v>
      </c>
      <c r="C15" s="375">
        <f t="shared" si="20"/>
        <v>1315</v>
      </c>
      <c r="D15" s="375">
        <f t="shared" si="21"/>
        <v>992</v>
      </c>
      <c r="E15" s="1091">
        <v>399</v>
      </c>
      <c r="F15" s="1091">
        <v>1253</v>
      </c>
      <c r="G15" s="1091">
        <v>3550</v>
      </c>
      <c r="H15" s="1091">
        <v>589</v>
      </c>
      <c r="I15" s="1091">
        <v>2442</v>
      </c>
      <c r="J15" s="1091">
        <v>3678</v>
      </c>
      <c r="K15" s="1164">
        <v>481</v>
      </c>
      <c r="L15" s="1091"/>
      <c r="M15" s="1096">
        <f t="shared" si="0"/>
        <v>19.139452378786501</v>
      </c>
      <c r="N15" s="1096">
        <f t="shared" si="1"/>
        <v>6.3867134755603567</v>
      </c>
      <c r="O15" s="1096">
        <f t="shared" si="2"/>
        <v>30.517521466697609</v>
      </c>
      <c r="P15" s="1096">
        <f t="shared" si="3"/>
        <v>16.956697693241601</v>
      </c>
      <c r="Q15" s="1096">
        <f t="shared" si="4"/>
        <v>12.918348743325954</v>
      </c>
      <c r="R15" s="1096">
        <f t="shared" si="5"/>
        <v>3.3040741967538918</v>
      </c>
      <c r="S15" s="1096">
        <f t="shared" si="6"/>
        <v>57.345537757437071</v>
      </c>
      <c r="T15" s="1096">
        <f t="shared" si="7"/>
        <v>26.313838855533319</v>
      </c>
      <c r="U15" s="1096">
        <f t="shared" si="8"/>
        <v>4.3188150755242702</v>
      </c>
      <c r="V15" s="1096">
        <v>18.100956193017566</v>
      </c>
      <c r="W15" s="1096">
        <f t="shared" si="22"/>
        <v>26.968763748350199</v>
      </c>
      <c r="X15" s="1096">
        <f t="shared" si="23"/>
        <v>7.3920393422468109</v>
      </c>
      <c r="Y15" s="375"/>
      <c r="Z15" s="1106">
        <v>1426</v>
      </c>
      <c r="AA15" s="1106">
        <v>678</v>
      </c>
      <c r="AB15" s="1106">
        <v>386</v>
      </c>
      <c r="AC15" s="1106">
        <v>87</v>
      </c>
      <c r="AD15" s="1108">
        <v>896</v>
      </c>
      <c r="AE15" s="1162">
        <v>419</v>
      </c>
      <c r="AF15" s="1108">
        <v>632</v>
      </c>
      <c r="AG15" s="1162">
        <v>360</v>
      </c>
      <c r="AH15" s="1162">
        <v>399</v>
      </c>
      <c r="AI15" s="1162">
        <v>1253</v>
      </c>
      <c r="AJ15" s="1162">
        <v>3550</v>
      </c>
      <c r="AK15" s="1104">
        <v>589</v>
      </c>
      <c r="AL15" s="1104"/>
      <c r="AM15" s="1091" t="e">
        <f>AD15*(0.004433*#REF!^3.21425)/1000</f>
        <v>#REF!</v>
      </c>
      <c r="AN15" s="376">
        <v>16.5</v>
      </c>
      <c r="AO15" s="1092">
        <v>16</v>
      </c>
      <c r="AP15" s="1113">
        <f t="shared" si="9"/>
        <v>1865447.8873239437</v>
      </c>
      <c r="AQ15" s="1113">
        <f t="shared" si="10"/>
        <v>886139.68499511131</v>
      </c>
      <c r="AR15" s="1113">
        <f t="shared" si="11"/>
        <v>4036493.0855661188</v>
      </c>
      <c r="AS15" s="1113">
        <f t="shared" si="12"/>
        <v>1011695.9838501757</v>
      </c>
      <c r="AT15" s="1113">
        <f t="shared" si="13"/>
        <v>427013.09528034908</v>
      </c>
      <c r="AU15" s="1113">
        <f t="shared" si="14"/>
        <v>8492164.9039499238</v>
      </c>
      <c r="AV15" s="1113">
        <f t="shared" si="15"/>
        <v>1389475.0490498506</v>
      </c>
      <c r="AW15" s="1113">
        <f t="shared" si="16"/>
        <v>220931.33878476275</v>
      </c>
      <c r="AX15" s="1113">
        <f t="shared" si="17"/>
        <v>0</v>
      </c>
      <c r="AY15" s="1113" t="e">
        <f t="shared" si="24"/>
        <v>#DIV/0!</v>
      </c>
      <c r="AZ15" s="1113" t="e">
        <f t="shared" si="24"/>
        <v>#DIV/0!</v>
      </c>
      <c r="BA15" s="1113">
        <v>3991927.4767968915</v>
      </c>
      <c r="BB15" s="1113">
        <v>955802.27317739022</v>
      </c>
      <c r="BC15" s="1173">
        <v>1379601.8065371094</v>
      </c>
      <c r="BD15" s="1174">
        <v>180421.00841336313</v>
      </c>
      <c r="BE15" s="1445">
        <v>355</v>
      </c>
      <c r="BG15">
        <f t="shared" si="25"/>
        <v>0.14302981466559225</v>
      </c>
    </row>
    <row r="16" spans="1:59">
      <c r="A16" s="375">
        <f t="shared" si="18"/>
        <v>2446</v>
      </c>
      <c r="B16" s="375">
        <f t="shared" si="19"/>
        <v>679</v>
      </c>
      <c r="C16" s="375">
        <f t="shared" si="20"/>
        <v>1331</v>
      </c>
      <c r="D16" s="375">
        <f t="shared" si="21"/>
        <v>1988</v>
      </c>
      <c r="E16" s="1091">
        <v>1039</v>
      </c>
      <c r="F16" s="1091">
        <v>1047</v>
      </c>
      <c r="G16" s="1091">
        <v>1931</v>
      </c>
      <c r="H16" s="1091">
        <v>519</v>
      </c>
      <c r="I16" s="1091">
        <v>2087</v>
      </c>
      <c r="J16" s="1091">
        <v>2717</v>
      </c>
      <c r="K16" s="1164">
        <v>599</v>
      </c>
      <c r="L16" s="1091"/>
      <c r="M16" s="1096">
        <f t="shared" si="0"/>
        <v>22.250523060129172</v>
      </c>
      <c r="N16" s="1096">
        <f t="shared" si="1"/>
        <v>9.1682419659735341</v>
      </c>
      <c r="O16" s="1096">
        <f t="shared" si="2"/>
        <v>30.888837317242981</v>
      </c>
      <c r="P16" s="1096">
        <f t="shared" si="3"/>
        <v>12.909753136382031</v>
      </c>
      <c r="Q16" s="1096">
        <f t="shared" si="4"/>
        <v>25.888787602552416</v>
      </c>
      <c r="R16" s="1096">
        <f t="shared" si="5"/>
        <v>8.6038423318979795</v>
      </c>
      <c r="S16" s="1096">
        <f t="shared" si="6"/>
        <v>47.917620137299771</v>
      </c>
      <c r="T16" s="1096">
        <f t="shared" si="7"/>
        <v>14.313245867615448</v>
      </c>
      <c r="U16" s="1096">
        <f t="shared" si="8"/>
        <v>3.805543334799824</v>
      </c>
      <c r="V16" s="1096">
        <v>15.469572307464235</v>
      </c>
      <c r="W16" s="1096">
        <f t="shared" si="22"/>
        <v>19.922275993547441</v>
      </c>
      <c r="X16" s="1096">
        <f t="shared" si="23"/>
        <v>9.2054710311971721</v>
      </c>
      <c r="Y16" s="375"/>
      <c r="Z16" s="1106">
        <v>1854</v>
      </c>
      <c r="AA16" s="1106">
        <v>592</v>
      </c>
      <c r="AB16" s="1106">
        <v>479</v>
      </c>
      <c r="AC16" s="1106">
        <v>200</v>
      </c>
      <c r="AD16" s="1108">
        <v>1012</v>
      </c>
      <c r="AE16" s="1162">
        <v>319</v>
      </c>
      <c r="AF16" s="1108">
        <v>1295</v>
      </c>
      <c r="AG16" s="1162">
        <v>693</v>
      </c>
      <c r="AH16" s="1162">
        <v>1039</v>
      </c>
      <c r="AI16" s="1162">
        <v>1047</v>
      </c>
      <c r="AJ16" s="1162">
        <v>1931</v>
      </c>
      <c r="AK16" s="1104">
        <v>519</v>
      </c>
      <c r="AL16" s="1104"/>
      <c r="AM16" s="1091" t="e">
        <f>AD16*(0.004433*#REF!^3.21425)/1000</f>
        <v>#REF!</v>
      </c>
      <c r="AN16" s="376">
        <v>17.5</v>
      </c>
      <c r="AO16" s="1092">
        <v>17</v>
      </c>
      <c r="AP16" s="1113">
        <f t="shared" si="9"/>
        <v>2168671.8309859154</v>
      </c>
      <c r="AQ16" s="1113">
        <f t="shared" si="10"/>
        <v>1272069.4420965763</v>
      </c>
      <c r="AR16" s="1113">
        <f t="shared" si="11"/>
        <v>4085606.3094209158</v>
      </c>
      <c r="AS16" s="1113">
        <f t="shared" si="12"/>
        <v>2027471.3869900696</v>
      </c>
      <c r="AT16" s="1113">
        <f t="shared" si="13"/>
        <v>1111946.3809430643</v>
      </c>
      <c r="AU16" s="1113">
        <f t="shared" si="14"/>
        <v>7096006.9069717238</v>
      </c>
      <c r="AV16" s="1113">
        <f t="shared" si="15"/>
        <v>755796.14639866515</v>
      </c>
      <c r="AW16" s="1113">
        <f t="shared" si="16"/>
        <v>194674.6431736704</v>
      </c>
      <c r="AX16" s="1113">
        <f t="shared" si="17"/>
        <v>0</v>
      </c>
      <c r="AY16" s="1113" t="e">
        <f t="shared" si="24"/>
        <v>#DIV/0!</v>
      </c>
      <c r="AZ16" s="1113" t="e">
        <f t="shared" si="24"/>
        <v>#DIV/0!</v>
      </c>
      <c r="BA16" s="1113">
        <v>3517504.8564644936</v>
      </c>
      <c r="BB16" s="1113">
        <v>816854.76827240514</v>
      </c>
      <c r="BC16" s="1173">
        <v>1019134.8853619702</v>
      </c>
      <c r="BD16" s="1174">
        <v>224682.29530063309</v>
      </c>
      <c r="BE16" s="1445">
        <v>102</v>
      </c>
      <c r="BG16">
        <f t="shared" si="25"/>
        <v>4.1095890410958902E-2</v>
      </c>
    </row>
    <row r="17" spans="1:59">
      <c r="A17" s="375">
        <f t="shared" si="18"/>
        <v>2260</v>
      </c>
      <c r="B17" s="375">
        <f t="shared" si="19"/>
        <v>1131</v>
      </c>
      <c r="C17" s="375">
        <f t="shared" si="20"/>
        <v>1195</v>
      </c>
      <c r="D17" s="375">
        <f t="shared" si="21"/>
        <v>1780</v>
      </c>
      <c r="E17" s="1091">
        <v>1115</v>
      </c>
      <c r="F17" s="1091">
        <v>1263</v>
      </c>
      <c r="G17" s="1091">
        <v>1095</v>
      </c>
      <c r="H17" s="1091">
        <v>382</v>
      </c>
      <c r="I17" s="1091">
        <v>1658</v>
      </c>
      <c r="J17" s="1091">
        <v>1584</v>
      </c>
      <c r="K17" s="1164">
        <v>1205</v>
      </c>
      <c r="L17" s="1091"/>
      <c r="M17" s="1096">
        <f t="shared" si="0"/>
        <v>20.558537250977896</v>
      </c>
      <c r="N17" s="1096">
        <f t="shared" si="1"/>
        <v>15.271401566297596</v>
      </c>
      <c r="O17" s="1096">
        <f t="shared" si="2"/>
        <v>27.732652587607333</v>
      </c>
      <c r="P17" s="1096">
        <f t="shared" si="3"/>
        <v>7.8510724403075676</v>
      </c>
      <c r="Q17" s="1096">
        <f t="shared" si="4"/>
        <v>23.180101575726006</v>
      </c>
      <c r="R17" s="1096">
        <f t="shared" si="5"/>
        <v>9.2331897979463395</v>
      </c>
      <c r="S17" s="1096">
        <f t="shared" si="6"/>
        <v>57.803203661327231</v>
      </c>
      <c r="T17" s="1096">
        <f t="shared" si="7"/>
        <v>8.1165221258616853</v>
      </c>
      <c r="U17" s="1096">
        <f t="shared" si="8"/>
        <v>2.8009972136676931</v>
      </c>
      <c r="V17" s="1096">
        <v>12.289674597880069</v>
      </c>
      <c r="W17" s="1096">
        <f t="shared" si="22"/>
        <v>11.614606247250331</v>
      </c>
      <c r="X17" s="1096">
        <f t="shared" si="23"/>
        <v>18.518518518518519</v>
      </c>
      <c r="Y17" s="375"/>
      <c r="Z17" s="1106">
        <v>1865</v>
      </c>
      <c r="AA17" s="1106">
        <v>395</v>
      </c>
      <c r="AB17" s="1106">
        <v>797</v>
      </c>
      <c r="AC17" s="1106">
        <v>334</v>
      </c>
      <c r="AD17" s="1108">
        <v>1001</v>
      </c>
      <c r="AE17" s="1162">
        <v>194</v>
      </c>
      <c r="AF17" s="1108">
        <v>1169</v>
      </c>
      <c r="AG17" s="1162">
        <v>611</v>
      </c>
      <c r="AH17" s="1162">
        <v>1115</v>
      </c>
      <c r="AI17" s="1162">
        <v>1263</v>
      </c>
      <c r="AJ17" s="1162">
        <v>1095</v>
      </c>
      <c r="AK17" s="1104">
        <v>382</v>
      </c>
      <c r="AL17" s="1104"/>
      <c r="AM17" s="1091" t="e">
        <f>AD17*(0.004433*#REF!^3.21425)/1000</f>
        <v>#REF!</v>
      </c>
      <c r="AN17" s="376">
        <v>18.5</v>
      </c>
      <c r="AO17" s="1092">
        <v>18</v>
      </c>
      <c r="AP17" s="1113">
        <f t="shared" si="9"/>
        <v>2003760.5633802819</v>
      </c>
      <c r="AQ17" s="1113">
        <f t="shared" si="10"/>
        <v>2118866.7732124119</v>
      </c>
      <c r="AR17" s="1113">
        <f t="shared" si="11"/>
        <v>3668143.9066551425</v>
      </c>
      <c r="AS17" s="1113">
        <f t="shared" si="12"/>
        <v>1815341.5839247103</v>
      </c>
      <c r="AT17" s="1113">
        <f t="shared" si="13"/>
        <v>1193282.2086155119</v>
      </c>
      <c r="AU17" s="1113">
        <f t="shared" si="14"/>
        <v>8559939.5639974102</v>
      </c>
      <c r="AV17" s="1113">
        <f t="shared" si="15"/>
        <v>428584.55738298205</v>
      </c>
      <c r="AW17" s="1113">
        <f t="shared" si="16"/>
        <v>143286.5389062468</v>
      </c>
      <c r="AX17" s="1113">
        <f t="shared" si="17"/>
        <v>0</v>
      </c>
      <c r="AY17" s="1113" t="e">
        <f t="shared" si="24"/>
        <v>#DIV/0!</v>
      </c>
      <c r="AZ17" s="1113" t="e">
        <f t="shared" si="24"/>
        <v>#DIV/0!</v>
      </c>
      <c r="BA17" s="1113">
        <v>2588992.0138139431</v>
      </c>
      <c r="BB17" s="1113">
        <v>648943.55811962031</v>
      </c>
      <c r="BC17" s="1173">
        <v>594151.51211386116</v>
      </c>
      <c r="BD17" s="1174">
        <v>451990.2601623754</v>
      </c>
      <c r="BE17" s="1445">
        <v>158</v>
      </c>
      <c r="BG17">
        <f t="shared" si="25"/>
        <v>6.3658340048348111E-2</v>
      </c>
    </row>
    <row r="18" spans="1:59">
      <c r="A18" s="375">
        <f t="shared" si="18"/>
        <v>1512</v>
      </c>
      <c r="B18" s="375">
        <f t="shared" si="19"/>
        <v>1173</v>
      </c>
      <c r="C18" s="375">
        <f t="shared" si="20"/>
        <v>1130</v>
      </c>
      <c r="D18" s="375">
        <f t="shared" si="21"/>
        <v>1257</v>
      </c>
      <c r="E18" s="1091">
        <v>710</v>
      </c>
      <c r="F18" s="1091">
        <v>1125</v>
      </c>
      <c r="G18" s="1091">
        <v>660</v>
      </c>
      <c r="H18" s="1091">
        <v>187</v>
      </c>
      <c r="I18" s="1091">
        <v>1369</v>
      </c>
      <c r="J18" s="1091">
        <v>1192</v>
      </c>
      <c r="K18" s="1164">
        <v>1098</v>
      </c>
      <c r="L18" s="1091"/>
      <c r="M18" s="1096">
        <f t="shared" si="0"/>
        <v>13.754207222778131</v>
      </c>
      <c r="N18" s="1096">
        <f t="shared" si="1"/>
        <v>15.838509316770187</v>
      </c>
      <c r="O18" s="1096">
        <f t="shared" si="2"/>
        <v>26.224181944766766</v>
      </c>
      <c r="P18" s="1096">
        <f t="shared" si="3"/>
        <v>8.8223391339538644</v>
      </c>
      <c r="Q18" s="1096">
        <f t="shared" si="4"/>
        <v>16.3693189217346</v>
      </c>
      <c r="R18" s="1096">
        <f t="shared" si="5"/>
        <v>5.8794302749254719</v>
      </c>
      <c r="S18" s="1096">
        <f t="shared" si="6"/>
        <v>51.487414187643019</v>
      </c>
      <c r="T18" s="1096">
        <f t="shared" si="7"/>
        <v>4.8921503224371801</v>
      </c>
      <c r="U18" s="1096">
        <f t="shared" si="8"/>
        <v>1.371168793078164</v>
      </c>
      <c r="V18" s="1096">
        <v>10.147505744570454</v>
      </c>
      <c r="W18" s="1096">
        <f>J18*100/$J$39</f>
        <v>8.7402844991934305</v>
      </c>
      <c r="X18" s="1096">
        <f t="shared" si="23"/>
        <v>16.874135546334717</v>
      </c>
      <c r="Y18" s="375"/>
      <c r="Z18" s="1106">
        <v>1240</v>
      </c>
      <c r="AA18" s="1106">
        <v>272</v>
      </c>
      <c r="AB18" s="1106">
        <v>874</v>
      </c>
      <c r="AC18" s="1106">
        <v>299</v>
      </c>
      <c r="AD18" s="1108">
        <v>912</v>
      </c>
      <c r="AE18" s="1162">
        <v>218</v>
      </c>
      <c r="AF18" s="1108">
        <v>940</v>
      </c>
      <c r="AG18" s="1162">
        <v>317</v>
      </c>
      <c r="AH18" s="1162">
        <v>710</v>
      </c>
      <c r="AI18" s="1162">
        <v>1125</v>
      </c>
      <c r="AJ18" s="1162">
        <v>660</v>
      </c>
      <c r="AK18" s="1104">
        <v>187</v>
      </c>
      <c r="AL18" s="1104"/>
      <c r="AM18" s="1091" t="e">
        <f>AD18*(0.004433*#REF!^3.21425)/1000</f>
        <v>#REF!</v>
      </c>
      <c r="AN18" s="376">
        <v>19.5</v>
      </c>
      <c r="AO18" s="1092">
        <v>19</v>
      </c>
      <c r="AP18" s="1113">
        <f t="shared" si="9"/>
        <v>1340569.014084507</v>
      </c>
      <c r="AQ18" s="1113">
        <f t="shared" si="10"/>
        <v>2197551.4809709634</v>
      </c>
      <c r="AR18" s="1113">
        <f t="shared" si="11"/>
        <v>3468621.4347450305</v>
      </c>
      <c r="AS18" s="1113">
        <f t="shared" si="12"/>
        <v>1281957.511794023</v>
      </c>
      <c r="AT18" s="1113">
        <f t="shared" si="13"/>
        <v>759847.86378207488</v>
      </c>
      <c r="AU18" s="1113">
        <f t="shared" si="14"/>
        <v>7624649.2553421101</v>
      </c>
      <c r="AV18" s="1113">
        <f t="shared" si="15"/>
        <v>258324.93869659194</v>
      </c>
      <c r="AW18" s="1113">
        <f t="shared" si="16"/>
        <v>70142.886846775276</v>
      </c>
      <c r="AX18" s="1113">
        <f t="shared" si="17"/>
        <v>0</v>
      </c>
      <c r="AY18" s="1113" t="e">
        <f t="shared" si="24"/>
        <v>#DIV/0!</v>
      </c>
      <c r="AZ18" s="1113" t="e">
        <f t="shared" si="24"/>
        <v>#DIV/0!</v>
      </c>
      <c r="BA18" s="1113">
        <v>1267386.1428879774</v>
      </c>
      <c r="BB18" s="1113">
        <v>535828.54708429449</v>
      </c>
      <c r="BC18" s="1173">
        <v>447114.01669174392</v>
      </c>
      <c r="BD18" s="1174">
        <v>411855.02544256282</v>
      </c>
      <c r="BE18" s="1445">
        <v>300</v>
      </c>
      <c r="BG18">
        <f t="shared" si="25"/>
        <v>0.12087026591458501</v>
      </c>
    </row>
    <row r="19" spans="1:59">
      <c r="A19" s="375">
        <f t="shared" si="18"/>
        <v>769</v>
      </c>
      <c r="B19" s="375">
        <f t="shared" si="19"/>
        <v>1037</v>
      </c>
      <c r="C19" s="375">
        <f t="shared" si="20"/>
        <v>1217</v>
      </c>
      <c r="D19" s="375">
        <f t="shared" si="21"/>
        <v>637</v>
      </c>
      <c r="E19" s="1091">
        <v>486</v>
      </c>
      <c r="F19" s="1091">
        <v>796</v>
      </c>
      <c r="G19" s="1091">
        <v>203</v>
      </c>
      <c r="H19" s="1091">
        <v>86</v>
      </c>
      <c r="I19" s="1091">
        <v>1285</v>
      </c>
      <c r="J19" s="1091">
        <v>725</v>
      </c>
      <c r="K19" s="1164">
        <v>712</v>
      </c>
      <c r="L19" s="1091"/>
      <c r="M19" s="1096">
        <f t="shared" si="0"/>
        <v>6.9953606840716818</v>
      </c>
      <c r="N19" s="1096">
        <f t="shared" si="1"/>
        <v>14.002160410477991</v>
      </c>
      <c r="O19" s="1096">
        <f t="shared" si="2"/>
        <v>28.243211882107218</v>
      </c>
      <c r="P19" s="1096">
        <f t="shared" si="3"/>
        <v>7.729664103601781</v>
      </c>
      <c r="Q19" s="1096">
        <f t="shared" si="4"/>
        <v>8.295350957155879</v>
      </c>
      <c r="R19" s="1096">
        <f t="shared" si="5"/>
        <v>4.0245114276250415</v>
      </c>
      <c r="S19" s="1096">
        <f t="shared" si="6"/>
        <v>36.430205949656752</v>
      </c>
      <c r="T19" s="1096">
        <f t="shared" si="7"/>
        <v>1.5047068415981024</v>
      </c>
      <c r="U19" s="1096">
        <f t="shared" si="8"/>
        <v>0.63059099574717703</v>
      </c>
      <c r="V19" s="1096">
        <v>9.5248684308057232</v>
      </c>
      <c r="W19" s="1096">
        <f t="shared" si="22"/>
        <v>5.3160287432174806</v>
      </c>
      <c r="X19" s="1096">
        <f t="shared" si="23"/>
        <v>10.942062394344552</v>
      </c>
      <c r="Y19" s="375"/>
      <c r="Z19" s="1106">
        <v>627</v>
      </c>
      <c r="AA19" s="1106">
        <v>142</v>
      </c>
      <c r="AB19" s="1106">
        <v>823</v>
      </c>
      <c r="AC19" s="1106">
        <v>214</v>
      </c>
      <c r="AD19" s="1108">
        <v>1026</v>
      </c>
      <c r="AE19" s="1162">
        <v>191</v>
      </c>
      <c r="AF19" s="1108">
        <v>511</v>
      </c>
      <c r="AG19" s="1162">
        <v>126</v>
      </c>
      <c r="AH19" s="1162">
        <v>486</v>
      </c>
      <c r="AI19" s="1162">
        <v>796</v>
      </c>
      <c r="AJ19" s="1162">
        <v>203</v>
      </c>
      <c r="AK19" s="1104">
        <v>86</v>
      </c>
      <c r="AL19" s="1104"/>
      <c r="AM19" s="1091" t="e">
        <f>AD19*(0.004433*#REF!^3.21425)/1000</f>
        <v>#REF!</v>
      </c>
      <c r="AN19" s="376">
        <v>20.5</v>
      </c>
      <c r="AO19" s="1092">
        <v>20</v>
      </c>
      <c r="AP19" s="1113">
        <f t="shared" si="9"/>
        <v>681810.56338028167</v>
      </c>
      <c r="AQ19" s="1113">
        <f t="shared" si="10"/>
        <v>1942762.9034670836</v>
      </c>
      <c r="AR19" s="1113">
        <f t="shared" si="11"/>
        <v>3735674.5894554881</v>
      </c>
      <c r="AS19" s="1113">
        <f t="shared" si="12"/>
        <v>649647.52188766317</v>
      </c>
      <c r="AT19" s="1113">
        <f t="shared" si="13"/>
        <v>520121.21380012447</v>
      </c>
      <c r="AU19" s="1113">
        <f t="shared" si="14"/>
        <v>5394862.9397798395</v>
      </c>
      <c r="AV19" s="1113">
        <f t="shared" si="15"/>
        <v>79454.488720315392</v>
      </c>
      <c r="AW19" s="1113">
        <f t="shared" si="16"/>
        <v>32258.226036484884</v>
      </c>
      <c r="AX19" s="1113">
        <f t="shared" si="17"/>
        <v>0</v>
      </c>
      <c r="AY19" s="1113" t="e">
        <f t="shared" si="24"/>
        <v>#DIV/0!</v>
      </c>
      <c r="AZ19" s="1113" t="e">
        <f t="shared" si="24"/>
        <v>#DIV/0!</v>
      </c>
      <c r="BA19" s="1113">
        <v>582862.07640837471</v>
      </c>
      <c r="BB19" s="1113">
        <v>502950.82761381916</v>
      </c>
      <c r="BC19" s="1173">
        <v>271944.34740059928</v>
      </c>
      <c r="BD19" s="1174">
        <v>267068.10392996791</v>
      </c>
      <c r="BE19" s="1445">
        <v>287</v>
      </c>
      <c r="BG19">
        <f t="shared" si="25"/>
        <v>0.11563255439161967</v>
      </c>
    </row>
    <row r="20" spans="1:59">
      <c r="A20" s="375">
        <f t="shared" si="18"/>
        <v>341</v>
      </c>
      <c r="B20" s="375">
        <f t="shared" si="19"/>
        <v>725</v>
      </c>
      <c r="C20" s="375">
        <f t="shared" si="20"/>
        <v>1241</v>
      </c>
      <c r="D20" s="375">
        <f t="shared" si="21"/>
        <v>194</v>
      </c>
      <c r="E20" s="1091">
        <v>166</v>
      </c>
      <c r="F20" s="1091">
        <v>386</v>
      </c>
      <c r="G20" s="1091">
        <v>95</v>
      </c>
      <c r="H20" s="1091">
        <v>31</v>
      </c>
      <c r="I20" s="1091">
        <v>893</v>
      </c>
      <c r="J20" s="1091">
        <v>383</v>
      </c>
      <c r="K20" s="1164">
        <v>479</v>
      </c>
      <c r="L20" s="1091"/>
      <c r="M20" s="1096">
        <f t="shared" si="0"/>
        <v>3.1019739834440099</v>
      </c>
      <c r="N20" s="1096">
        <f t="shared" si="1"/>
        <v>9.7893599783958951</v>
      </c>
      <c r="O20" s="1096">
        <f t="shared" si="2"/>
        <v>28.800185657925272</v>
      </c>
      <c r="P20" s="1096">
        <f t="shared" si="3"/>
        <v>7.5273168757588023</v>
      </c>
      <c r="Q20" s="1096">
        <f t="shared" si="4"/>
        <v>2.5263706211746322</v>
      </c>
      <c r="R20" s="1096">
        <f t="shared" si="5"/>
        <v>1.3746273600529977</v>
      </c>
      <c r="S20" s="1096">
        <f t="shared" si="6"/>
        <v>17.665903890160184</v>
      </c>
      <c r="T20" s="1096">
        <f t="shared" si="7"/>
        <v>0.70417315247201839</v>
      </c>
      <c r="U20" s="1096">
        <f t="shared" si="8"/>
        <v>0.22730605660654055</v>
      </c>
      <c r="V20" s="1096">
        <v>6.6192276332369726</v>
      </c>
      <c r="W20" s="1096">
        <f t="shared" si="22"/>
        <v>2.808329667106614</v>
      </c>
      <c r="X20" s="1096">
        <f t="shared" si="23"/>
        <v>7.3613032119256188</v>
      </c>
      <c r="Y20" s="375"/>
      <c r="Z20" s="1106">
        <v>292</v>
      </c>
      <c r="AA20" s="1106">
        <v>49</v>
      </c>
      <c r="AB20" s="1106">
        <v>621</v>
      </c>
      <c r="AC20" s="1106">
        <v>104</v>
      </c>
      <c r="AD20" s="1108">
        <v>1055</v>
      </c>
      <c r="AE20" s="1162">
        <v>186</v>
      </c>
      <c r="AF20" s="1108">
        <v>160</v>
      </c>
      <c r="AG20" s="1162">
        <v>34</v>
      </c>
      <c r="AH20" s="1162">
        <v>166</v>
      </c>
      <c r="AI20" s="1162">
        <v>386</v>
      </c>
      <c r="AJ20" s="1162">
        <v>95</v>
      </c>
      <c r="AK20" s="1104">
        <v>31</v>
      </c>
      <c r="AL20" s="1104"/>
      <c r="AM20" s="1091" t="e">
        <f>AD20*(0.004433*#REF!^3.21425)/1000</f>
        <v>#REF!</v>
      </c>
      <c r="AN20" s="376">
        <v>21.5</v>
      </c>
      <c r="AO20" s="1092">
        <v>21</v>
      </c>
      <c r="AP20" s="1113">
        <f t="shared" si="9"/>
        <v>302337.32394366199</v>
      </c>
      <c r="AQ20" s="1113">
        <f t="shared" si="10"/>
        <v>1358247.931546418</v>
      </c>
      <c r="AR20" s="1113">
        <f t="shared" si="11"/>
        <v>3809344.4252376836</v>
      </c>
      <c r="AS20" s="1113">
        <f t="shared" si="12"/>
        <v>197851.83555134482</v>
      </c>
      <c r="AT20" s="1113">
        <f t="shared" si="13"/>
        <v>177654.57096876678</v>
      </c>
      <c r="AU20" s="1113">
        <f t="shared" si="14"/>
        <v>2616101.8778329375</v>
      </c>
      <c r="AV20" s="1113">
        <f t="shared" si="15"/>
        <v>37183.135115418532</v>
      </c>
      <c r="AW20" s="1113">
        <f t="shared" si="16"/>
        <v>11627.965199198039</v>
      </c>
      <c r="AX20" s="1113">
        <f t="shared" si="17"/>
        <v>0</v>
      </c>
      <c r="AY20" s="1113" t="e">
        <f t="shared" si="24"/>
        <v>#DIV/0!</v>
      </c>
      <c r="AZ20" s="1113" t="e">
        <f t="shared" si="24"/>
        <v>#DIV/0!</v>
      </c>
      <c r="BA20" s="1113">
        <v>210101.44614720481</v>
      </c>
      <c r="BB20" s="1113">
        <v>349521.4700849342</v>
      </c>
      <c r="BC20" s="1173">
        <v>143661.63455783384</v>
      </c>
      <c r="BD20" s="1174">
        <v>179670.81711018906</v>
      </c>
      <c r="BE20" s="1445">
        <v>218</v>
      </c>
      <c r="BG20">
        <f t="shared" si="25"/>
        <v>8.7832393231265113E-2</v>
      </c>
    </row>
    <row r="21" spans="1:59">
      <c r="A21" s="375">
        <f t="shared" si="18"/>
        <v>189</v>
      </c>
      <c r="B21" s="375">
        <f t="shared" si="19"/>
        <v>460</v>
      </c>
      <c r="C21" s="375">
        <f t="shared" si="20"/>
        <v>880</v>
      </c>
      <c r="D21" s="375">
        <f t="shared" si="21"/>
        <v>79</v>
      </c>
      <c r="E21" s="1091">
        <v>72</v>
      </c>
      <c r="F21" s="1091">
        <v>211</v>
      </c>
      <c r="G21" s="1091">
        <v>47</v>
      </c>
      <c r="H21" s="1091">
        <v>11</v>
      </c>
      <c r="I21" s="1091">
        <v>365</v>
      </c>
      <c r="J21" s="1091">
        <v>227</v>
      </c>
      <c r="K21" s="1164">
        <v>380</v>
      </c>
      <c r="L21" s="1091"/>
      <c r="M21" s="1096">
        <f t="shared" si="0"/>
        <v>1.7192759028472664</v>
      </c>
      <c r="N21" s="1096">
        <f t="shared" si="1"/>
        <v>6.2111801242236027</v>
      </c>
      <c r="O21" s="1096">
        <f t="shared" si="2"/>
        <v>20.422371779995359</v>
      </c>
      <c r="P21" s="1096">
        <f t="shared" si="3"/>
        <v>4.4516390125455283</v>
      </c>
      <c r="Q21" s="1096">
        <f t="shared" si="4"/>
        <v>1.0287797890350305</v>
      </c>
      <c r="R21" s="1096">
        <f t="shared" si="5"/>
        <v>0.59622391520370988</v>
      </c>
      <c r="S21" s="1096">
        <f t="shared" si="6"/>
        <v>9.6567505720823803</v>
      </c>
      <c r="T21" s="1096">
        <f t="shared" si="7"/>
        <v>0.34838040174931434</v>
      </c>
      <c r="U21" s="1096">
        <f t="shared" si="8"/>
        <v>8.0656987828127288E-2</v>
      </c>
      <c r="V21" s="1096">
        <v>2.7055073752872287</v>
      </c>
      <c r="W21" s="1096">
        <f>J21*100/$J$39</f>
        <v>1.6644669306349904</v>
      </c>
      <c r="X21" s="1096">
        <f t="shared" si="23"/>
        <v>5.839864761026587</v>
      </c>
      <c r="Y21" s="375"/>
      <c r="Z21" s="1106">
        <v>174</v>
      </c>
      <c r="AA21" s="1106">
        <v>15</v>
      </c>
      <c r="AB21" s="1106">
        <v>411</v>
      </c>
      <c r="AC21" s="1106">
        <v>49</v>
      </c>
      <c r="AD21" s="1108">
        <v>770</v>
      </c>
      <c r="AE21" s="1162">
        <v>110</v>
      </c>
      <c r="AF21" s="1108">
        <v>64</v>
      </c>
      <c r="AG21" s="1162">
        <v>15</v>
      </c>
      <c r="AH21" s="1162">
        <v>72</v>
      </c>
      <c r="AI21" s="1162">
        <v>211</v>
      </c>
      <c r="AJ21" s="1162">
        <v>47</v>
      </c>
      <c r="AK21" s="1104">
        <v>11</v>
      </c>
      <c r="AL21" s="1104"/>
      <c r="AM21" s="1091" t="e">
        <f>AD21*(0.004433*#REF!^3.21425)/1000</f>
        <v>#REF!</v>
      </c>
      <c r="AN21" s="376">
        <v>22.5</v>
      </c>
      <c r="AO21" s="1092">
        <v>22</v>
      </c>
      <c r="AP21" s="1113">
        <f t="shared" si="9"/>
        <v>167571.12676056338</v>
      </c>
      <c r="AQ21" s="1113">
        <f t="shared" si="10"/>
        <v>861784.89449841692</v>
      </c>
      <c r="AR21" s="1113">
        <f t="shared" si="11"/>
        <v>2701227.3120138291</v>
      </c>
      <c r="AS21" s="1113">
        <f t="shared" si="12"/>
        <v>80568.530971939384</v>
      </c>
      <c r="AT21" s="1113">
        <f t="shared" si="13"/>
        <v>77054.994637055483</v>
      </c>
      <c r="AU21" s="1113">
        <f t="shared" si="14"/>
        <v>1430045.3270019426</v>
      </c>
      <c r="AV21" s="1113">
        <f t="shared" si="15"/>
        <v>18395.866846575485</v>
      </c>
      <c r="AW21" s="1113">
        <f t="shared" si="16"/>
        <v>4126.0521674573683</v>
      </c>
      <c r="AX21" s="1113">
        <f t="shared" si="17"/>
        <v>0</v>
      </c>
      <c r="AY21" s="1113" t="e">
        <f t="shared" si="24"/>
        <v>#DIV/0!</v>
      </c>
      <c r="AZ21" s="1113" t="e">
        <f t="shared" si="24"/>
        <v>#DIV/0!</v>
      </c>
      <c r="BA21" s="1113">
        <v>74552.126052233973</v>
      </c>
      <c r="BB21" s="1113">
        <v>142861.51912766069</v>
      </c>
      <c r="BC21" s="1173">
        <v>85146.71291025661</v>
      </c>
      <c r="BD21" s="1174">
        <v>142536.34760307273</v>
      </c>
      <c r="BE21" s="1445">
        <v>224</v>
      </c>
      <c r="BG21">
        <f t="shared" si="25"/>
        <v>9.0249798549556809E-2</v>
      </c>
    </row>
    <row r="22" spans="1:59">
      <c r="A22" s="375">
        <f t="shared" si="18"/>
        <v>100</v>
      </c>
      <c r="B22" s="375">
        <f t="shared" si="19"/>
        <v>191</v>
      </c>
      <c r="C22" s="375">
        <f t="shared" si="20"/>
        <v>513</v>
      </c>
      <c r="D22" s="375">
        <f t="shared" si="21"/>
        <v>28</v>
      </c>
      <c r="E22" s="1091">
        <v>35</v>
      </c>
      <c r="F22" s="1091">
        <v>115</v>
      </c>
      <c r="G22" s="1091">
        <v>31</v>
      </c>
      <c r="H22" s="1091">
        <v>18</v>
      </c>
      <c r="I22" s="1091">
        <v>131</v>
      </c>
      <c r="J22" s="1091">
        <v>107</v>
      </c>
      <c r="K22" s="1164">
        <v>346</v>
      </c>
      <c r="L22" s="1091"/>
      <c r="M22" s="1096">
        <f t="shared" si="0"/>
        <v>0.90966978986627856</v>
      </c>
      <c r="N22" s="1096">
        <f t="shared" si="1"/>
        <v>2.5789900081015391</v>
      </c>
      <c r="O22" s="1096">
        <f t="shared" si="2"/>
        <v>11.905314458110931</v>
      </c>
      <c r="P22" s="1096">
        <f t="shared" si="3"/>
        <v>1.3354917037636584</v>
      </c>
      <c r="Q22" s="1096">
        <f t="shared" si="4"/>
        <v>0.36463081130355512</v>
      </c>
      <c r="R22" s="1096">
        <f t="shared" si="5"/>
        <v>0.28983106989069229</v>
      </c>
      <c r="S22" s="1096">
        <f t="shared" si="6"/>
        <v>5.2631578947368425</v>
      </c>
      <c r="T22" s="1096">
        <f t="shared" si="7"/>
        <v>0.22978281817507967</v>
      </c>
      <c r="U22" s="1096">
        <f t="shared" si="8"/>
        <v>0.13198416190057194</v>
      </c>
      <c r="V22" s="1096">
        <v>0.97101771551404636</v>
      </c>
      <c r="W22" s="1096">
        <f t="shared" si="22"/>
        <v>0.78457251796451088</v>
      </c>
      <c r="X22" s="1096">
        <f t="shared" si="23"/>
        <v>5.3173505455663133</v>
      </c>
      <c r="Y22" s="375"/>
      <c r="Z22" s="1106">
        <v>96</v>
      </c>
      <c r="AA22" s="1106">
        <v>4</v>
      </c>
      <c r="AB22" s="1106">
        <v>180</v>
      </c>
      <c r="AC22" s="1106">
        <v>11</v>
      </c>
      <c r="AD22" s="1108">
        <v>480</v>
      </c>
      <c r="AE22" s="1162">
        <v>33</v>
      </c>
      <c r="AF22" s="1108">
        <v>24</v>
      </c>
      <c r="AG22" s="1162">
        <v>4</v>
      </c>
      <c r="AH22" s="1162">
        <v>35</v>
      </c>
      <c r="AI22" s="1162">
        <v>115</v>
      </c>
      <c r="AJ22" s="1162">
        <v>31</v>
      </c>
      <c r="AK22" s="1104">
        <v>18</v>
      </c>
      <c r="AL22" s="1104"/>
      <c r="AM22" s="1091" t="e">
        <f>AD22*(0.004433*#REF!^3.21425)/1000</f>
        <v>#REF!</v>
      </c>
      <c r="AN22" s="376">
        <v>23.5</v>
      </c>
      <c r="AO22" s="1092">
        <v>23</v>
      </c>
      <c r="AP22" s="1113">
        <f t="shared" si="9"/>
        <v>88661.971830985916</v>
      </c>
      <c r="AQ22" s="1113">
        <f t="shared" si="10"/>
        <v>357828.07575912529</v>
      </c>
      <c r="AR22" s="1113">
        <f t="shared" si="11"/>
        <v>1574692.7398444251</v>
      </c>
      <c r="AS22" s="1113">
        <f t="shared" si="12"/>
        <v>28555.935028029151</v>
      </c>
      <c r="AT22" s="1113">
        <f t="shared" si="13"/>
        <v>37457.289059679744</v>
      </c>
      <c r="AU22" s="1113">
        <f t="shared" si="14"/>
        <v>779408.59054608236</v>
      </c>
      <c r="AV22" s="1113">
        <f t="shared" si="15"/>
        <v>12133.444090294468</v>
      </c>
      <c r="AW22" s="1113">
        <f t="shared" si="16"/>
        <v>6751.7217285666029</v>
      </c>
      <c r="AX22" s="1113">
        <f t="shared" si="17"/>
        <v>0</v>
      </c>
      <c r="AY22" s="1113" t="e">
        <f t="shared" si="24"/>
        <v>#DIV/0!</v>
      </c>
      <c r="AZ22" s="1113" t="e">
        <f t="shared" si="24"/>
        <v>#DIV/0!</v>
      </c>
      <c r="BA22" s="1113">
        <v>121994.38808547377</v>
      </c>
      <c r="BB22" s="1113">
        <v>51273.586317050816</v>
      </c>
      <c r="BC22" s="1173">
        <v>40135.234719812586</v>
      </c>
      <c r="BD22" s="1174">
        <v>129783.09544911361</v>
      </c>
      <c r="BE22" s="1445">
        <v>159</v>
      </c>
      <c r="BG22">
        <f t="shared" si="25"/>
        <v>6.4061240934730063E-2</v>
      </c>
    </row>
    <row r="23" spans="1:59">
      <c r="A23" s="375">
        <f t="shared" si="18"/>
        <v>66</v>
      </c>
      <c r="B23" s="375">
        <f t="shared" si="19"/>
        <v>71</v>
      </c>
      <c r="C23" s="375">
        <f t="shared" si="20"/>
        <v>340</v>
      </c>
      <c r="D23" s="375">
        <f t="shared" si="21"/>
        <v>29</v>
      </c>
      <c r="E23" s="1091">
        <v>29</v>
      </c>
      <c r="F23" s="1091">
        <v>61</v>
      </c>
      <c r="G23" s="1091">
        <v>14</v>
      </c>
      <c r="H23" s="1091">
        <v>6</v>
      </c>
      <c r="I23" s="1091">
        <v>59</v>
      </c>
      <c r="J23" s="1091">
        <v>45</v>
      </c>
      <c r="K23" s="1164">
        <v>264</v>
      </c>
      <c r="L23" s="1091"/>
      <c r="M23" s="1096">
        <f t="shared" si="0"/>
        <v>0.60038206131174388</v>
      </c>
      <c r="N23" s="1096">
        <f t="shared" si="1"/>
        <v>0.95868214960842557</v>
      </c>
      <c r="O23" s="1096">
        <f t="shared" si="2"/>
        <v>7.8904618240891162</v>
      </c>
      <c r="P23" s="1096">
        <f t="shared" si="3"/>
        <v>0.4451639012545528</v>
      </c>
      <c r="Q23" s="1096">
        <f t="shared" si="4"/>
        <v>0.37765334027868214</v>
      </c>
      <c r="R23" s="1096">
        <f t="shared" si="5"/>
        <v>0.24014574362371646</v>
      </c>
      <c r="S23" s="1096">
        <f t="shared" si="6"/>
        <v>2.791762013729977</v>
      </c>
      <c r="T23" s="1096">
        <f t="shared" si="7"/>
        <v>0.10377288562745535</v>
      </c>
      <c r="U23" s="1096">
        <f t="shared" si="8"/>
        <v>4.3994720633523977E-2</v>
      </c>
      <c r="V23" s="1096">
        <v>0.43732858942999037</v>
      </c>
      <c r="W23" s="1096">
        <f t="shared" si="22"/>
        <v>0.32996040475142985</v>
      </c>
      <c r="X23" s="1096">
        <f t="shared" si="23"/>
        <v>4.057169202397418</v>
      </c>
      <c r="Y23" s="375"/>
      <c r="Z23" s="1106">
        <v>54</v>
      </c>
      <c r="AA23" s="1106">
        <v>12</v>
      </c>
      <c r="AB23" s="1106">
        <v>67</v>
      </c>
      <c r="AC23" s="1106">
        <v>4</v>
      </c>
      <c r="AD23" s="1108">
        <v>329</v>
      </c>
      <c r="AE23" s="1162">
        <v>11</v>
      </c>
      <c r="AF23" s="1108">
        <v>27</v>
      </c>
      <c r="AG23" s="1162">
        <v>2</v>
      </c>
      <c r="AH23" s="1162">
        <v>29</v>
      </c>
      <c r="AI23" s="1162">
        <v>61</v>
      </c>
      <c r="AJ23" s="1162">
        <v>14</v>
      </c>
      <c r="AK23" s="1104">
        <v>6</v>
      </c>
      <c r="AL23" s="1104"/>
      <c r="AM23" s="1091" t="e">
        <f>AD23*(0.004433*#REF!^3.21425)/1000</f>
        <v>#REF!</v>
      </c>
      <c r="AN23" s="376">
        <v>24.5</v>
      </c>
      <c r="AO23" s="1092">
        <v>24</v>
      </c>
      <c r="AP23" s="1113">
        <f t="shared" si="9"/>
        <v>58516.901408450707</v>
      </c>
      <c r="AQ23" s="1113">
        <f t="shared" si="10"/>
        <v>133014.62502040784</v>
      </c>
      <c r="AR23" s="1113">
        <f t="shared" si="11"/>
        <v>1043656.0069144338</v>
      </c>
      <c r="AS23" s="1113">
        <f t="shared" si="12"/>
        <v>29575.789850458765</v>
      </c>
      <c r="AT23" s="1113">
        <f t="shared" si="13"/>
        <v>31036.039506591791</v>
      </c>
      <c r="AU23" s="1113">
        <f t="shared" si="14"/>
        <v>413425.42628966109</v>
      </c>
      <c r="AV23" s="1113">
        <f t="shared" si="15"/>
        <v>5479.6199117458891</v>
      </c>
      <c r="AW23" s="1113">
        <f t="shared" si="16"/>
        <v>2250.5739095222011</v>
      </c>
      <c r="AX23" s="1113">
        <f t="shared" si="17"/>
        <v>0</v>
      </c>
      <c r="AY23" s="1113" t="e">
        <f t="shared" si="24"/>
        <v>#DIV/0!</v>
      </c>
      <c r="AZ23" s="1113" t="e">
        <f t="shared" si="24"/>
        <v>#DIV/0!</v>
      </c>
      <c r="BA23" s="1113">
        <v>40664.796028491255</v>
      </c>
      <c r="BB23" s="1113">
        <v>23092.683913786248</v>
      </c>
      <c r="BC23" s="1173">
        <v>16879.304321416508</v>
      </c>
      <c r="BD23" s="1174">
        <v>99025.25201897684</v>
      </c>
      <c r="BE23" s="1445">
        <v>100</v>
      </c>
      <c r="BG23">
        <f t="shared" si="25"/>
        <v>4.0290088638195005E-2</v>
      </c>
    </row>
    <row r="24" spans="1:59">
      <c r="A24" s="375">
        <f t="shared" si="18"/>
        <v>26</v>
      </c>
      <c r="B24" s="375">
        <f t="shared" si="19"/>
        <v>31</v>
      </c>
      <c r="C24" s="375">
        <f t="shared" si="20"/>
        <v>170</v>
      </c>
      <c r="D24" s="375">
        <f t="shared" si="21"/>
        <v>4</v>
      </c>
      <c r="E24" s="1091">
        <v>16</v>
      </c>
      <c r="F24" s="1091">
        <v>49</v>
      </c>
      <c r="G24" s="1091">
        <v>9</v>
      </c>
      <c r="H24" s="1091">
        <v>1</v>
      </c>
      <c r="I24" s="1091">
        <v>29</v>
      </c>
      <c r="J24" s="1091">
        <v>25</v>
      </c>
      <c r="K24" s="1164">
        <v>130</v>
      </c>
      <c r="L24" s="1091"/>
      <c r="M24" s="1096">
        <f t="shared" si="0"/>
        <v>0.23651414536523241</v>
      </c>
      <c r="N24" s="1096">
        <f t="shared" si="1"/>
        <v>0.41857953011072102</v>
      </c>
      <c r="O24" s="1096">
        <f t="shared" si="2"/>
        <v>3.9452309120445581</v>
      </c>
      <c r="P24" s="1096">
        <f t="shared" si="3"/>
        <v>0.20234722784297854</v>
      </c>
      <c r="Q24" s="1096">
        <f t="shared" si="4"/>
        <v>5.2090115900507876E-2</v>
      </c>
      <c r="R24" s="1096">
        <f t="shared" si="5"/>
        <v>0.13249420337860218</v>
      </c>
      <c r="S24" s="1096">
        <f t="shared" si="6"/>
        <v>2.2425629290617848</v>
      </c>
      <c r="T24" s="1096">
        <f t="shared" si="7"/>
        <v>6.6711140760507007E-2</v>
      </c>
      <c r="U24" s="1096">
        <f t="shared" si="8"/>
        <v>7.3324534389206629E-3</v>
      </c>
      <c r="V24" s="1096">
        <v>0.21495812022830035</v>
      </c>
      <c r="W24" s="1096">
        <f t="shared" si="22"/>
        <v>0.18331133597301658</v>
      </c>
      <c r="X24" s="1096">
        <f t="shared" si="23"/>
        <v>1.9978484708775166</v>
      </c>
      <c r="Y24" s="375"/>
      <c r="Z24" s="1106">
        <v>20</v>
      </c>
      <c r="AA24" s="1106">
        <v>6</v>
      </c>
      <c r="AB24" s="1106">
        <v>31</v>
      </c>
      <c r="AC24" s="1106">
        <v>0</v>
      </c>
      <c r="AD24" s="1108">
        <v>165</v>
      </c>
      <c r="AE24" s="1162">
        <v>5</v>
      </c>
      <c r="AF24" s="1108">
        <v>4</v>
      </c>
      <c r="AG24" s="1162"/>
      <c r="AH24" s="1162">
        <v>16</v>
      </c>
      <c r="AI24" s="1162">
        <v>49</v>
      </c>
      <c r="AJ24" s="1162">
        <v>9</v>
      </c>
      <c r="AK24" s="1104">
        <v>1</v>
      </c>
      <c r="AL24" s="1104"/>
      <c r="AM24" s="1091" t="e">
        <f>AD24*(0.004433*#REF!^3.21425)/1000</f>
        <v>#REF!</v>
      </c>
      <c r="AN24" s="376">
        <v>25.5</v>
      </c>
      <c r="AO24" s="1092">
        <v>25</v>
      </c>
      <c r="AP24" s="1113">
        <f t="shared" si="9"/>
        <v>23052.112676056338</v>
      </c>
      <c r="AQ24" s="1113">
        <f t="shared" si="10"/>
        <v>58076.808107502016</v>
      </c>
      <c r="AR24" s="1113">
        <f t="shared" si="11"/>
        <v>521828.0034572169</v>
      </c>
      <c r="AS24" s="1113">
        <f t="shared" si="12"/>
        <v>4079.4192897184503</v>
      </c>
      <c r="AT24" s="1113">
        <f t="shared" si="13"/>
        <v>17123.332141567884</v>
      </c>
      <c r="AU24" s="1113">
        <f t="shared" si="14"/>
        <v>332095.83423267858</v>
      </c>
      <c r="AV24" s="1113">
        <f t="shared" si="15"/>
        <v>3522.6128004080715</v>
      </c>
      <c r="AW24" s="1113">
        <f t="shared" si="16"/>
        <v>375.0956515870335</v>
      </c>
      <c r="AX24" s="1113">
        <f t="shared" si="17"/>
        <v>0</v>
      </c>
      <c r="AY24" s="1113" t="e">
        <f t="shared" si="24"/>
        <v>#DIV/0!</v>
      </c>
      <c r="AZ24" s="1113" t="e">
        <f t="shared" si="24"/>
        <v>#DIV/0!</v>
      </c>
      <c r="BA24" s="1113">
        <v>6777.4660047485422</v>
      </c>
      <c r="BB24" s="1113">
        <v>11350.641245759341</v>
      </c>
      <c r="BC24" s="1173">
        <v>9377.3912896758375</v>
      </c>
      <c r="BD24" s="1174">
        <v>48762.434706314358</v>
      </c>
      <c r="BE24" s="1445">
        <v>67</v>
      </c>
      <c r="BG24">
        <f t="shared" si="25"/>
        <v>2.6994359387590653E-2</v>
      </c>
    </row>
    <row r="25" spans="1:59">
      <c r="A25" s="375">
        <f t="shared" si="18"/>
        <v>14</v>
      </c>
      <c r="B25" s="375">
        <f t="shared" si="19"/>
        <v>29</v>
      </c>
      <c r="C25" s="375">
        <f t="shared" si="20"/>
        <v>78</v>
      </c>
      <c r="D25" s="375">
        <f t="shared" si="21"/>
        <v>3</v>
      </c>
      <c r="E25" s="1091">
        <v>14</v>
      </c>
      <c r="F25" s="1091">
        <v>26</v>
      </c>
      <c r="G25" s="1091">
        <v>4</v>
      </c>
      <c r="H25" s="1091">
        <v>1</v>
      </c>
      <c r="I25" s="1091">
        <v>20</v>
      </c>
      <c r="J25" s="1091">
        <v>7</v>
      </c>
      <c r="K25" s="1164">
        <v>78</v>
      </c>
      <c r="L25" s="1091"/>
      <c r="M25" s="1096">
        <f t="shared" si="0"/>
        <v>0.127353770581279</v>
      </c>
      <c r="N25" s="1096">
        <f t="shared" si="1"/>
        <v>0.3915743991358358</v>
      </c>
      <c r="O25" s="1096">
        <f t="shared" si="2"/>
        <v>1.8101647714086795</v>
      </c>
      <c r="P25" s="1096">
        <f t="shared" si="3"/>
        <v>4.0469445568595712E-2</v>
      </c>
      <c r="Q25" s="1096">
        <f t="shared" si="4"/>
        <v>3.9067586925380912E-2</v>
      </c>
      <c r="R25" s="1096">
        <f t="shared" si="5"/>
        <v>0.11593242795627691</v>
      </c>
      <c r="S25" s="1096">
        <f t="shared" si="6"/>
        <v>1.1899313501144164</v>
      </c>
      <c r="T25" s="1096">
        <f t="shared" si="7"/>
        <v>2.964939589355867E-2</v>
      </c>
      <c r="U25" s="1096">
        <f t="shared" si="8"/>
        <v>7.3324534389206629E-3</v>
      </c>
      <c r="V25" s="1096">
        <v>0.14824697946779333</v>
      </c>
      <c r="W25" s="1096">
        <f t="shared" si="22"/>
        <v>5.1327174072444637E-2</v>
      </c>
      <c r="X25" s="1096">
        <f t="shared" si="23"/>
        <v>1.1987090825265099</v>
      </c>
      <c r="Y25" s="375"/>
      <c r="Z25" s="1106">
        <v>10</v>
      </c>
      <c r="AA25" s="1106">
        <v>4</v>
      </c>
      <c r="AB25" s="1106">
        <v>28</v>
      </c>
      <c r="AC25" s="1106">
        <v>1</v>
      </c>
      <c r="AD25" s="1108">
        <v>77</v>
      </c>
      <c r="AE25" s="1162">
        <v>1</v>
      </c>
      <c r="AF25" s="1108">
        <v>3</v>
      </c>
      <c r="AG25" s="1162"/>
      <c r="AH25" s="1162">
        <v>14</v>
      </c>
      <c r="AI25" s="1162">
        <v>26</v>
      </c>
      <c r="AJ25" s="1162">
        <v>4</v>
      </c>
      <c r="AK25" s="1104">
        <v>1</v>
      </c>
      <c r="AL25" s="1104"/>
      <c r="AM25" s="1091" t="e">
        <f>AD25*(0.004433*#REF!^3.21425)/1000</f>
        <v>#REF!</v>
      </c>
      <c r="AN25" s="376">
        <v>26.5</v>
      </c>
      <c r="AO25" s="1092">
        <v>26</v>
      </c>
      <c r="AP25" s="1113">
        <f t="shared" si="9"/>
        <v>12412.676056338029</v>
      </c>
      <c r="AQ25" s="1113">
        <f t="shared" si="10"/>
        <v>54329.917261856725</v>
      </c>
      <c r="AR25" s="1113">
        <f t="shared" si="11"/>
        <v>239426.96629213481</v>
      </c>
      <c r="AS25" s="1113">
        <f t="shared" si="12"/>
        <v>3059.5644672888379</v>
      </c>
      <c r="AT25" s="1113">
        <f t="shared" si="13"/>
        <v>14982.915623871899</v>
      </c>
      <c r="AU25" s="1113">
        <f t="shared" si="14"/>
        <v>176214.1161234621</v>
      </c>
      <c r="AV25" s="1113">
        <f t="shared" si="15"/>
        <v>1565.6056890702541</v>
      </c>
      <c r="AW25" s="1113">
        <f t="shared" si="16"/>
        <v>375.0956515870335</v>
      </c>
      <c r="AX25" s="1113">
        <f t="shared" si="17"/>
        <v>0</v>
      </c>
      <c r="AY25" s="1113" t="e">
        <f t="shared" si="24"/>
        <v>#DIV/0!</v>
      </c>
      <c r="AZ25" s="1113" t="e">
        <f t="shared" si="24"/>
        <v>#DIV/0!</v>
      </c>
      <c r="BA25" s="1113">
        <v>6777.4660047485422</v>
      </c>
      <c r="BB25" s="1113">
        <v>7828.0284453512704</v>
      </c>
      <c r="BC25" s="1173">
        <v>2625.6695611092346</v>
      </c>
      <c r="BD25" s="1174">
        <v>29257.460823788613</v>
      </c>
      <c r="BE25" s="1445">
        <v>45</v>
      </c>
      <c r="BG25">
        <f t="shared" si="25"/>
        <v>1.8130539887187751E-2</v>
      </c>
    </row>
    <row r="26" spans="1:59">
      <c r="A26" s="375">
        <f t="shared" si="18"/>
        <v>1</v>
      </c>
      <c r="B26" s="375">
        <f t="shared" si="19"/>
        <v>22</v>
      </c>
      <c r="C26" s="375">
        <f t="shared" si="20"/>
        <v>28</v>
      </c>
      <c r="D26" s="375">
        <f t="shared" si="21"/>
        <v>0</v>
      </c>
      <c r="E26" s="1091">
        <v>9</v>
      </c>
      <c r="F26" s="1091">
        <v>12</v>
      </c>
      <c r="G26" s="1091">
        <v>2</v>
      </c>
      <c r="H26" s="375">
        <v>0</v>
      </c>
      <c r="I26" s="1091">
        <v>19</v>
      </c>
      <c r="J26" s="1091">
        <v>4</v>
      </c>
      <c r="K26" s="1164">
        <v>43</v>
      </c>
      <c r="L26" s="1091"/>
      <c r="M26" s="1096">
        <f t="shared" si="0"/>
        <v>9.0966978986627856E-3</v>
      </c>
      <c r="N26" s="1096">
        <f t="shared" si="1"/>
        <v>0.29705644072373749</v>
      </c>
      <c r="O26" s="1096">
        <f t="shared" si="2"/>
        <v>0.64980273845439773</v>
      </c>
      <c r="P26" s="1096">
        <f t="shared" si="3"/>
        <v>0</v>
      </c>
      <c r="Q26" s="1096">
        <f t="shared" si="4"/>
        <v>0</v>
      </c>
      <c r="R26" s="1096">
        <f t="shared" si="5"/>
        <v>7.4527989400463734E-2</v>
      </c>
      <c r="S26" s="1096">
        <f t="shared" si="6"/>
        <v>0.54919908466819223</v>
      </c>
      <c r="T26" s="1096">
        <f t="shared" si="7"/>
        <v>1.4824697946779335E-2</v>
      </c>
      <c r="U26" s="1096">
        <f t="shared" si="8"/>
        <v>0</v>
      </c>
      <c r="V26" s="1096">
        <v>0.14083463049440367</v>
      </c>
      <c r="W26" s="1096">
        <f t="shared" si="22"/>
        <v>2.9329813755682652E-2</v>
      </c>
      <c r="X26" s="1096">
        <f t="shared" si="23"/>
        <v>0.66082680190564003</v>
      </c>
      <c r="Y26" s="375"/>
      <c r="Z26" s="1106">
        <v>1</v>
      </c>
      <c r="AA26" s="1106"/>
      <c r="AB26" s="1106">
        <v>22</v>
      </c>
      <c r="AC26" s="1106">
        <v>0</v>
      </c>
      <c r="AD26" s="1108">
        <v>28</v>
      </c>
      <c r="AE26" s="1162">
        <v>0</v>
      </c>
      <c r="AF26" s="1108"/>
      <c r="AG26" s="1162"/>
      <c r="AH26" s="1162">
        <v>9</v>
      </c>
      <c r="AI26" s="1162">
        <v>12</v>
      </c>
      <c r="AJ26" s="1162">
        <v>2</v>
      </c>
      <c r="AK26" s="1104"/>
      <c r="AL26" s="1104"/>
      <c r="AM26" s="1091" t="e">
        <f>AD26*(0.004433*#REF!^3.21425)/1000</f>
        <v>#REF!</v>
      </c>
      <c r="AN26" s="376">
        <v>27.5</v>
      </c>
      <c r="AO26" s="1092">
        <v>27</v>
      </c>
      <c r="AP26" s="1113">
        <f t="shared" si="9"/>
        <v>886.61971830985919</v>
      </c>
      <c r="AQ26" s="1113">
        <f t="shared" si="10"/>
        <v>41215.799302098203</v>
      </c>
      <c r="AR26" s="1113">
        <f t="shared" si="11"/>
        <v>85948.141745894551</v>
      </c>
      <c r="AS26" s="1113">
        <f t="shared" si="12"/>
        <v>0</v>
      </c>
      <c r="AT26" s="1113">
        <f t="shared" si="13"/>
        <v>9631.8743296319353</v>
      </c>
      <c r="AU26" s="1113">
        <f t="shared" si="14"/>
        <v>81329.59205698251</v>
      </c>
      <c r="AV26" s="1113">
        <f t="shared" si="15"/>
        <v>782.80284453512706</v>
      </c>
      <c r="AW26" s="1113">
        <f t="shared" si="16"/>
        <v>0</v>
      </c>
      <c r="AX26" s="1113">
        <f t="shared" si="17"/>
        <v>0</v>
      </c>
      <c r="AY26" s="1113" t="e">
        <f t="shared" si="24"/>
        <v>#DIV/0!</v>
      </c>
      <c r="AZ26" s="1113" t="e">
        <f t="shared" si="24"/>
        <v>#DIV/0!</v>
      </c>
      <c r="BA26" s="1113">
        <v>0</v>
      </c>
      <c r="BB26" s="1113">
        <v>7436.6270230837072</v>
      </c>
      <c r="BC26" s="1173">
        <v>1500.382606348134</v>
      </c>
      <c r="BD26" s="1174">
        <v>16129.113018242442</v>
      </c>
      <c r="BE26" s="1445">
        <v>28</v>
      </c>
      <c r="BG26">
        <f t="shared" si="25"/>
        <v>1.1281224818694601E-2</v>
      </c>
    </row>
    <row r="27" spans="1:59">
      <c r="A27" s="375">
        <f t="shared" si="18"/>
        <v>1</v>
      </c>
      <c r="B27" s="375">
        <f t="shared" si="19"/>
        <v>12</v>
      </c>
      <c r="C27" s="375">
        <f t="shared" si="20"/>
        <v>12</v>
      </c>
      <c r="D27" s="375">
        <f t="shared" si="21"/>
        <v>0</v>
      </c>
      <c r="E27" s="1091">
        <v>5</v>
      </c>
      <c r="F27" s="1091">
        <v>3</v>
      </c>
      <c r="G27" s="1091">
        <v>1</v>
      </c>
      <c r="H27" s="375">
        <v>0</v>
      </c>
      <c r="I27" s="1091">
        <v>22</v>
      </c>
      <c r="J27" s="1091">
        <v>0</v>
      </c>
      <c r="K27" s="1164">
        <v>26</v>
      </c>
      <c r="L27" s="1091"/>
      <c r="M27" s="1096">
        <f t="shared" si="0"/>
        <v>9.0966978986627856E-3</v>
      </c>
      <c r="N27" s="1096">
        <f t="shared" si="1"/>
        <v>0.16203078584931138</v>
      </c>
      <c r="O27" s="1096">
        <f t="shared" si="2"/>
        <v>0.27848688790902759</v>
      </c>
      <c r="P27" s="1096">
        <f t="shared" si="3"/>
        <v>4.0469445568595712E-2</v>
      </c>
      <c r="Q27" s="1096">
        <f t="shared" si="4"/>
        <v>0</v>
      </c>
      <c r="R27" s="1096">
        <f t="shared" si="5"/>
        <v>4.1404438555813182E-2</v>
      </c>
      <c r="S27" s="1096">
        <f t="shared" si="6"/>
        <v>0.13729977116704806</v>
      </c>
      <c r="T27" s="1096">
        <f t="shared" si="7"/>
        <v>7.4123489733896675E-3</v>
      </c>
      <c r="U27" s="1096">
        <f t="shared" si="8"/>
        <v>0</v>
      </c>
      <c r="V27" s="1096">
        <v>0.16307167741457268</v>
      </c>
      <c r="W27" s="1096">
        <f t="shared" si="22"/>
        <v>0</v>
      </c>
      <c r="X27" s="1096">
        <f t="shared" si="23"/>
        <v>0.39956969417550331</v>
      </c>
      <c r="Y27" s="375"/>
      <c r="Z27" s="1106">
        <v>1</v>
      </c>
      <c r="AA27" s="1106"/>
      <c r="AB27" s="1106">
        <v>11</v>
      </c>
      <c r="AC27" s="1106">
        <v>1</v>
      </c>
      <c r="AD27" s="1108">
        <v>11</v>
      </c>
      <c r="AE27" s="1162">
        <v>1</v>
      </c>
      <c r="AF27" s="1108"/>
      <c r="AG27" s="1162"/>
      <c r="AH27" s="1162">
        <v>5</v>
      </c>
      <c r="AI27" s="1162">
        <v>3</v>
      </c>
      <c r="AJ27" s="1162">
        <v>1</v>
      </c>
      <c r="AK27" s="1104"/>
      <c r="AL27" s="1104"/>
      <c r="AM27" s="1091" t="e">
        <f>AD27*(0.004433*#REF!^3.21425)/1000</f>
        <v>#REF!</v>
      </c>
      <c r="AN27" s="376">
        <v>28.5</v>
      </c>
      <c r="AO27" s="1092">
        <v>28</v>
      </c>
      <c r="AP27" s="1113">
        <f t="shared" si="9"/>
        <v>886.61971830985919</v>
      </c>
      <c r="AQ27" s="1113">
        <f t="shared" si="10"/>
        <v>22481.345073871747</v>
      </c>
      <c r="AR27" s="1113">
        <f t="shared" si="11"/>
        <v>36834.917891097663</v>
      </c>
      <c r="AS27" s="1113">
        <f t="shared" si="12"/>
        <v>0</v>
      </c>
      <c r="AT27" s="1113">
        <f t="shared" si="13"/>
        <v>5351.0412942399635</v>
      </c>
      <c r="AU27" s="1113">
        <f t="shared" si="14"/>
        <v>20332.398014245628</v>
      </c>
      <c r="AV27" s="1113">
        <f t="shared" si="15"/>
        <v>391.40142226756353</v>
      </c>
      <c r="AW27" s="1113">
        <f t="shared" si="16"/>
        <v>0</v>
      </c>
      <c r="AX27" s="1113">
        <f t="shared" si="17"/>
        <v>0</v>
      </c>
      <c r="AY27" s="1113" t="e">
        <f t="shared" si="24"/>
        <v>#DIV/0!</v>
      </c>
      <c r="AZ27" s="1113" t="e">
        <f t="shared" si="24"/>
        <v>#DIV/0!</v>
      </c>
      <c r="BA27" s="1113">
        <v>0</v>
      </c>
      <c r="BB27" s="1113">
        <v>8610.8312898863969</v>
      </c>
      <c r="BC27" s="1173">
        <v>0</v>
      </c>
      <c r="BD27" s="1174">
        <v>9752.4869412628723</v>
      </c>
      <c r="BE27" s="1445">
        <v>23</v>
      </c>
      <c r="BG27">
        <f t="shared" si="25"/>
        <v>9.2667203867848515E-3</v>
      </c>
    </row>
    <row r="28" spans="1:59">
      <c r="A28" s="375">
        <f t="shared" si="18"/>
        <v>0</v>
      </c>
      <c r="B28" s="375">
        <f t="shared" si="19"/>
        <v>11</v>
      </c>
      <c r="C28" s="375">
        <f t="shared" si="20"/>
        <v>7</v>
      </c>
      <c r="D28" s="375">
        <f t="shared" si="21"/>
        <v>0</v>
      </c>
      <c r="E28" s="1091">
        <v>2</v>
      </c>
      <c r="F28" s="1091">
        <v>14</v>
      </c>
      <c r="G28" s="1091"/>
      <c r="H28" s="375">
        <v>0</v>
      </c>
      <c r="I28" s="1091">
        <v>21</v>
      </c>
      <c r="J28" s="1091">
        <v>3</v>
      </c>
      <c r="K28" s="1164">
        <v>12</v>
      </c>
      <c r="L28" s="1091"/>
      <c r="M28" s="1096">
        <f t="shared" si="0"/>
        <v>0</v>
      </c>
      <c r="N28" s="1096">
        <f t="shared" si="1"/>
        <v>0.14852822036186875</v>
      </c>
      <c r="O28" s="1096">
        <f t="shared" si="2"/>
        <v>0.16245068461359943</v>
      </c>
      <c r="P28" s="1096">
        <f t="shared" si="3"/>
        <v>4.0469445568595712E-2</v>
      </c>
      <c r="Q28" s="1096">
        <f t="shared" si="4"/>
        <v>0</v>
      </c>
      <c r="R28" s="1096">
        <f t="shared" si="5"/>
        <v>1.6561775422325273E-2</v>
      </c>
      <c r="S28" s="1096">
        <f t="shared" si="6"/>
        <v>0.6407322654462243</v>
      </c>
      <c r="T28" s="1096">
        <f t="shared" si="7"/>
        <v>0</v>
      </c>
      <c r="U28" s="1096">
        <f t="shared" si="8"/>
        <v>0</v>
      </c>
      <c r="V28" s="1096">
        <v>0.15565932844118302</v>
      </c>
      <c r="W28" s="1096">
        <f t="shared" si="22"/>
        <v>2.1997360316761989E-2</v>
      </c>
      <c r="X28" s="1096">
        <f t="shared" si="23"/>
        <v>0.18441678192715538</v>
      </c>
      <c r="Y28" s="375"/>
      <c r="Z28" s="1106"/>
      <c r="AA28" s="1106"/>
      <c r="AB28" s="1106">
        <v>9</v>
      </c>
      <c r="AC28" s="1106">
        <v>2</v>
      </c>
      <c r="AD28" s="1108">
        <v>6</v>
      </c>
      <c r="AE28" s="1162">
        <v>1</v>
      </c>
      <c r="AF28" s="1108"/>
      <c r="AG28" s="1162"/>
      <c r="AH28" s="1162">
        <v>2</v>
      </c>
      <c r="AI28" s="1162">
        <v>14</v>
      </c>
      <c r="AJ28" s="1162"/>
      <c r="AK28" s="1104"/>
      <c r="AL28" s="1104"/>
      <c r="AM28" s="1091" t="e">
        <f>AD28*(0.004433*#REF!^3.21425)/1000</f>
        <v>#REF!</v>
      </c>
      <c r="AN28" s="376">
        <v>29.5</v>
      </c>
      <c r="AO28" s="1092">
        <v>29</v>
      </c>
      <c r="AP28" s="1113">
        <f t="shared" si="9"/>
        <v>0</v>
      </c>
      <c r="AQ28" s="1113">
        <f t="shared" si="10"/>
        <v>20607.899651049102</v>
      </c>
      <c r="AR28" s="1113">
        <f t="shared" si="11"/>
        <v>21487.035436473638</v>
      </c>
      <c r="AS28" s="1113">
        <f t="shared" si="12"/>
        <v>0</v>
      </c>
      <c r="AT28" s="1113">
        <f t="shared" si="13"/>
        <v>2140.4165176959855</v>
      </c>
      <c r="AU28" s="1113">
        <f t="shared" si="14"/>
        <v>94884.5240664796</v>
      </c>
      <c r="AV28" s="1113">
        <f t="shared" si="15"/>
        <v>0</v>
      </c>
      <c r="AW28" s="1113">
        <f t="shared" si="16"/>
        <v>0</v>
      </c>
      <c r="AX28" s="1113">
        <f t="shared" si="17"/>
        <v>0</v>
      </c>
      <c r="AY28" s="1113" t="e">
        <f t="shared" si="24"/>
        <v>#DIV/0!</v>
      </c>
      <c r="AZ28" s="1113" t="e">
        <f t="shared" si="24"/>
        <v>#DIV/0!</v>
      </c>
      <c r="BA28" s="1113">
        <v>0</v>
      </c>
      <c r="BB28" s="1113">
        <v>8219.4298676188337</v>
      </c>
      <c r="BC28" s="1173">
        <v>1125.2869547611006</v>
      </c>
      <c r="BD28" s="1174">
        <v>4501.1478190444022</v>
      </c>
      <c r="BE28" s="1445">
        <v>18</v>
      </c>
      <c r="BG28">
        <f t="shared" si="25"/>
        <v>7.2522159548751011E-3</v>
      </c>
    </row>
    <row r="29" spans="1:59">
      <c r="A29" s="375">
        <f t="shared" si="18"/>
        <v>0</v>
      </c>
      <c r="B29" s="375">
        <f t="shared" si="19"/>
        <v>0</v>
      </c>
      <c r="C29" s="375">
        <f t="shared" si="20"/>
        <v>3</v>
      </c>
      <c r="D29" s="375">
        <f t="shared" si="21"/>
        <v>0</v>
      </c>
      <c r="E29" s="375">
        <v>0</v>
      </c>
      <c r="F29" s="1091">
        <v>3</v>
      </c>
      <c r="G29" s="1091">
        <v>3</v>
      </c>
      <c r="H29" s="375">
        <v>0</v>
      </c>
      <c r="I29" s="1091">
        <v>23</v>
      </c>
      <c r="J29" s="1091">
        <v>1</v>
      </c>
      <c r="K29" s="1164">
        <v>11</v>
      </c>
      <c r="L29" s="1091"/>
      <c r="M29" s="1096">
        <f t="shared" si="0"/>
        <v>0</v>
      </c>
      <c r="N29" s="1096">
        <f t="shared" si="1"/>
        <v>0</v>
      </c>
      <c r="O29" s="1096">
        <f t="shared" si="2"/>
        <v>6.9621721977256898E-2</v>
      </c>
      <c r="P29" s="1096">
        <f t="shared" si="3"/>
        <v>0</v>
      </c>
      <c r="Q29" s="1096">
        <f t="shared" si="4"/>
        <v>0</v>
      </c>
      <c r="R29" s="1096">
        <f t="shared" si="5"/>
        <v>0</v>
      </c>
      <c r="S29" s="1096">
        <f t="shared" si="6"/>
        <v>0.13729977116704806</v>
      </c>
      <c r="T29" s="1096">
        <f t="shared" si="7"/>
        <v>2.2237046920169E-2</v>
      </c>
      <c r="U29" s="1096">
        <f t="shared" si="8"/>
        <v>0</v>
      </c>
      <c r="V29" s="1096">
        <v>0.17048402638796234</v>
      </c>
      <c r="W29" s="1096">
        <f t="shared" si="22"/>
        <v>7.3324534389206629E-3</v>
      </c>
      <c r="X29" s="1096">
        <f t="shared" si="23"/>
        <v>0.16904871676655908</v>
      </c>
      <c r="Y29" s="375"/>
      <c r="Z29" s="1106"/>
      <c r="AA29" s="1106"/>
      <c r="AB29" s="1106"/>
      <c r="AC29" s="1106"/>
      <c r="AD29" s="1108">
        <v>3</v>
      </c>
      <c r="AE29" s="1162"/>
      <c r="AF29" s="1108"/>
      <c r="AG29" s="1162"/>
      <c r="AH29" s="1162"/>
      <c r="AI29" s="1162">
        <v>3</v>
      </c>
      <c r="AJ29" s="1162">
        <v>3</v>
      </c>
      <c r="AK29" s="1104"/>
      <c r="AL29" s="1104"/>
      <c r="AM29" s="1091" t="e">
        <f>AD29*(0.004433*#REF!^3.21425)/1000</f>
        <v>#REF!</v>
      </c>
      <c r="AN29" s="376">
        <v>30.5</v>
      </c>
      <c r="AO29" s="1092">
        <v>30</v>
      </c>
      <c r="AP29" s="1113">
        <f t="shared" si="9"/>
        <v>0</v>
      </c>
      <c r="AQ29" s="1113">
        <f t="shared" si="10"/>
        <v>0</v>
      </c>
      <c r="AR29" s="1113">
        <f t="shared" si="11"/>
        <v>9208.7294727744156</v>
      </c>
      <c r="AS29" s="1113">
        <f t="shared" si="12"/>
        <v>0</v>
      </c>
      <c r="AT29" s="1113">
        <f t="shared" si="13"/>
        <v>0</v>
      </c>
      <c r="AU29" s="1113">
        <f t="shared" si="14"/>
        <v>20332.398014245628</v>
      </c>
      <c r="AV29" s="1113">
        <f t="shared" si="15"/>
        <v>1174.2042668026904</v>
      </c>
      <c r="AW29" s="1113">
        <f t="shared" si="16"/>
        <v>0</v>
      </c>
      <c r="AX29" s="1113">
        <f t="shared" si="17"/>
        <v>0</v>
      </c>
      <c r="AY29" s="1113" t="e">
        <f t="shared" si="24"/>
        <v>#DIV/0!</v>
      </c>
      <c r="AZ29" s="1113" t="e">
        <f t="shared" si="24"/>
        <v>#DIV/0!</v>
      </c>
      <c r="BA29" s="1113">
        <v>0</v>
      </c>
      <c r="BB29" s="1113">
        <v>9002.2327121539602</v>
      </c>
      <c r="BC29" s="1173">
        <v>375.0956515870335</v>
      </c>
      <c r="BD29" s="1174">
        <v>4126.0521674573683</v>
      </c>
      <c r="BE29" s="1445">
        <v>15</v>
      </c>
      <c r="BG29">
        <f t="shared" si="25"/>
        <v>6.0435132957292505E-3</v>
      </c>
    </row>
    <row r="30" spans="1:59">
      <c r="A30" s="375">
        <f t="shared" si="18"/>
        <v>0</v>
      </c>
      <c r="B30" s="375">
        <f t="shared" si="19"/>
        <v>0</v>
      </c>
      <c r="C30" s="375">
        <f t="shared" si="20"/>
        <v>0</v>
      </c>
      <c r="D30" s="375">
        <f t="shared" si="21"/>
        <v>0</v>
      </c>
      <c r="E30" s="375">
        <v>0</v>
      </c>
      <c r="F30" s="1091">
        <v>1</v>
      </c>
      <c r="G30" s="1091">
        <v>2</v>
      </c>
      <c r="H30" s="375">
        <v>0</v>
      </c>
      <c r="I30" s="1091">
        <v>17</v>
      </c>
      <c r="J30" s="1091">
        <v>1</v>
      </c>
      <c r="K30" s="1164">
        <v>3</v>
      </c>
      <c r="L30" s="1091"/>
      <c r="M30" s="1096">
        <f t="shared" si="0"/>
        <v>0</v>
      </c>
      <c r="N30" s="1096">
        <f t="shared" si="1"/>
        <v>0</v>
      </c>
      <c r="O30" s="1096">
        <f t="shared" si="2"/>
        <v>0</v>
      </c>
      <c r="P30" s="1096">
        <f t="shared" si="3"/>
        <v>0</v>
      </c>
      <c r="Q30" s="1096">
        <f t="shared" si="4"/>
        <v>0</v>
      </c>
      <c r="R30" s="1096">
        <f t="shared" si="5"/>
        <v>0</v>
      </c>
      <c r="S30" s="1096">
        <f t="shared" si="6"/>
        <v>4.5766590389016017E-2</v>
      </c>
      <c r="T30" s="1096">
        <f t="shared" si="7"/>
        <v>1.4824697946779335E-2</v>
      </c>
      <c r="U30" s="1096">
        <f t="shared" si="8"/>
        <v>0</v>
      </c>
      <c r="V30" s="1096">
        <v>0.12600993254762435</v>
      </c>
      <c r="W30" s="1096">
        <f t="shared" si="22"/>
        <v>7.3324534389206629E-3</v>
      </c>
      <c r="X30" s="1096">
        <f t="shared" si="23"/>
        <v>4.6104195481788846E-2</v>
      </c>
      <c r="Y30" s="375"/>
      <c r="Z30" s="1106"/>
      <c r="AA30" s="1106"/>
      <c r="AB30" s="1106"/>
      <c r="AC30" s="1106"/>
      <c r="AD30" s="1108"/>
      <c r="AE30" s="1162"/>
      <c r="AF30" s="1108"/>
      <c r="AG30" s="1162"/>
      <c r="AH30" s="1162"/>
      <c r="AI30" s="1162">
        <v>1</v>
      </c>
      <c r="AJ30" s="1162">
        <v>2</v>
      </c>
      <c r="AK30" s="1104"/>
      <c r="AL30" s="1104"/>
      <c r="AM30" s="1091" t="e">
        <f>AD30*(0.004433*#REF!^3.21425)/1000</f>
        <v>#REF!</v>
      </c>
      <c r="AN30" s="376">
        <v>31.5</v>
      </c>
      <c r="AO30" s="1092">
        <v>31</v>
      </c>
      <c r="AP30" s="1113">
        <f t="shared" si="9"/>
        <v>0</v>
      </c>
      <c r="AQ30" s="1113">
        <f t="shared" si="10"/>
        <v>0</v>
      </c>
      <c r="AR30" s="1113">
        <f t="shared" si="11"/>
        <v>0</v>
      </c>
      <c r="AS30" s="1113">
        <f t="shared" si="12"/>
        <v>0</v>
      </c>
      <c r="AT30" s="1113">
        <f t="shared" si="13"/>
        <v>0</v>
      </c>
      <c r="AU30" s="1113">
        <f t="shared" si="14"/>
        <v>6777.4660047485422</v>
      </c>
      <c r="AV30" s="1113">
        <f t="shared" si="15"/>
        <v>782.80284453512706</v>
      </c>
      <c r="AW30" s="1113">
        <f t="shared" si="16"/>
        <v>0</v>
      </c>
      <c r="AX30" s="1113">
        <f t="shared" si="17"/>
        <v>0</v>
      </c>
      <c r="AY30" s="1113" t="e">
        <f t="shared" si="24"/>
        <v>#DIV/0!</v>
      </c>
      <c r="AZ30" s="1113" t="e">
        <f t="shared" si="24"/>
        <v>#DIV/0!</v>
      </c>
      <c r="BA30" s="1113">
        <v>0</v>
      </c>
      <c r="BB30" s="1113">
        <v>6653.8241785485798</v>
      </c>
      <c r="BC30" s="1173">
        <v>375.0956515870335</v>
      </c>
      <c r="BD30" s="1174">
        <v>1125.2869547611006</v>
      </c>
      <c r="BE30" s="1445">
        <v>13</v>
      </c>
      <c r="BG30">
        <f t="shared" si="25"/>
        <v>5.2377115229653506E-3</v>
      </c>
    </row>
    <row r="31" spans="1:59">
      <c r="A31" s="375">
        <f t="shared" si="18"/>
        <v>0</v>
      </c>
      <c r="B31" s="375">
        <f t="shared" si="19"/>
        <v>0</v>
      </c>
      <c r="C31" s="375">
        <f t="shared" si="20"/>
        <v>0</v>
      </c>
      <c r="D31" s="375">
        <f t="shared" si="21"/>
        <v>0</v>
      </c>
      <c r="E31" s="375">
        <v>0</v>
      </c>
      <c r="F31" s="1091">
        <v>1</v>
      </c>
      <c r="G31" s="375">
        <v>0</v>
      </c>
      <c r="H31" s="375">
        <v>0</v>
      </c>
      <c r="I31" s="1091">
        <v>10</v>
      </c>
      <c r="J31" s="1091">
        <v>0</v>
      </c>
      <c r="K31" s="1164">
        <v>17</v>
      </c>
      <c r="L31" s="1091"/>
      <c r="M31" s="1096">
        <f t="shared" si="0"/>
        <v>0</v>
      </c>
      <c r="N31" s="1096">
        <f t="shared" si="1"/>
        <v>0</v>
      </c>
      <c r="O31" s="1096">
        <f t="shared" si="2"/>
        <v>0</v>
      </c>
      <c r="P31" s="1096">
        <f t="shared" si="3"/>
        <v>0</v>
      </c>
      <c r="Q31" s="1096">
        <f t="shared" si="4"/>
        <v>0</v>
      </c>
      <c r="R31" s="1096">
        <f t="shared" si="5"/>
        <v>0</v>
      </c>
      <c r="S31" s="1096">
        <f t="shared" si="6"/>
        <v>4.5766590389016017E-2</v>
      </c>
      <c r="T31" s="1096">
        <f t="shared" si="7"/>
        <v>0</v>
      </c>
      <c r="U31" s="1096">
        <f t="shared" si="8"/>
        <v>0</v>
      </c>
      <c r="V31" s="1096">
        <v>7.4123489733896666E-2</v>
      </c>
      <c r="W31" s="1096">
        <f t="shared" si="22"/>
        <v>0</v>
      </c>
      <c r="X31" s="1096">
        <f t="shared" si="23"/>
        <v>0.26125710773013677</v>
      </c>
      <c r="Y31" s="375"/>
      <c r="Z31" s="1106"/>
      <c r="AA31" s="1106"/>
      <c r="AB31" s="1106"/>
      <c r="AC31" s="1106"/>
      <c r="AD31" s="1108"/>
      <c r="AE31" s="1162"/>
      <c r="AF31" s="1108"/>
      <c r="AG31" s="1162"/>
      <c r="AH31" s="1162"/>
      <c r="AI31" s="1162">
        <v>1</v>
      </c>
      <c r="AJ31" s="1162"/>
      <c r="AK31" s="1104"/>
      <c r="AL31" s="1104"/>
      <c r="AM31" s="1091"/>
      <c r="AN31" s="376">
        <v>32.5</v>
      </c>
      <c r="AO31" s="1092">
        <v>32</v>
      </c>
      <c r="AP31" s="1113">
        <f t="shared" si="9"/>
        <v>0</v>
      </c>
      <c r="AQ31" s="1113">
        <f t="shared" si="10"/>
        <v>0</v>
      </c>
      <c r="AR31" s="1113">
        <f t="shared" si="11"/>
        <v>0</v>
      </c>
      <c r="AS31" s="1113">
        <f t="shared" si="12"/>
        <v>0</v>
      </c>
      <c r="AT31" s="1113">
        <f t="shared" si="13"/>
        <v>0</v>
      </c>
      <c r="AU31" s="1113">
        <f t="shared" si="14"/>
        <v>6777.4660047485422</v>
      </c>
      <c r="AV31" s="1113">
        <f t="shared" si="15"/>
        <v>0</v>
      </c>
      <c r="AW31" s="1113">
        <f t="shared" si="16"/>
        <v>0</v>
      </c>
      <c r="AX31" s="1113">
        <f t="shared" si="17"/>
        <v>0</v>
      </c>
      <c r="AY31" s="1113" t="e">
        <f t="shared" si="24"/>
        <v>#DIV/0!</v>
      </c>
      <c r="AZ31" s="1113" t="e">
        <f t="shared" si="24"/>
        <v>#DIV/0!</v>
      </c>
      <c r="BA31" s="1113">
        <v>0</v>
      </c>
      <c r="BB31" s="1113">
        <v>3914.0142226756352</v>
      </c>
      <c r="BC31" s="1173">
        <v>0</v>
      </c>
      <c r="BD31" s="1174">
        <v>6376.6260769795699</v>
      </c>
      <c r="BE31" s="1445">
        <v>8</v>
      </c>
      <c r="BG31">
        <f t="shared" si="25"/>
        <v>3.2232070910556002E-3</v>
      </c>
    </row>
    <row r="32" spans="1:59">
      <c r="A32" s="375">
        <f t="shared" si="18"/>
        <v>0</v>
      </c>
      <c r="B32" s="375">
        <f t="shared" si="19"/>
        <v>0</v>
      </c>
      <c r="C32" s="375">
        <f t="shared" si="20"/>
        <v>0</v>
      </c>
      <c r="D32" s="375">
        <f t="shared" si="21"/>
        <v>0</v>
      </c>
      <c r="E32" s="375">
        <v>0</v>
      </c>
      <c r="F32" s="1091">
        <v>0</v>
      </c>
      <c r="G32" s="375">
        <v>0</v>
      </c>
      <c r="H32" s="375">
        <v>0</v>
      </c>
      <c r="I32" s="1091">
        <v>12</v>
      </c>
      <c r="J32" s="1091">
        <v>1</v>
      </c>
      <c r="K32" s="1164">
        <v>9</v>
      </c>
      <c r="L32" s="1091"/>
      <c r="M32" s="1096">
        <f t="shared" si="0"/>
        <v>0</v>
      </c>
      <c r="N32" s="1096">
        <f t="shared" si="1"/>
        <v>0</v>
      </c>
      <c r="O32" s="1096">
        <f t="shared" si="2"/>
        <v>0</v>
      </c>
      <c r="P32" s="1096">
        <f t="shared" si="3"/>
        <v>0</v>
      </c>
      <c r="Q32" s="1096">
        <f t="shared" si="4"/>
        <v>0</v>
      </c>
      <c r="R32" s="1096">
        <f t="shared" si="5"/>
        <v>0</v>
      </c>
      <c r="S32" s="1096">
        <f t="shared" si="6"/>
        <v>0</v>
      </c>
      <c r="T32" s="1096">
        <f t="shared" si="7"/>
        <v>0</v>
      </c>
      <c r="U32" s="1096">
        <f t="shared" si="8"/>
        <v>0</v>
      </c>
      <c r="V32" s="1096">
        <v>8.8948187680676E-2</v>
      </c>
      <c r="W32" s="1096">
        <f t="shared" si="22"/>
        <v>7.3324534389206629E-3</v>
      </c>
      <c r="X32" s="1096">
        <f t="shared" si="23"/>
        <v>0.13831258644536654</v>
      </c>
      <c r="Y32" s="375"/>
      <c r="Z32" s="1106"/>
      <c r="AA32" s="1106"/>
      <c r="AB32" s="1106"/>
      <c r="AC32" s="1106"/>
      <c r="AD32" s="1108"/>
      <c r="AE32" s="1162"/>
      <c r="AF32" s="1108"/>
      <c r="AG32" s="1162"/>
      <c r="AH32" s="1162"/>
      <c r="AI32" s="1162"/>
      <c r="AJ32" s="1162"/>
      <c r="AK32" s="1104"/>
      <c r="AL32" s="1104"/>
      <c r="AM32" s="1091"/>
      <c r="AN32" s="376">
        <v>33.5</v>
      </c>
      <c r="AO32" s="1092">
        <v>33</v>
      </c>
      <c r="AP32" s="1113">
        <f t="shared" si="9"/>
        <v>0</v>
      </c>
      <c r="AQ32" s="1113">
        <f t="shared" si="10"/>
        <v>0</v>
      </c>
      <c r="AR32" s="1113">
        <f t="shared" si="11"/>
        <v>0</v>
      </c>
      <c r="AS32" s="1113">
        <f t="shared" si="12"/>
        <v>0</v>
      </c>
      <c r="AT32" s="1113">
        <f t="shared" si="13"/>
        <v>0</v>
      </c>
      <c r="AU32" s="1113">
        <f t="shared" si="14"/>
        <v>0</v>
      </c>
      <c r="AV32" s="1113">
        <f t="shared" si="15"/>
        <v>0</v>
      </c>
      <c r="AW32" s="1113">
        <f t="shared" si="16"/>
        <v>0</v>
      </c>
      <c r="AX32" s="1113">
        <f t="shared" si="17"/>
        <v>0</v>
      </c>
      <c r="AY32" s="1113" t="e">
        <f t="shared" si="24"/>
        <v>#DIV/0!</v>
      </c>
      <c r="AZ32" s="1113" t="e">
        <f t="shared" si="24"/>
        <v>#DIV/0!</v>
      </c>
      <c r="BA32" s="1113">
        <v>0</v>
      </c>
      <c r="BB32" s="1113">
        <v>4696.8170672107617</v>
      </c>
      <c r="BC32" s="1173">
        <v>375.0956515870335</v>
      </c>
      <c r="BD32" s="1174">
        <v>3375.8608642833015</v>
      </c>
      <c r="BE32" s="1445">
        <v>13</v>
      </c>
      <c r="BG32">
        <f t="shared" si="25"/>
        <v>5.2377115229653506E-3</v>
      </c>
    </row>
    <row r="33" spans="1:59">
      <c r="A33" s="375">
        <f t="shared" si="18"/>
        <v>0</v>
      </c>
      <c r="B33" s="375">
        <f t="shared" si="19"/>
        <v>0</v>
      </c>
      <c r="C33" s="375">
        <f t="shared" si="20"/>
        <v>0</v>
      </c>
      <c r="D33" s="375">
        <f t="shared" si="21"/>
        <v>0</v>
      </c>
      <c r="E33" s="375">
        <v>0</v>
      </c>
      <c r="F33" s="1091">
        <v>0</v>
      </c>
      <c r="G33" s="375">
        <v>0</v>
      </c>
      <c r="H33" s="375">
        <v>0</v>
      </c>
      <c r="I33" s="1091">
        <v>9</v>
      </c>
      <c r="J33" s="1091">
        <v>0</v>
      </c>
      <c r="K33" s="1164">
        <v>7</v>
      </c>
      <c r="L33" s="1091"/>
      <c r="M33" s="1096">
        <f t="shared" si="0"/>
        <v>0</v>
      </c>
      <c r="N33" s="1096">
        <f t="shared" si="1"/>
        <v>0</v>
      </c>
      <c r="O33" s="1096">
        <f t="shared" si="2"/>
        <v>0</v>
      </c>
      <c r="P33" s="1096">
        <f t="shared" si="3"/>
        <v>0</v>
      </c>
      <c r="Q33" s="1096">
        <f t="shared" si="4"/>
        <v>0</v>
      </c>
      <c r="R33" s="1096">
        <f t="shared" si="5"/>
        <v>0</v>
      </c>
      <c r="S33" s="1096">
        <f t="shared" si="6"/>
        <v>0</v>
      </c>
      <c r="T33" s="1096">
        <f t="shared" si="7"/>
        <v>0</v>
      </c>
      <c r="U33" s="1096">
        <f t="shared" si="8"/>
        <v>0</v>
      </c>
      <c r="V33" s="1096">
        <v>6.6711140760507007E-2</v>
      </c>
      <c r="W33" s="1096">
        <f t="shared" si="22"/>
        <v>0</v>
      </c>
      <c r="X33" s="1096">
        <f t="shared" si="23"/>
        <v>0.10757645612417396</v>
      </c>
      <c r="Y33" s="375"/>
      <c r="Z33" s="1106"/>
      <c r="AA33" s="1106"/>
      <c r="AB33" s="1106"/>
      <c r="AC33" s="1106"/>
      <c r="AD33" s="1108"/>
      <c r="AE33" s="1162"/>
      <c r="AF33" s="1108"/>
      <c r="AG33" s="1162"/>
      <c r="AH33" s="1162"/>
      <c r="AI33" s="1162"/>
      <c r="AJ33" s="1162"/>
      <c r="AK33" s="1104"/>
      <c r="AL33" s="1104"/>
      <c r="AM33" s="1091"/>
      <c r="AN33" s="376">
        <v>34.5</v>
      </c>
      <c r="AO33" s="1092">
        <v>34</v>
      </c>
      <c r="AP33" s="1113">
        <f t="shared" si="9"/>
        <v>0</v>
      </c>
      <c r="AQ33" s="1113">
        <f t="shared" si="10"/>
        <v>0</v>
      </c>
      <c r="AR33" s="1113">
        <f t="shared" si="11"/>
        <v>0</v>
      </c>
      <c r="AS33" s="1113">
        <f t="shared" si="12"/>
        <v>0</v>
      </c>
      <c r="AT33" s="1113">
        <f t="shared" si="13"/>
        <v>0</v>
      </c>
      <c r="AU33" s="1113">
        <f t="shared" si="14"/>
        <v>0</v>
      </c>
      <c r="AV33" s="1113">
        <f t="shared" si="15"/>
        <v>0</v>
      </c>
      <c r="AW33" s="1113">
        <f t="shared" si="16"/>
        <v>0</v>
      </c>
      <c r="AX33" s="1113">
        <f t="shared" si="17"/>
        <v>0</v>
      </c>
      <c r="AY33" s="1113" t="e">
        <f t="shared" si="24"/>
        <v>#DIV/0!</v>
      </c>
      <c r="AZ33" s="1113" t="e">
        <f t="shared" si="24"/>
        <v>#DIV/0!</v>
      </c>
      <c r="BA33" s="1113">
        <v>0</v>
      </c>
      <c r="BB33" s="1113">
        <v>3522.6128004080715</v>
      </c>
      <c r="BC33" s="1173">
        <v>0</v>
      </c>
      <c r="BD33" s="1174">
        <v>2625.6695611092346</v>
      </c>
      <c r="BE33" s="1445">
        <v>11</v>
      </c>
      <c r="BG33">
        <f t="shared" si="25"/>
        <v>4.4319097502014508E-3</v>
      </c>
    </row>
    <row r="34" spans="1:59">
      <c r="A34" s="375">
        <v>0</v>
      </c>
      <c r="B34" s="375">
        <v>0</v>
      </c>
      <c r="C34" s="375">
        <v>0</v>
      </c>
      <c r="D34" s="375">
        <v>0</v>
      </c>
      <c r="E34" s="375">
        <v>0</v>
      </c>
      <c r="F34" s="375">
        <v>0</v>
      </c>
      <c r="G34" s="375">
        <v>0</v>
      </c>
      <c r="H34" s="375">
        <v>0</v>
      </c>
      <c r="I34" s="1091">
        <v>7</v>
      </c>
      <c r="J34" s="1091">
        <v>0</v>
      </c>
      <c r="K34" s="1164">
        <v>3</v>
      </c>
      <c r="L34" s="1091"/>
      <c r="M34" s="1096">
        <f t="shared" si="0"/>
        <v>0</v>
      </c>
      <c r="N34" s="1096">
        <f t="shared" si="1"/>
        <v>0</v>
      </c>
      <c r="O34" s="1096">
        <f t="shared" si="2"/>
        <v>0</v>
      </c>
      <c r="P34" s="1096">
        <f t="shared" si="3"/>
        <v>0</v>
      </c>
      <c r="Q34" s="1096">
        <f t="shared" si="4"/>
        <v>0</v>
      </c>
      <c r="R34" s="1096">
        <f t="shared" si="5"/>
        <v>0</v>
      </c>
      <c r="S34" s="1096">
        <f t="shared" si="6"/>
        <v>0</v>
      </c>
      <c r="T34" s="1096">
        <f t="shared" si="7"/>
        <v>0</v>
      </c>
      <c r="U34" s="1096">
        <f t="shared" si="8"/>
        <v>0</v>
      </c>
      <c r="V34" s="1096">
        <v>5.1886442813727673E-2</v>
      </c>
      <c r="W34" s="1096">
        <f>J34*100/$J$39</f>
        <v>0</v>
      </c>
      <c r="X34" s="1096">
        <f t="shared" si="23"/>
        <v>4.6104195481788846E-2</v>
      </c>
      <c r="Y34" s="375"/>
      <c r="Z34" s="1106"/>
      <c r="AA34" s="1106"/>
      <c r="AB34" s="1106"/>
      <c r="AC34" s="1106"/>
      <c r="AD34" s="1108"/>
      <c r="AE34" s="1162"/>
      <c r="AF34" s="1108"/>
      <c r="AG34" s="1162"/>
      <c r="AH34" s="1162"/>
      <c r="AI34" s="1162"/>
      <c r="AJ34" s="1162"/>
      <c r="AK34" s="1104"/>
      <c r="AL34" s="1104"/>
      <c r="AM34" s="1091"/>
      <c r="AN34" s="376">
        <v>35.5</v>
      </c>
      <c r="AO34" s="1092">
        <v>35</v>
      </c>
      <c r="AP34" s="1113">
        <f t="shared" si="9"/>
        <v>0</v>
      </c>
      <c r="AQ34" s="1113">
        <f t="shared" si="10"/>
        <v>0</v>
      </c>
      <c r="AR34" s="1113">
        <f t="shared" si="11"/>
        <v>0</v>
      </c>
      <c r="AS34" s="1113">
        <f t="shared" si="12"/>
        <v>0</v>
      </c>
      <c r="AT34" s="1113">
        <f t="shared" si="13"/>
        <v>0</v>
      </c>
      <c r="AU34" s="1113">
        <f t="shared" si="14"/>
        <v>0</v>
      </c>
      <c r="AV34" s="1113">
        <f t="shared" si="15"/>
        <v>0</v>
      </c>
      <c r="AW34" s="1113">
        <f t="shared" si="16"/>
        <v>0</v>
      </c>
      <c r="AX34" s="1113">
        <f t="shared" si="17"/>
        <v>0</v>
      </c>
      <c r="AY34" s="1113" t="e">
        <f t="shared" si="24"/>
        <v>#DIV/0!</v>
      </c>
      <c r="AZ34" s="1113" t="e">
        <f t="shared" si="24"/>
        <v>#DIV/0!</v>
      </c>
      <c r="BA34" s="1113">
        <v>0</v>
      </c>
      <c r="BB34" s="1113">
        <v>2739.8099558729446</v>
      </c>
      <c r="BC34" s="1173">
        <v>0</v>
      </c>
      <c r="BD34" s="1174">
        <v>1125.2869547611006</v>
      </c>
      <c r="BE34" s="1445">
        <v>17</v>
      </c>
      <c r="BG34">
        <f t="shared" si="25"/>
        <v>6.8493150684931503E-3</v>
      </c>
    </row>
    <row r="35" spans="1:59" ht="14.4">
      <c r="A35" s="375">
        <v>0</v>
      </c>
      <c r="B35" s="375">
        <v>0</v>
      </c>
      <c r="C35" s="375">
        <v>0</v>
      </c>
      <c r="D35" s="375">
        <v>0</v>
      </c>
      <c r="E35" s="375">
        <v>0</v>
      </c>
      <c r="F35" s="375">
        <v>0</v>
      </c>
      <c r="G35" s="375">
        <v>0</v>
      </c>
      <c r="H35" s="375">
        <v>0</v>
      </c>
      <c r="I35" s="1091">
        <v>7</v>
      </c>
      <c r="J35" s="1091">
        <v>1</v>
      </c>
      <c r="K35" s="1164">
        <v>1</v>
      </c>
      <c r="L35" s="377"/>
      <c r="M35" s="1094">
        <f>A39*100/$C$39</f>
        <v>107.5047757663968</v>
      </c>
      <c r="N35" s="1094">
        <f>B39*100/$D$39</f>
        <v>143.93734809613827</v>
      </c>
      <c r="O35" s="1094">
        <f>C39*100/$E$39</f>
        <v>255.11719656532838</v>
      </c>
      <c r="P35" s="1094">
        <f>AE36*100/$AG$36</f>
        <v>92.836908134358566</v>
      </c>
      <c r="Q35" s="1094">
        <f>D39*100/$F$39</f>
        <v>96.444849589790337</v>
      </c>
      <c r="R35" s="1094">
        <f t="shared" ref="R35:X35" si="26">SUM(R5:R34)</f>
        <v>35.682345147399793</v>
      </c>
      <c r="S35" s="1094">
        <f t="shared" si="26"/>
        <v>351.44164759725385</v>
      </c>
      <c r="T35" s="1094">
        <f t="shared" si="26"/>
        <v>89.511526202653599</v>
      </c>
      <c r="U35" s="1094">
        <f t="shared" si="26"/>
        <v>16.021410764041647</v>
      </c>
      <c r="V35" s="1094">
        <f t="shared" si="26"/>
        <v>99.918464161292732</v>
      </c>
      <c r="W35" s="1094">
        <v>100</v>
      </c>
      <c r="X35" s="1094">
        <f t="shared" si="26"/>
        <v>99.969263869678784</v>
      </c>
      <c r="Y35" s="375"/>
      <c r="Z35" s="1109">
        <v>446.7</v>
      </c>
      <c r="AA35" s="1109">
        <v>128.64400000000001</v>
      </c>
      <c r="AB35" s="1109">
        <v>394.65</v>
      </c>
      <c r="AC35" s="1109">
        <v>115.15600000000001</v>
      </c>
      <c r="AD35" s="1110">
        <v>567.9</v>
      </c>
      <c r="AE35" s="1109">
        <v>114.447</v>
      </c>
      <c r="AF35" s="1110">
        <v>365.4</v>
      </c>
      <c r="AG35" s="1109">
        <v>113.4787</v>
      </c>
      <c r="AH35" s="1109">
        <v>231.4</v>
      </c>
      <c r="AI35" s="1109">
        <v>400.35109999999997</v>
      </c>
      <c r="AJ35" s="1109">
        <v>462.05959999999999</v>
      </c>
      <c r="AK35" s="1109">
        <v>92.66</v>
      </c>
      <c r="AL35" s="1114" t="s">
        <v>483</v>
      </c>
      <c r="AM35" s="1091"/>
      <c r="AN35" s="376">
        <v>36.5</v>
      </c>
      <c r="AO35" s="1092">
        <v>36</v>
      </c>
      <c r="AP35" s="1113">
        <f t="shared" si="9"/>
        <v>0</v>
      </c>
      <c r="AQ35" s="1113">
        <f t="shared" si="10"/>
        <v>0</v>
      </c>
      <c r="AR35" s="1113">
        <f t="shared" si="11"/>
        <v>0</v>
      </c>
      <c r="AS35" s="1113">
        <f t="shared" si="12"/>
        <v>0</v>
      </c>
      <c r="AT35" s="1113">
        <f t="shared" si="13"/>
        <v>0</v>
      </c>
      <c r="AU35" s="1113">
        <f t="shared" si="14"/>
        <v>0</v>
      </c>
      <c r="AV35" s="1113">
        <f t="shared" si="15"/>
        <v>0</v>
      </c>
      <c r="AW35" s="1113">
        <f t="shared" si="16"/>
        <v>0</v>
      </c>
      <c r="AX35" s="1166">
        <v>0</v>
      </c>
      <c r="AY35" s="1113" t="e">
        <f t="shared" si="24"/>
        <v>#DIV/0!</v>
      </c>
      <c r="AZ35" s="1113" t="e">
        <f t="shared" si="24"/>
        <v>#DIV/0!</v>
      </c>
      <c r="BA35" s="1113">
        <v>0</v>
      </c>
      <c r="BB35" s="317">
        <v>0</v>
      </c>
      <c r="BC35" s="1173">
        <v>375.0956515870335</v>
      </c>
      <c r="BD35" s="1174">
        <v>375.0956515870335</v>
      </c>
      <c r="BE35" s="1445">
        <v>8</v>
      </c>
      <c r="BG35">
        <f t="shared" si="25"/>
        <v>3.2232070910556002E-3</v>
      </c>
    </row>
    <row r="36" spans="1:59" ht="14.4">
      <c r="A36" s="375">
        <v>0</v>
      </c>
      <c r="B36" s="375">
        <v>0</v>
      </c>
      <c r="C36" s="375">
        <v>0</v>
      </c>
      <c r="D36" s="375">
        <v>0</v>
      </c>
      <c r="E36" s="375">
        <v>0</v>
      </c>
      <c r="F36" s="375">
        <v>0</v>
      </c>
      <c r="G36" s="375">
        <v>0</v>
      </c>
      <c r="H36" s="375">
        <v>0</v>
      </c>
      <c r="I36" s="1091">
        <v>2</v>
      </c>
      <c r="J36" s="1091">
        <v>0</v>
      </c>
      <c r="K36" s="1164">
        <v>1</v>
      </c>
      <c r="L36" s="1098"/>
      <c r="M36" s="1098"/>
      <c r="N36" s="375"/>
      <c r="O36" s="375"/>
      <c r="P36" s="375"/>
      <c r="Q36" s="375"/>
      <c r="R36" s="375"/>
      <c r="S36" s="375"/>
      <c r="T36" s="375"/>
      <c r="U36" s="375"/>
      <c r="V36" s="375"/>
      <c r="W36" s="375"/>
      <c r="X36" s="375"/>
      <c r="Y36" s="375"/>
      <c r="Z36" s="683">
        <f t="shared" ref="Z36:AG36" si="27">SUM(Z5:Z34)</f>
        <v>8835</v>
      </c>
      <c r="AA36" s="683">
        <f t="shared" si="27"/>
        <v>2983</v>
      </c>
      <c r="AB36" s="683">
        <f t="shared" si="27"/>
        <v>7720</v>
      </c>
      <c r="AC36" s="683">
        <f t="shared" si="27"/>
        <v>2940</v>
      </c>
      <c r="AD36" s="1111">
        <f t="shared" si="27"/>
        <v>8699</v>
      </c>
      <c r="AE36" s="683">
        <f t="shared" si="27"/>
        <v>2294</v>
      </c>
      <c r="AF36" s="1111">
        <f t="shared" si="27"/>
        <v>4935</v>
      </c>
      <c r="AG36" s="683">
        <f t="shared" si="27"/>
        <v>2471</v>
      </c>
      <c r="AH36" s="683">
        <f>SUM(AH11:AH29)</f>
        <v>4309</v>
      </c>
      <c r="AI36" s="683">
        <f>SUM(AI4:AI34)</f>
        <v>7679</v>
      </c>
      <c r="AJ36" s="683">
        <f>SUM(AJ4:AJ34)</f>
        <v>12076</v>
      </c>
      <c r="AK36" s="683">
        <f>SUM(AK4:AK34)</f>
        <v>2185</v>
      </c>
      <c r="AL36" s="1091" t="s">
        <v>484</v>
      </c>
      <c r="AM36" s="1091"/>
      <c r="AN36" s="376">
        <v>37.5</v>
      </c>
      <c r="AO36" s="1092">
        <v>37</v>
      </c>
      <c r="AP36" s="1113">
        <f t="shared" si="9"/>
        <v>0</v>
      </c>
      <c r="AQ36" s="1113">
        <f t="shared" si="10"/>
        <v>0</v>
      </c>
      <c r="AR36" s="1113">
        <f t="shared" si="11"/>
        <v>0</v>
      </c>
      <c r="AS36" s="1113">
        <f t="shared" si="12"/>
        <v>0</v>
      </c>
      <c r="AT36" s="1113">
        <f t="shared" si="13"/>
        <v>0</v>
      </c>
      <c r="AU36" s="1113">
        <f t="shared" si="14"/>
        <v>0</v>
      </c>
      <c r="AV36" s="1113">
        <f t="shared" si="15"/>
        <v>0</v>
      </c>
      <c r="AW36" s="1113">
        <f t="shared" si="16"/>
        <v>0</v>
      </c>
      <c r="AX36" s="1166">
        <v>0</v>
      </c>
      <c r="AY36" s="1166">
        <v>0</v>
      </c>
      <c r="AZ36" s="1166">
        <v>0</v>
      </c>
      <c r="BA36" s="1113">
        <v>0</v>
      </c>
      <c r="BB36" s="317">
        <v>0</v>
      </c>
      <c r="BC36" s="1174">
        <v>0</v>
      </c>
      <c r="BD36" s="1174">
        <v>0</v>
      </c>
      <c r="BE36" s="1445">
        <v>5</v>
      </c>
      <c r="BG36">
        <f t="shared" si="25"/>
        <v>2.01450443190975E-3</v>
      </c>
    </row>
    <row r="37" spans="1:59" ht="14.4">
      <c r="A37" s="375">
        <v>0</v>
      </c>
      <c r="B37" s="375">
        <v>0</v>
      </c>
      <c r="C37" s="375">
        <v>0</v>
      </c>
      <c r="D37" s="375">
        <v>0</v>
      </c>
      <c r="E37" s="375">
        <v>0</v>
      </c>
      <c r="F37" s="375">
        <v>0</v>
      </c>
      <c r="G37" s="375">
        <v>0</v>
      </c>
      <c r="H37" s="375">
        <v>0</v>
      </c>
      <c r="I37" s="1091">
        <v>1</v>
      </c>
      <c r="J37" s="1091">
        <v>0</v>
      </c>
      <c r="K37" s="1164"/>
      <c r="L37" s="1099"/>
      <c r="M37" s="1099"/>
      <c r="N37" s="1099"/>
      <c r="O37" s="377"/>
      <c r="P37" s="377"/>
      <c r="Q37" s="377"/>
      <c r="R37" s="377"/>
      <c r="S37" s="377"/>
      <c r="T37" s="377"/>
      <c r="U37" s="377"/>
      <c r="V37" s="375"/>
      <c r="W37" s="375"/>
      <c r="X37" s="375"/>
      <c r="Y37" s="375"/>
      <c r="Z37" s="1091"/>
      <c r="AA37" s="1091">
        <v>129.93331090000001</v>
      </c>
      <c r="AB37" s="1091">
        <v>397.54575419999998</v>
      </c>
      <c r="AC37" s="1091">
        <v>114.6611451</v>
      </c>
      <c r="AD37" s="1167">
        <v>643.15099999999995</v>
      </c>
      <c r="AE37" s="1091">
        <v>116.8947849</v>
      </c>
      <c r="AF37" s="1167">
        <v>266.89</v>
      </c>
      <c r="AG37" s="1091">
        <v>117.77</v>
      </c>
      <c r="AH37" s="1168" t="s">
        <v>485</v>
      </c>
      <c r="AI37" s="1168" t="s">
        <v>485</v>
      </c>
      <c r="AJ37" s="1168" t="s">
        <v>485</v>
      </c>
      <c r="AK37" s="1091"/>
      <c r="AL37" s="1091" t="s">
        <v>486</v>
      </c>
      <c r="AM37" s="1091"/>
      <c r="AN37" s="376">
        <v>38.5</v>
      </c>
      <c r="AO37" s="1092">
        <v>38</v>
      </c>
      <c r="AP37" s="1113">
        <f t="shared" si="9"/>
        <v>0</v>
      </c>
      <c r="AQ37" s="1113">
        <f t="shared" si="10"/>
        <v>0</v>
      </c>
      <c r="AR37" s="1113">
        <f t="shared" si="11"/>
        <v>0</v>
      </c>
      <c r="AS37" s="1113">
        <f t="shared" si="12"/>
        <v>0</v>
      </c>
      <c r="AT37" s="1113">
        <f t="shared" si="13"/>
        <v>0</v>
      </c>
      <c r="AU37" s="1113">
        <f t="shared" si="14"/>
        <v>0</v>
      </c>
      <c r="AV37" s="1113">
        <f t="shared" si="15"/>
        <v>0</v>
      </c>
      <c r="AW37" s="1113">
        <f t="shared" si="16"/>
        <v>0</v>
      </c>
      <c r="AX37" s="1166">
        <v>0</v>
      </c>
      <c r="AY37" s="1166">
        <v>0</v>
      </c>
      <c r="AZ37" s="1166">
        <v>0</v>
      </c>
      <c r="BA37" s="1113">
        <v>0</v>
      </c>
      <c r="BB37" s="317">
        <v>0</v>
      </c>
      <c r="BC37" s="1174">
        <v>0</v>
      </c>
      <c r="BD37" s="1174">
        <v>0</v>
      </c>
      <c r="BE37" s="1445">
        <v>8</v>
      </c>
      <c r="BG37">
        <f t="shared" si="25"/>
        <v>3.2232070910556002E-3</v>
      </c>
    </row>
    <row r="38" spans="1:59">
      <c r="A38" s="375">
        <v>0</v>
      </c>
      <c r="B38" s="375">
        <v>0</v>
      </c>
      <c r="C38" s="375">
        <v>0</v>
      </c>
      <c r="D38" s="375">
        <v>0</v>
      </c>
      <c r="E38" s="375">
        <v>0</v>
      </c>
      <c r="F38" s="375">
        <v>0</v>
      </c>
      <c r="G38" s="375">
        <v>0</v>
      </c>
      <c r="H38" s="375">
        <v>0</v>
      </c>
      <c r="I38" s="1091">
        <v>1</v>
      </c>
      <c r="J38" s="1091">
        <v>0</v>
      </c>
      <c r="K38" s="1091"/>
      <c r="L38" s="378"/>
      <c r="M38" s="378"/>
      <c r="N38" s="378"/>
      <c r="O38" s="378"/>
      <c r="P38" s="378"/>
      <c r="Q38" s="378"/>
      <c r="R38" s="378"/>
      <c r="S38" s="378"/>
      <c r="T38" s="378"/>
      <c r="U38" s="378"/>
      <c r="V38" s="375"/>
      <c r="W38" s="375"/>
      <c r="X38" s="375"/>
      <c r="Y38" s="375"/>
      <c r="Z38" s="1091"/>
      <c r="AA38" s="1091"/>
      <c r="AB38" s="1091"/>
      <c r="AC38" s="1091"/>
      <c r="AD38" s="1091"/>
      <c r="AE38" s="1091"/>
      <c r="AF38" s="1091"/>
      <c r="AG38" s="1091"/>
      <c r="AH38" s="1091"/>
      <c r="AI38" s="1091"/>
      <c r="AJ38" s="1091"/>
      <c r="AK38" s="1091"/>
      <c r="AL38" s="1091"/>
      <c r="AM38" s="1091"/>
      <c r="AN38" s="376">
        <v>39.5</v>
      </c>
      <c r="AO38" s="1092">
        <v>39</v>
      </c>
      <c r="AP38" s="1113">
        <f t="shared" si="9"/>
        <v>0</v>
      </c>
      <c r="AQ38" s="1113">
        <f t="shared" si="10"/>
        <v>0</v>
      </c>
      <c r="AR38" s="1113">
        <f t="shared" si="11"/>
        <v>0</v>
      </c>
      <c r="AS38" s="1113">
        <f t="shared" si="12"/>
        <v>0</v>
      </c>
      <c r="AT38" s="1113">
        <f t="shared" si="13"/>
        <v>0</v>
      </c>
      <c r="AU38" s="1113">
        <f t="shared" si="14"/>
        <v>0</v>
      </c>
      <c r="AV38" s="1113">
        <f t="shared" si="15"/>
        <v>0</v>
      </c>
      <c r="AW38" s="1113">
        <f t="shared" si="16"/>
        <v>0</v>
      </c>
      <c r="AX38" s="1166">
        <v>0</v>
      </c>
      <c r="AY38" s="1166">
        <v>0</v>
      </c>
      <c r="AZ38" s="1166">
        <v>0</v>
      </c>
      <c r="BA38" s="1113">
        <v>0</v>
      </c>
      <c r="BB38" s="317">
        <v>0</v>
      </c>
      <c r="BC38" s="1174">
        <v>0</v>
      </c>
      <c r="BD38" s="1174">
        <v>0</v>
      </c>
      <c r="BE38" s="1445">
        <v>1</v>
      </c>
      <c r="BG38">
        <f t="shared" si="25"/>
        <v>4.0290088638195002E-4</v>
      </c>
    </row>
    <row r="39" spans="1:59" ht="14.4">
      <c r="A39" s="377">
        <f>SUM(A5:A34)</f>
        <v>11818</v>
      </c>
      <c r="B39" s="377">
        <f>SUM(B5:B34)</f>
        <v>10660</v>
      </c>
      <c r="C39" s="377">
        <f>SUM(C5:C34)</f>
        <v>10993</v>
      </c>
      <c r="D39" s="1115">
        <f>SUM(D5:D38)</f>
        <v>7406</v>
      </c>
      <c r="E39" s="377">
        <f>SUM(E5:E34)</f>
        <v>4309</v>
      </c>
      <c r="F39" s="377">
        <f>SUM(F4:F34)</f>
        <v>7679</v>
      </c>
      <c r="G39" s="377">
        <f>SUM(G4:G34)</f>
        <v>12076</v>
      </c>
      <c r="H39" s="377">
        <f>SUM(H4:H34)</f>
        <v>2185</v>
      </c>
      <c r="I39" s="377">
        <f>SUM(I5:I38)</f>
        <v>13491</v>
      </c>
      <c r="J39" s="377">
        <f>SUM(J5:J38)</f>
        <v>13638</v>
      </c>
      <c r="K39" s="377">
        <f>SUM(K5:K38)</f>
        <v>6507</v>
      </c>
      <c r="L39" s="1091"/>
      <c r="M39" s="1091"/>
      <c r="N39" s="683"/>
      <c r="O39" s="1091"/>
      <c r="P39" s="683"/>
      <c r="Q39" s="683"/>
      <c r="R39" s="683"/>
      <c r="S39" s="1239"/>
      <c r="T39" s="1091"/>
      <c r="U39" s="1091"/>
      <c r="V39" s="1093" t="s">
        <v>18</v>
      </c>
      <c r="W39" s="1093"/>
      <c r="X39" s="1093"/>
      <c r="Y39" s="1091"/>
      <c r="Z39" s="1091"/>
      <c r="AA39" s="1091"/>
      <c r="AB39" s="1091"/>
      <c r="AC39" s="1091"/>
      <c r="AD39" s="1091"/>
      <c r="AE39" s="1091"/>
      <c r="AF39" s="1091"/>
      <c r="AG39" s="1091"/>
      <c r="AH39" s="1091"/>
      <c r="AI39" s="1091"/>
      <c r="AJ39" s="1091"/>
      <c r="AK39" s="1091"/>
      <c r="AL39" s="1091"/>
      <c r="AM39" s="1091"/>
      <c r="AN39" s="1091"/>
      <c r="AO39" s="1091"/>
      <c r="AP39" s="1113"/>
      <c r="AQ39" s="1113"/>
      <c r="AR39" s="1113"/>
      <c r="AS39" s="1113"/>
      <c r="AT39" s="1113"/>
      <c r="AU39" s="1113"/>
      <c r="AV39" s="1113"/>
      <c r="AW39" s="1113"/>
      <c r="AX39" s="1091"/>
      <c r="AY39" s="1091"/>
      <c r="AZ39" s="1091"/>
      <c r="BA39" s="1113"/>
      <c r="BD39" s="317" t="s">
        <v>18</v>
      </c>
      <c r="BE39" s="1445">
        <v>1</v>
      </c>
      <c r="BG39">
        <f t="shared" si="25"/>
        <v>4.0290088638195002E-4</v>
      </c>
    </row>
    <row r="40" spans="1:59" ht="14.4">
      <c r="A40" s="1098">
        <f>(Z35+AA35)/1000</f>
        <v>0.57534400000000008</v>
      </c>
      <c r="B40" s="1098">
        <f>(AB35+AC35)/1000</f>
        <v>0.50980599999999998</v>
      </c>
      <c r="C40" s="1169">
        <v>0.71</v>
      </c>
      <c r="D40" s="1098">
        <f>(AF37+AG35)/1000</f>
        <v>0.3803687</v>
      </c>
      <c r="E40" s="1098">
        <f>(AH35)/1000</f>
        <v>0.23139999999999999</v>
      </c>
      <c r="F40" s="1098">
        <f>(AI35)/1000</f>
        <v>0.40035109999999996</v>
      </c>
      <c r="G40" s="1098">
        <f>(AJ35)/1000</f>
        <v>0.46205960000000001</v>
      </c>
      <c r="H40" s="1098">
        <v>9.2660000000000006E-2</v>
      </c>
      <c r="I40" s="1098">
        <v>0.70183700000000004</v>
      </c>
      <c r="J40" s="1098">
        <v>0.61557631772871735</v>
      </c>
      <c r="K40" s="1098">
        <v>0.44787368445926362</v>
      </c>
      <c r="L40" s="1091"/>
      <c r="M40" s="1091"/>
      <c r="N40" s="683"/>
      <c r="O40" s="1091"/>
      <c r="P40" s="683"/>
      <c r="Q40" s="683"/>
      <c r="R40" s="1091"/>
      <c r="S40" s="1165"/>
      <c r="T40" s="1091"/>
      <c r="U40" s="1091"/>
      <c r="V40" s="1091"/>
      <c r="W40" s="1091"/>
      <c r="X40" s="1091"/>
      <c r="Y40" s="1091"/>
      <c r="Z40" s="1091"/>
      <c r="AA40" s="1091"/>
      <c r="AB40" s="1091"/>
      <c r="AC40" s="1091"/>
      <c r="AD40" s="1091"/>
      <c r="AE40" s="1091"/>
      <c r="AF40" s="1091"/>
      <c r="AG40" s="1091"/>
      <c r="AH40" s="1091"/>
      <c r="AI40" s="1091"/>
      <c r="AJ40" s="1091"/>
      <c r="AK40" s="1091"/>
      <c r="AL40" s="1091"/>
      <c r="AM40" s="1091"/>
      <c r="AN40" s="1091"/>
      <c r="AO40" s="1091"/>
      <c r="AP40" s="1091"/>
      <c r="AQ40" s="1091"/>
      <c r="AR40" s="1091"/>
      <c r="AS40" s="1091"/>
      <c r="AT40" s="1091"/>
      <c r="AU40" s="1091"/>
      <c r="AV40" s="1091"/>
      <c r="AW40" s="1091"/>
      <c r="AX40" s="1091"/>
      <c r="AY40" s="1091"/>
      <c r="AZ40" s="1091"/>
      <c r="BD40" s="317" t="s">
        <v>18</v>
      </c>
      <c r="BF40">
        <f t="shared" ref="BF40" si="28">BE40/$BE$41</f>
        <v>0</v>
      </c>
    </row>
    <row r="41" spans="1:59" ht="14.4">
      <c r="A41" s="1099">
        <f t="shared" ref="A41:K41" si="29">A40*1000000/A39</f>
        <v>48.683702826197333</v>
      </c>
      <c r="B41" s="1099">
        <f t="shared" si="29"/>
        <v>47.82420262664165</v>
      </c>
      <c r="C41" s="1099">
        <f t="shared" si="29"/>
        <v>64.586555080505775</v>
      </c>
      <c r="D41" s="1099">
        <f t="shared" si="29"/>
        <v>51.359532811234139</v>
      </c>
      <c r="E41" s="1099">
        <f t="shared" si="29"/>
        <v>53.70155488512416</v>
      </c>
      <c r="F41" s="1099">
        <f t="shared" si="29"/>
        <v>52.135837999739543</v>
      </c>
      <c r="G41" s="1099">
        <f t="shared" si="29"/>
        <v>38.262636634647237</v>
      </c>
      <c r="H41" s="1099">
        <f t="shared" si="29"/>
        <v>42.407322654462241</v>
      </c>
      <c r="I41" s="1099">
        <f t="shared" si="29"/>
        <v>52.022607664368842</v>
      </c>
      <c r="J41" s="1099">
        <f t="shared" si="29"/>
        <v>45.136846878480519</v>
      </c>
      <c r="K41" s="1099">
        <f t="shared" si="29"/>
        <v>68.829519664863014</v>
      </c>
      <c r="L41" s="1091"/>
      <c r="M41" s="1091"/>
      <c r="N41" s="683"/>
      <c r="O41" s="1091"/>
      <c r="P41" s="683"/>
      <c r="Q41" s="683"/>
      <c r="R41" s="1091"/>
      <c r="S41" s="1165"/>
      <c r="T41" s="1091"/>
      <c r="U41" s="1091"/>
      <c r="V41" s="1091"/>
      <c r="W41" s="1091"/>
      <c r="X41" s="1091"/>
      <c r="Y41" s="1091"/>
      <c r="Z41" s="1091"/>
      <c r="AA41" s="1091"/>
      <c r="AB41" s="1091"/>
      <c r="AC41" s="1091"/>
      <c r="AD41" s="1091"/>
      <c r="AE41" s="1091"/>
      <c r="AF41" s="1091"/>
      <c r="AG41" s="1091"/>
      <c r="AH41" s="1091"/>
      <c r="AI41" s="1091"/>
      <c r="AJ41" s="1091"/>
      <c r="AK41" s="1091"/>
      <c r="AL41" s="1091"/>
      <c r="AM41" s="1091"/>
      <c r="AN41" s="1091"/>
      <c r="AO41" s="1092" t="s">
        <v>487</v>
      </c>
      <c r="AP41" s="1115">
        <f t="shared" ref="AP41:AX41" si="30">SUM(AP5:AP34)/1000</f>
        <v>10478.071830985915</v>
      </c>
      <c r="AQ41" s="1115">
        <f t="shared" si="30"/>
        <v>19970.928207289402</v>
      </c>
      <c r="AR41" s="1115">
        <f t="shared" si="30"/>
        <v>33743.854364736384</v>
      </c>
      <c r="AS41" s="1115">
        <f t="shared" si="30"/>
        <v>7553.044814913711</v>
      </c>
      <c r="AT41" s="1115">
        <f t="shared" si="30"/>
        <v>4611.5273873760007</v>
      </c>
      <c r="AU41" s="1115">
        <f t="shared" si="30"/>
        <v>52044.16145046406</v>
      </c>
      <c r="AV41" s="1115">
        <f t="shared" si="30"/>
        <v>4726.5635753030992</v>
      </c>
      <c r="AW41" s="1115">
        <f t="shared" si="30"/>
        <v>819.58399871766812</v>
      </c>
      <c r="AX41" s="1115">
        <f t="shared" si="30"/>
        <v>0</v>
      </c>
      <c r="AY41" s="1170" t="e">
        <f>SUM(AY5:AY35)</f>
        <v>#DIV/0!</v>
      </c>
      <c r="AZ41" s="1170" t="e">
        <f>SUM(AZ5:AZ35)</f>
        <v>#DIV/0!</v>
      </c>
      <c r="BA41" s="1115">
        <v>14808.763220375564</v>
      </c>
      <c r="BB41" s="1115">
        <v>5276.0911721667562</v>
      </c>
      <c r="BC41" s="1156">
        <v>5115554.4963439656</v>
      </c>
      <c r="BD41" s="317">
        <v>2440372.3092252407</v>
      </c>
      <c r="BE41" s="20">
        <f>SUM(BE13:BE39)</f>
        <v>2482</v>
      </c>
    </row>
    <row r="42" spans="1:59" ht="14.4">
      <c r="A42" s="378">
        <f t="shared" ref="A42:K42" si="31">+SUMPRODUCT($A5:$A34,A5:A34)/A39</f>
        <v>1739.3426975799628</v>
      </c>
      <c r="B42" s="378">
        <f t="shared" si="31"/>
        <v>963.32598499061919</v>
      </c>
      <c r="C42" s="378">
        <f t="shared" si="31"/>
        <v>1237.6722459747111</v>
      </c>
      <c r="D42" s="378">
        <f t="shared" si="31"/>
        <v>1872.061301647313</v>
      </c>
      <c r="E42" s="378">
        <f t="shared" si="31"/>
        <v>1775.4077512183801</v>
      </c>
      <c r="F42" s="378">
        <f t="shared" si="31"/>
        <v>1548.0307331683814</v>
      </c>
      <c r="G42" s="378">
        <f t="shared" si="31"/>
        <v>1737.50372639947</v>
      </c>
      <c r="H42" s="378">
        <f t="shared" si="31"/>
        <v>1901.7180778032036</v>
      </c>
      <c r="I42" s="378">
        <f t="shared" si="31"/>
        <v>1564.8544955896523</v>
      </c>
      <c r="J42" s="378">
        <f t="shared" si="31"/>
        <v>1767.7700542601553</v>
      </c>
      <c r="K42" s="378">
        <f t="shared" si="31"/>
        <v>1286.7493468572306</v>
      </c>
      <c r="L42" s="1091"/>
      <c r="M42" s="1091"/>
      <c r="N42" s="683"/>
      <c r="O42" s="1091"/>
      <c r="P42" s="683"/>
      <c r="Q42" s="683"/>
      <c r="R42" s="1091"/>
      <c r="S42" s="1165"/>
      <c r="T42" s="1091"/>
      <c r="U42" s="1091"/>
      <c r="V42" s="1091"/>
      <c r="W42" s="1091"/>
      <c r="X42" s="1091"/>
      <c r="Y42" s="1091"/>
      <c r="Z42" s="1091"/>
      <c r="AA42" s="1091"/>
      <c r="AB42" s="1091"/>
      <c r="AC42" s="1091"/>
      <c r="AD42" s="1091"/>
      <c r="AE42" s="1091"/>
      <c r="AF42" s="1091"/>
      <c r="AG42" s="1091"/>
      <c r="AH42" s="1091"/>
      <c r="AI42" s="1091"/>
      <c r="AJ42" s="1091"/>
      <c r="AK42" s="1091"/>
      <c r="AL42" s="1091"/>
      <c r="AM42" s="1091"/>
      <c r="AN42" s="1091"/>
      <c r="AO42" s="1092" t="s">
        <v>488</v>
      </c>
      <c r="AP42" s="1115">
        <v>557</v>
      </c>
      <c r="AQ42" s="1115">
        <v>431</v>
      </c>
      <c r="AR42" s="1171">
        <v>629.5</v>
      </c>
      <c r="AS42" s="1171">
        <v>712.6</v>
      </c>
      <c r="AT42" s="1171">
        <v>710.3</v>
      </c>
      <c r="AU42" s="1117">
        <v>408.3</v>
      </c>
      <c r="AV42" s="1117">
        <v>494.5</v>
      </c>
      <c r="AW42" s="1171">
        <v>628</v>
      </c>
      <c r="AX42" s="1172">
        <v>274.7</v>
      </c>
      <c r="AY42" s="1091">
        <v>230.9</v>
      </c>
      <c r="AZ42" s="1091"/>
      <c r="BA42" s="1116">
        <v>628</v>
      </c>
      <c r="BB42" s="1118">
        <v>274.7</v>
      </c>
      <c r="BC42" s="317">
        <v>230.9</v>
      </c>
      <c r="BD42" s="317">
        <v>19.765406485323499</v>
      </c>
    </row>
    <row r="43" spans="1:59" ht="14.4">
      <c r="A43" s="1091"/>
      <c r="B43" s="1091"/>
      <c r="C43" s="1091"/>
      <c r="D43" s="1091"/>
      <c r="E43" s="375"/>
      <c r="F43" s="1091"/>
      <c r="G43" s="1091"/>
      <c r="H43" s="1091"/>
      <c r="I43" s="1091"/>
      <c r="J43" s="1091"/>
      <c r="K43" s="1091"/>
      <c r="L43" s="1091"/>
      <c r="M43" s="1091"/>
      <c r="N43" s="683"/>
      <c r="O43" s="1091"/>
      <c r="P43" s="683"/>
      <c r="Q43" s="683"/>
      <c r="R43" s="1091"/>
      <c r="S43" s="1165"/>
      <c r="T43" s="1091"/>
      <c r="U43" s="1091"/>
      <c r="V43" s="1091"/>
      <c r="W43" s="1091"/>
      <c r="X43" s="1091"/>
      <c r="Y43" s="1091"/>
      <c r="Z43" s="1091"/>
      <c r="AA43" s="1091"/>
      <c r="AB43" s="1091"/>
      <c r="AC43" s="1091"/>
      <c r="AD43" s="1091"/>
      <c r="AE43" s="1091"/>
      <c r="AF43" s="1091"/>
      <c r="AG43" s="1091"/>
      <c r="AH43" s="1091"/>
      <c r="AI43" s="1091"/>
      <c r="AJ43" s="1091"/>
      <c r="AK43" s="1091"/>
      <c r="AL43" s="1091"/>
      <c r="AM43" s="1091"/>
      <c r="AN43" s="1091"/>
      <c r="AO43" s="1092" t="s">
        <v>489</v>
      </c>
      <c r="AP43" s="1117">
        <f t="shared" ref="AP43:AU43" si="32">+AP42/AP41*1000</f>
        <v>53.15863538488361</v>
      </c>
      <c r="AQ43" s="1117">
        <f t="shared" si="32"/>
        <v>21.581370456415979</v>
      </c>
      <c r="AR43" s="1117">
        <f t="shared" si="32"/>
        <v>18.65524884015181</v>
      </c>
      <c r="AS43" s="1117">
        <f t="shared" si="32"/>
        <v>94.34605744599186</v>
      </c>
      <c r="AT43" s="1117">
        <f t="shared" si="32"/>
        <v>154.02705878846939</v>
      </c>
      <c r="AU43" s="1117">
        <f t="shared" si="32"/>
        <v>7.8452604215483879</v>
      </c>
      <c r="AV43" s="1117">
        <f>+AV42/AV41*1000</f>
        <v>104.62146380169854</v>
      </c>
      <c r="AW43" s="1117">
        <f>+AW42/AW41*1000</f>
        <v>766.2423875802566</v>
      </c>
      <c r="AX43" s="1117" t="e">
        <f>+AX42/AX41*1000</f>
        <v>#DIV/0!</v>
      </c>
      <c r="AY43" s="1091"/>
      <c r="AZ43" s="1091"/>
      <c r="BA43" s="1117">
        <v>42.407322654462256</v>
      </c>
      <c r="BB43" s="1117">
        <v>52.065059347181013</v>
      </c>
      <c r="BD43" s="20">
        <f>SUM(BD5:BD40)</f>
        <v>2440372.3092252407</v>
      </c>
    </row>
    <row r="44" spans="1:59" ht="14.4">
      <c r="A44" s="1091"/>
      <c r="B44" s="1091"/>
      <c r="C44" s="1091"/>
      <c r="D44" s="1091"/>
      <c r="E44" s="375"/>
      <c r="F44" s="1091"/>
      <c r="G44" s="1091"/>
      <c r="H44" s="1091"/>
      <c r="I44" s="1091"/>
      <c r="J44" s="1091"/>
      <c r="K44" s="1091"/>
      <c r="L44" s="1091"/>
      <c r="M44" s="1091"/>
      <c r="N44" s="683"/>
      <c r="O44" s="1091"/>
      <c r="P44" s="683"/>
      <c r="Q44" s="683"/>
      <c r="R44" s="1091"/>
      <c r="S44" s="1165"/>
      <c r="T44" s="1091"/>
      <c r="U44" s="1091"/>
      <c r="V44" s="1091"/>
      <c r="W44" s="1091"/>
      <c r="X44" s="1091"/>
      <c r="Y44" s="1091"/>
      <c r="Z44" s="1091"/>
      <c r="AA44" s="1091"/>
      <c r="AB44" s="1091"/>
      <c r="AC44" s="1091"/>
      <c r="AD44" s="1091"/>
      <c r="AE44" s="1091"/>
      <c r="AF44" s="1091"/>
      <c r="AG44" s="1091"/>
      <c r="AH44" s="1091"/>
      <c r="AI44" s="1091"/>
      <c r="AJ44" s="1091"/>
      <c r="AK44" s="1091"/>
      <c r="AL44" s="1091"/>
      <c r="AM44" s="1091"/>
      <c r="AN44" s="1091"/>
      <c r="AO44" s="1092" t="s">
        <v>490</v>
      </c>
      <c r="AP44" s="378">
        <f t="shared" ref="AP44:AX44" si="33">+SUMPRODUCT($A5:$A34,AP5:AP34)/AP41/1000</f>
        <v>1739.3426975799628</v>
      </c>
      <c r="AQ44" s="378">
        <f t="shared" si="33"/>
        <v>963.32598499061896</v>
      </c>
      <c r="AR44" s="378">
        <f t="shared" si="33"/>
        <v>1237.6722459747114</v>
      </c>
      <c r="AS44" s="378">
        <f t="shared" si="33"/>
        <v>1872.0613016473133</v>
      </c>
      <c r="AT44" s="378">
        <f t="shared" si="33"/>
        <v>1775.4077512183799</v>
      </c>
      <c r="AU44" s="378">
        <f t="shared" si="33"/>
        <v>1548.0307331683812</v>
      </c>
      <c r="AV44" s="378">
        <f t="shared" si="33"/>
        <v>1737.5037263994691</v>
      </c>
      <c r="AW44" s="378">
        <f t="shared" si="33"/>
        <v>1901.7180778032039</v>
      </c>
      <c r="AX44" s="378" t="e">
        <f t="shared" si="33"/>
        <v>#DIV/0!</v>
      </c>
      <c r="AY44" s="1091"/>
      <c r="AZ44" s="1091"/>
      <c r="BA44" s="378">
        <v>17.504118993135013</v>
      </c>
      <c r="BB44" s="378">
        <v>18.120029673590508</v>
      </c>
    </row>
    <row r="45" spans="1:59">
      <c r="A45" s="1091"/>
      <c r="B45" s="1091"/>
      <c r="C45" s="1091"/>
      <c r="D45" s="1091"/>
      <c r="E45" s="375"/>
      <c r="F45" s="1091"/>
      <c r="G45" s="1091"/>
      <c r="H45" s="1091"/>
      <c r="I45" s="1091"/>
      <c r="J45" s="1091"/>
      <c r="K45" s="1091"/>
      <c r="L45" s="1091"/>
      <c r="M45" s="1091"/>
      <c r="N45" s="684"/>
      <c r="O45" s="1091"/>
      <c r="P45" s="684"/>
      <c r="Q45" s="684"/>
      <c r="R45" s="1091"/>
      <c r="S45" s="1165"/>
      <c r="T45" s="1091"/>
      <c r="U45" s="1091"/>
      <c r="V45" s="1091"/>
      <c r="W45" s="1091"/>
      <c r="X45" s="1091"/>
      <c r="Y45" s="1091"/>
      <c r="Z45" s="1091"/>
      <c r="AA45" s="1091"/>
      <c r="AB45" s="1091"/>
      <c r="AC45" s="1091"/>
      <c r="AD45" s="1091"/>
      <c r="AE45" s="1091"/>
      <c r="AF45" s="1091"/>
      <c r="AG45" s="1091"/>
      <c r="AH45" s="1091"/>
      <c r="AI45" s="1091"/>
      <c r="AJ45" s="1091"/>
      <c r="AK45" s="1091"/>
      <c r="AL45" s="1091"/>
      <c r="AM45" s="1091"/>
      <c r="AN45" s="1091"/>
      <c r="AO45" s="1091"/>
      <c r="AP45" s="1091"/>
      <c r="AQ45" s="1091"/>
      <c r="AR45" s="1091"/>
      <c r="AS45" s="1091"/>
      <c r="AT45" s="1091"/>
      <c r="AU45" s="1091"/>
      <c r="AV45" s="1091"/>
      <c r="AW45" s="1091"/>
      <c r="AX45" s="1091"/>
      <c r="AY45" s="1091"/>
      <c r="AZ45" s="1091"/>
    </row>
    <row r="46" spans="1:59">
      <c r="A46" s="376"/>
      <c r="G46" s="375"/>
      <c r="N46" s="684"/>
      <c r="P46" s="684"/>
      <c r="Q46" s="684"/>
      <c r="S46" s="130"/>
    </row>
    <row r="47" spans="1:59">
      <c r="A47" s="376"/>
      <c r="G47" s="375"/>
      <c r="N47" s="508"/>
      <c r="P47" s="508"/>
      <c r="Q47" s="508"/>
      <c r="S47" s="130"/>
    </row>
    <row r="48" spans="1:59">
      <c r="A48" s="376"/>
      <c r="G48" s="375"/>
      <c r="N48" s="508"/>
      <c r="P48" s="508"/>
      <c r="Q48" s="508"/>
      <c r="S48" s="130"/>
    </row>
    <row r="49" spans="1:19">
      <c r="A49" s="376"/>
      <c r="G49" s="375"/>
      <c r="N49" s="508"/>
      <c r="P49" s="508"/>
      <c r="Q49" s="508"/>
      <c r="S49" s="130"/>
    </row>
    <row r="50" spans="1:19" ht="14.4">
      <c r="A50" s="379"/>
      <c r="G50" s="377"/>
      <c r="N50" s="508"/>
      <c r="P50" s="508"/>
      <c r="Q50" s="508"/>
      <c r="S50" s="130"/>
    </row>
    <row r="51" spans="1:19" ht="14.4">
      <c r="A51" s="379"/>
      <c r="G51" s="377"/>
      <c r="N51" s="508"/>
      <c r="P51" s="508"/>
      <c r="Q51" s="508"/>
      <c r="S51" s="130"/>
    </row>
    <row r="52" spans="1:19" ht="14.4">
      <c r="A52" s="379"/>
      <c r="G52" s="377"/>
      <c r="N52" s="508"/>
      <c r="P52" s="508"/>
      <c r="Q52" s="508"/>
      <c r="S52" s="130"/>
    </row>
    <row r="53" spans="1:19">
      <c r="A53" s="379"/>
      <c r="G53" s="378"/>
      <c r="N53" s="508"/>
      <c r="P53" s="508"/>
      <c r="Q53" s="508"/>
      <c r="S53" s="130"/>
    </row>
    <row r="54" spans="1:19" ht="14.4">
      <c r="N54" s="683"/>
      <c r="P54" s="683"/>
      <c r="Q54" s="683"/>
      <c r="S54" s="130"/>
    </row>
    <row r="55" spans="1:19" ht="14.4">
      <c r="N55" s="683"/>
      <c r="P55" s="683"/>
      <c r="Q55" s="683"/>
      <c r="S55" s="130"/>
    </row>
    <row r="56" spans="1:19" ht="14.4">
      <c r="N56" s="683"/>
      <c r="P56" s="683"/>
      <c r="Q56" s="683"/>
      <c r="S56" s="130"/>
    </row>
    <row r="57" spans="1:19">
      <c r="S57" s="130"/>
    </row>
    <row r="58" spans="1:19">
      <c r="S58" s="130"/>
    </row>
    <row r="59" spans="1:19">
      <c r="S59" s="130"/>
    </row>
    <row r="60" spans="1:19">
      <c r="S60" s="130"/>
    </row>
    <row r="61" spans="1:19">
      <c r="S61" s="130"/>
    </row>
    <row r="62" spans="1:19">
      <c r="S62" s="130"/>
    </row>
    <row r="63" spans="1:19">
      <c r="S63" s="130"/>
    </row>
    <row r="64" spans="1:19">
      <c r="S64" s="130"/>
    </row>
    <row r="65" spans="19:19">
      <c r="S65" s="130"/>
    </row>
    <row r="66" spans="19:19">
      <c r="S66" s="130"/>
    </row>
    <row r="67" spans="19:19">
      <c r="S67" s="130"/>
    </row>
    <row r="68" spans="19:19">
      <c r="S68" s="130"/>
    </row>
    <row r="69" spans="19:19">
      <c r="S69" s="130"/>
    </row>
    <row r="70" spans="19:19">
      <c r="S70" s="130"/>
    </row>
    <row r="71" spans="19:19">
      <c r="S71" s="130"/>
    </row>
    <row r="72" spans="19:19">
      <c r="S72" s="130"/>
    </row>
    <row r="73" spans="19:19">
      <c r="S73" s="130"/>
    </row>
    <row r="74" spans="19:19">
      <c r="S74" s="130"/>
    </row>
    <row r="75" spans="19:19">
      <c r="S75" s="130"/>
    </row>
    <row r="76" spans="19:19">
      <c r="S76" s="130"/>
    </row>
    <row r="77" spans="19:19">
      <c r="S77" s="130"/>
    </row>
    <row r="78" spans="19:19">
      <c r="S78" s="130"/>
    </row>
    <row r="79" spans="19:19">
      <c r="S79" s="130"/>
    </row>
    <row r="80" spans="19:19">
      <c r="S80" s="130"/>
    </row>
    <row r="81" spans="19:19">
      <c r="S81" s="130"/>
    </row>
    <row r="82" spans="19:19">
      <c r="S82" s="130"/>
    </row>
    <row r="83" spans="19:19">
      <c r="S83" s="130"/>
    </row>
    <row r="84" spans="19:19">
      <c r="S84" s="130"/>
    </row>
    <row r="85" spans="19:19">
      <c r="S85" s="130"/>
    </row>
    <row r="86" spans="19:19">
      <c r="S86" s="130"/>
    </row>
    <row r="87" spans="19:19">
      <c r="S87" s="130"/>
    </row>
    <row r="88" spans="19:19">
      <c r="S88" s="130"/>
    </row>
    <row r="89" spans="19:19">
      <c r="S89" s="130"/>
    </row>
    <row r="90" spans="19:19">
      <c r="S90" s="130"/>
    </row>
    <row r="91" spans="19:19">
      <c r="S91" s="130"/>
    </row>
    <row r="92" spans="19:19">
      <c r="S92" s="130"/>
    </row>
    <row r="93" spans="19:19">
      <c r="S93" s="130"/>
    </row>
    <row r="94" spans="19:19">
      <c r="S94" s="130"/>
    </row>
    <row r="95" spans="19:19">
      <c r="S95" s="130"/>
    </row>
    <row r="96" spans="19:19">
      <c r="S96" s="130"/>
    </row>
    <row r="97" spans="19:19">
      <c r="S97" s="130"/>
    </row>
    <row r="98" spans="19:19">
      <c r="S98" s="130"/>
    </row>
    <row r="99" spans="19:19">
      <c r="S99" s="130"/>
    </row>
    <row r="100" spans="19:19">
      <c r="S100" s="130"/>
    </row>
    <row r="101" spans="19:19">
      <c r="S101" s="130"/>
    </row>
    <row r="102" spans="19:19">
      <c r="S102" s="130"/>
    </row>
    <row r="103" spans="19:19">
      <c r="S103" s="130"/>
    </row>
    <row r="104" spans="19:19">
      <c r="S104" s="130"/>
    </row>
    <row r="105" spans="19:19">
      <c r="S105" s="130"/>
    </row>
    <row r="106" spans="19:19">
      <c r="S106" s="130"/>
    </row>
    <row r="107" spans="19:19">
      <c r="S107" s="130"/>
    </row>
    <row r="108" spans="19:19">
      <c r="S108" s="130"/>
    </row>
    <row r="109" spans="19:19">
      <c r="S109" s="130"/>
    </row>
    <row r="110" spans="19:19">
      <c r="S110" s="130"/>
    </row>
    <row r="111" spans="19:19">
      <c r="S111" s="130"/>
    </row>
    <row r="112" spans="19:19">
      <c r="S112" s="130"/>
    </row>
    <row r="113" spans="19:19">
      <c r="S113" s="130"/>
    </row>
    <row r="114" spans="19:19">
      <c r="S114" s="130"/>
    </row>
    <row r="115" spans="19:19">
      <c r="S115" s="130"/>
    </row>
    <row r="116" spans="19:19">
      <c r="S116" s="130"/>
    </row>
    <row r="117" spans="19:19">
      <c r="S117" s="130"/>
    </row>
    <row r="118" spans="19:19">
      <c r="S118" s="130"/>
    </row>
    <row r="119" spans="19:19">
      <c r="S119" s="130"/>
    </row>
    <row r="120" spans="19:19">
      <c r="S120" s="130"/>
    </row>
    <row r="121" spans="19:19">
      <c r="S121" s="130"/>
    </row>
    <row r="122" spans="19:19">
      <c r="S122" s="130"/>
    </row>
    <row r="123" spans="19:19">
      <c r="S123" s="130"/>
    </row>
    <row r="124" spans="19:19">
      <c r="S124" s="130"/>
    </row>
    <row r="125" spans="19:19">
      <c r="S125" s="130"/>
    </row>
    <row r="126" spans="19:19">
      <c r="S126" s="130"/>
    </row>
    <row r="127" spans="19:19">
      <c r="S127" s="130"/>
    </row>
    <row r="128" spans="19:19">
      <c r="S128" s="130"/>
    </row>
    <row r="129" spans="19:19">
      <c r="S129" s="130"/>
    </row>
    <row r="130" spans="19:19">
      <c r="S130" s="130"/>
    </row>
    <row r="131" spans="19:19">
      <c r="S131" s="130"/>
    </row>
    <row r="132" spans="19:19">
      <c r="S132" s="130"/>
    </row>
    <row r="133" spans="19:19">
      <c r="S133" s="130"/>
    </row>
    <row r="134" spans="19:19">
      <c r="S134" s="130"/>
    </row>
    <row r="135" spans="19:19">
      <c r="S135" s="130"/>
    </row>
    <row r="136" spans="19:19">
      <c r="S136" s="130"/>
    </row>
    <row r="137" spans="19:19">
      <c r="S137" s="130"/>
    </row>
    <row r="138" spans="19:19">
      <c r="S138" s="130"/>
    </row>
    <row r="139" spans="19:19">
      <c r="S139" s="130"/>
    </row>
    <row r="140" spans="19:19">
      <c r="S140" s="130"/>
    </row>
    <row r="141" spans="19:19">
      <c r="S141" s="130"/>
    </row>
    <row r="142" spans="19:19">
      <c r="S142" s="130"/>
    </row>
    <row r="143" spans="19:19">
      <c r="S143" s="130"/>
    </row>
    <row r="144" spans="19:19">
      <c r="S144" s="130"/>
    </row>
    <row r="145" spans="19:19">
      <c r="S145" s="130"/>
    </row>
    <row r="146" spans="19:19">
      <c r="S146" s="130"/>
    </row>
    <row r="147" spans="19:19">
      <c r="S147" s="130"/>
    </row>
    <row r="148" spans="19:19">
      <c r="S148" s="130"/>
    </row>
    <row r="149" spans="19:19">
      <c r="S149" s="130"/>
    </row>
    <row r="150" spans="19:19">
      <c r="S150" s="130"/>
    </row>
    <row r="151" spans="19:19">
      <c r="S151" s="130"/>
    </row>
    <row r="152" spans="19:19">
      <c r="S152" s="130"/>
    </row>
    <row r="153" spans="19:19">
      <c r="S153" s="130"/>
    </row>
    <row r="154" spans="19:19">
      <c r="S154" s="130"/>
    </row>
    <row r="155" spans="19:19">
      <c r="S155" s="130"/>
    </row>
    <row r="156" spans="19:19">
      <c r="S156" s="130"/>
    </row>
    <row r="157" spans="19:19">
      <c r="S157" s="130"/>
    </row>
    <row r="158" spans="19:19">
      <c r="S158" s="130"/>
    </row>
    <row r="159" spans="19:19">
      <c r="S159" s="130"/>
    </row>
    <row r="160" spans="19:19">
      <c r="S160" s="130"/>
    </row>
    <row r="161" spans="19:19">
      <c r="S161" s="130"/>
    </row>
    <row r="162" spans="19:19">
      <c r="S162" s="130"/>
    </row>
    <row r="163" spans="19:19">
      <c r="S163" s="130"/>
    </row>
    <row r="164" spans="19:19">
      <c r="S164" s="130"/>
    </row>
    <row r="165" spans="19:19">
      <c r="S165" s="130"/>
    </row>
    <row r="166" spans="19:19">
      <c r="S166" s="130"/>
    </row>
    <row r="167" spans="19:19">
      <c r="S167" s="130"/>
    </row>
    <row r="168" spans="19:19">
      <c r="S168" s="130"/>
    </row>
    <row r="169" spans="19:19">
      <c r="S169" s="130"/>
    </row>
    <row r="170" spans="19:19">
      <c r="S170" s="130"/>
    </row>
    <row r="171" spans="19:19">
      <c r="S171" s="130"/>
    </row>
    <row r="172" spans="19:19">
      <c r="S172" s="130"/>
    </row>
    <row r="173" spans="19:19">
      <c r="S173" s="130"/>
    </row>
    <row r="174" spans="19:19">
      <c r="S174" s="130"/>
    </row>
    <row r="175" spans="19:19">
      <c r="S175" s="130"/>
    </row>
    <row r="176" spans="19:19">
      <c r="S176" s="130"/>
    </row>
    <row r="177" spans="19:19">
      <c r="S177" s="130"/>
    </row>
    <row r="178" spans="19:19">
      <c r="S178" s="130"/>
    </row>
    <row r="179" spans="19:19">
      <c r="S179" s="130"/>
    </row>
    <row r="180" spans="19:19">
      <c r="S180" s="130"/>
    </row>
    <row r="181" spans="19:19">
      <c r="S181" s="130"/>
    </row>
    <row r="182" spans="19:19">
      <c r="S182" s="130"/>
    </row>
    <row r="183" spans="19:19">
      <c r="S183" s="130"/>
    </row>
    <row r="184" spans="19:19">
      <c r="S184" s="130"/>
    </row>
    <row r="185" spans="19:19">
      <c r="S185" s="130"/>
    </row>
    <row r="186" spans="19:19">
      <c r="S186" s="130"/>
    </row>
    <row r="187" spans="19:19">
      <c r="S187" s="130"/>
    </row>
    <row r="188" spans="19:19">
      <c r="S188" s="130"/>
    </row>
    <row r="189" spans="19:19">
      <c r="S189" s="130"/>
    </row>
    <row r="190" spans="19:19">
      <c r="S190" s="130"/>
    </row>
    <row r="191" spans="19:19">
      <c r="S191" s="130"/>
    </row>
    <row r="192" spans="19:19">
      <c r="S192" s="130"/>
    </row>
    <row r="193" spans="19:19">
      <c r="S193" s="130"/>
    </row>
    <row r="194" spans="19:19">
      <c r="S194" s="130"/>
    </row>
    <row r="195" spans="19:19">
      <c r="S195" s="130"/>
    </row>
    <row r="196" spans="19:19">
      <c r="S196" s="130"/>
    </row>
    <row r="197" spans="19:19">
      <c r="S197" s="130"/>
    </row>
    <row r="198" spans="19:19">
      <c r="S198" s="130"/>
    </row>
    <row r="199" spans="19:19">
      <c r="S199" s="130"/>
    </row>
    <row r="200" spans="19:19">
      <c r="S200" s="130"/>
    </row>
    <row r="201" spans="19:19">
      <c r="S201" s="130"/>
    </row>
    <row r="202" spans="19:19">
      <c r="S202" s="130"/>
    </row>
    <row r="203" spans="19:19">
      <c r="S203" s="130"/>
    </row>
    <row r="204" spans="19:19">
      <c r="S204" s="130"/>
    </row>
    <row r="205" spans="19:19">
      <c r="S205" s="130"/>
    </row>
    <row r="206" spans="19:19">
      <c r="S206" s="130"/>
    </row>
    <row r="207" spans="19:19">
      <c r="S207" s="130"/>
    </row>
    <row r="208" spans="19:19">
      <c r="S208" s="130"/>
    </row>
    <row r="209" spans="19:19">
      <c r="S209" s="130"/>
    </row>
    <row r="210" spans="19:19">
      <c r="S210" s="130"/>
    </row>
    <row r="211" spans="19:19">
      <c r="S211" s="130"/>
    </row>
    <row r="212" spans="19:19">
      <c r="S212" s="130"/>
    </row>
    <row r="213" spans="19:19">
      <c r="S213" s="130"/>
    </row>
    <row r="214" spans="19:19">
      <c r="S214" s="130"/>
    </row>
    <row r="215" spans="19:19">
      <c r="S215" s="130"/>
    </row>
    <row r="216" spans="19:19">
      <c r="S216" s="130"/>
    </row>
    <row r="217" spans="19:19">
      <c r="S217" s="130"/>
    </row>
    <row r="218" spans="19:19">
      <c r="S218" s="130"/>
    </row>
    <row r="219" spans="19:19">
      <c r="S219" s="130"/>
    </row>
    <row r="220" spans="19:19">
      <c r="S220" s="130"/>
    </row>
    <row r="221" spans="19:19">
      <c r="S221" s="130"/>
    </row>
    <row r="222" spans="19:19">
      <c r="S222" s="130"/>
    </row>
    <row r="223" spans="19:19">
      <c r="S223" s="130"/>
    </row>
    <row r="224" spans="19:19">
      <c r="S224" s="130"/>
    </row>
    <row r="225" spans="19:19">
      <c r="S225" s="130"/>
    </row>
    <row r="226" spans="19:19">
      <c r="S226" s="130"/>
    </row>
    <row r="227" spans="19:19">
      <c r="S227" s="130"/>
    </row>
    <row r="228" spans="19:19">
      <c r="S228" s="130"/>
    </row>
    <row r="229" spans="19:19">
      <c r="S229" s="130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ColWidth="11.44140625" defaultRowHeight="13.2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2">
    <tabColor theme="6"/>
  </sheetPr>
  <dimension ref="A1:S87"/>
  <sheetViews>
    <sheetView topLeftCell="J59" zoomScale="112" zoomScaleNormal="112" workbookViewId="0">
      <selection activeCell="R76" sqref="R76"/>
    </sheetView>
  </sheetViews>
  <sheetFormatPr defaultColWidth="11.44140625" defaultRowHeight="13.8"/>
  <cols>
    <col min="1" max="1" width="11.44140625" style="31" customWidth="1"/>
    <col min="2" max="2" width="7.88671875" style="31" customWidth="1"/>
    <col min="3" max="3" width="10" style="31" customWidth="1"/>
    <col min="4" max="5" width="11.44140625" style="31"/>
    <col min="6" max="6" width="9.88671875" style="31" customWidth="1"/>
    <col min="7" max="7" width="12.109375" style="31" customWidth="1"/>
    <col min="8" max="16384" width="11.44140625" style="31"/>
  </cols>
  <sheetData>
    <row r="1" spans="1:19" ht="22.8">
      <c r="A1" s="32" t="s">
        <v>491</v>
      </c>
      <c r="L1" s="316"/>
      <c r="R1" s="31" t="s">
        <v>492</v>
      </c>
    </row>
    <row r="2" spans="1:19">
      <c r="R2" s="1134"/>
      <c r="S2" s="1134" t="s">
        <v>493</v>
      </c>
    </row>
    <row r="3" spans="1:19">
      <c r="C3" s="31" t="s">
        <v>494</v>
      </c>
      <c r="H3" s="31" t="s">
        <v>495</v>
      </c>
      <c r="R3" s="1134">
        <v>5</v>
      </c>
      <c r="S3" s="1134">
        <v>0</v>
      </c>
    </row>
    <row r="4" spans="1:19" ht="26.25" customHeight="1">
      <c r="A4"/>
      <c r="B4" s="98" t="s">
        <v>496</v>
      </c>
      <c r="C4" s="98" t="s">
        <v>497</v>
      </c>
      <c r="D4" s="98" t="s">
        <v>496</v>
      </c>
      <c r="E4" s="98" t="s">
        <v>497</v>
      </c>
      <c r="F4"/>
      <c r="G4" s="98" t="s">
        <v>39</v>
      </c>
      <c r="H4" s="98" t="s">
        <v>497</v>
      </c>
      <c r="I4" s="98" t="s">
        <v>496</v>
      </c>
      <c r="J4" s="98" t="s">
        <v>497</v>
      </c>
      <c r="R4" s="1134">
        <v>6</v>
      </c>
      <c r="S4" s="1134">
        <v>0</v>
      </c>
    </row>
    <row r="5" spans="1:19">
      <c r="A5" s="99">
        <v>6</v>
      </c>
      <c r="B5" s="100" t="s">
        <v>498</v>
      </c>
      <c r="C5" s="100" t="s">
        <v>499</v>
      </c>
      <c r="D5" s="100" t="s">
        <v>498</v>
      </c>
      <c r="E5" s="100" t="s">
        <v>499</v>
      </c>
      <c r="F5"/>
      <c r="G5" s="101" t="s">
        <v>12</v>
      </c>
      <c r="H5" s="100" t="s">
        <v>499</v>
      </c>
      <c r="I5" s="100" t="s">
        <v>500</v>
      </c>
      <c r="J5" s="100" t="s">
        <v>500</v>
      </c>
      <c r="R5" s="1134">
        <v>7</v>
      </c>
      <c r="S5" s="1134">
        <v>0</v>
      </c>
    </row>
    <row r="6" spans="1:19" ht="15.75" customHeight="1">
      <c r="A6" s="99">
        <v>7</v>
      </c>
      <c r="B6" s="101" t="s">
        <v>501</v>
      </c>
      <c r="C6" s="101"/>
      <c r="D6" s="102" t="s">
        <v>502</v>
      </c>
      <c r="E6" s="102"/>
      <c r="F6"/>
      <c r="G6" s="101"/>
      <c r="H6" s="101"/>
      <c r="I6" s="101"/>
      <c r="J6" s="101"/>
      <c r="R6" s="1134">
        <v>8</v>
      </c>
      <c r="S6" s="1134">
        <v>0</v>
      </c>
    </row>
    <row r="7" spans="1:19" ht="15.75" customHeight="1">
      <c r="A7" s="99">
        <v>8</v>
      </c>
      <c r="B7" s="101"/>
      <c r="C7" s="101"/>
      <c r="D7" s="101"/>
      <c r="E7" s="101"/>
      <c r="F7"/>
      <c r="G7" s="101"/>
      <c r="H7" s="101"/>
      <c r="I7" s="101">
        <v>0.2</v>
      </c>
      <c r="J7" s="101">
        <v>1.1000000000000001</v>
      </c>
      <c r="R7" s="1134">
        <v>9</v>
      </c>
      <c r="S7" s="1134">
        <v>0</v>
      </c>
    </row>
    <row r="8" spans="1:19" ht="16.5" customHeight="1">
      <c r="A8" s="99">
        <v>9</v>
      </c>
      <c r="B8" s="101"/>
      <c r="C8" s="101"/>
      <c r="D8" s="101">
        <v>7.3</v>
      </c>
      <c r="E8" s="101">
        <v>42.5</v>
      </c>
      <c r="F8"/>
      <c r="G8" s="101"/>
      <c r="H8" s="101"/>
      <c r="I8" s="101">
        <v>59.7</v>
      </c>
      <c r="J8" s="101">
        <v>477.9</v>
      </c>
      <c r="R8" s="1134">
        <v>10</v>
      </c>
      <c r="S8" s="1134">
        <v>2</v>
      </c>
    </row>
    <row r="9" spans="1:19" ht="16.5" customHeight="1">
      <c r="A9" s="99">
        <v>10</v>
      </c>
      <c r="B9" s="101">
        <v>0.2</v>
      </c>
      <c r="C9" s="101">
        <v>1.9</v>
      </c>
      <c r="D9" s="101">
        <v>475.8</v>
      </c>
      <c r="E9" s="101">
        <v>4281.8999999999996</v>
      </c>
      <c r="F9"/>
      <c r="G9" s="101"/>
      <c r="H9" s="101"/>
      <c r="I9" s="101">
        <v>1162.2</v>
      </c>
      <c r="J9" s="101">
        <v>11738.1</v>
      </c>
      <c r="R9" s="1134">
        <v>11</v>
      </c>
      <c r="S9" s="1134">
        <v>0</v>
      </c>
    </row>
    <row r="10" spans="1:19">
      <c r="A10" s="99">
        <v>11</v>
      </c>
      <c r="B10" s="101">
        <v>0.4</v>
      </c>
      <c r="C10" s="101">
        <v>4.9000000000000004</v>
      </c>
      <c r="D10" s="101">
        <v>1215</v>
      </c>
      <c r="E10" s="101">
        <v>12844.1</v>
      </c>
      <c r="F10"/>
      <c r="G10" s="101"/>
      <c r="H10" s="101"/>
      <c r="I10" s="101">
        <v>737.7</v>
      </c>
      <c r="J10" s="101">
        <v>8992.2999999999993</v>
      </c>
      <c r="R10" s="1134">
        <v>12</v>
      </c>
      <c r="S10" s="1134">
        <v>0</v>
      </c>
    </row>
    <row r="11" spans="1:19">
      <c r="A11" s="99">
        <v>12</v>
      </c>
      <c r="B11" s="101">
        <v>0.7</v>
      </c>
      <c r="C11" s="101">
        <v>9.6</v>
      </c>
      <c r="D11" s="101">
        <v>102.4</v>
      </c>
      <c r="E11" s="101">
        <v>1297.5</v>
      </c>
      <c r="F11"/>
      <c r="G11" s="101"/>
      <c r="H11" s="101"/>
      <c r="I11" s="101">
        <v>8.8000000000000007</v>
      </c>
      <c r="J11" s="101">
        <v>130.6</v>
      </c>
      <c r="R11" s="1134">
        <v>13</v>
      </c>
      <c r="S11" s="1134">
        <v>0</v>
      </c>
    </row>
    <row r="12" spans="1:19">
      <c r="A12" s="99">
        <v>13</v>
      </c>
      <c r="B12" s="101">
        <v>0.4</v>
      </c>
      <c r="C12" s="101">
        <v>6.6</v>
      </c>
      <c r="D12" s="101">
        <v>29.3</v>
      </c>
      <c r="E12" s="101">
        <v>419.8</v>
      </c>
      <c r="F12"/>
      <c r="G12" s="101"/>
      <c r="H12" s="101"/>
      <c r="I12" s="101">
        <v>0.5</v>
      </c>
      <c r="J12" s="101">
        <v>7.9</v>
      </c>
      <c r="R12" s="1134">
        <v>14</v>
      </c>
      <c r="S12" s="1134">
        <v>0</v>
      </c>
    </row>
    <row r="13" spans="1:19">
      <c r="A13" s="99">
        <v>14</v>
      </c>
      <c r="B13" s="101">
        <v>0.03</v>
      </c>
      <c r="C13" s="101">
        <v>0.6</v>
      </c>
      <c r="D13" s="101" t="s">
        <v>503</v>
      </c>
      <c r="E13" s="101" t="s">
        <v>503</v>
      </c>
      <c r="F13"/>
      <c r="G13" s="101"/>
      <c r="H13" s="101"/>
      <c r="I13" s="101">
        <v>0.01</v>
      </c>
      <c r="J13" s="101">
        <v>0.3</v>
      </c>
      <c r="R13" s="1134">
        <v>15</v>
      </c>
      <c r="S13" s="1134">
        <v>0</v>
      </c>
    </row>
    <row r="14" spans="1:19">
      <c r="A14" s="99">
        <v>15</v>
      </c>
      <c r="B14" s="101">
        <v>0.4</v>
      </c>
      <c r="C14" s="101">
        <v>13.4</v>
      </c>
      <c r="D14" s="101" t="s">
        <v>503</v>
      </c>
      <c r="E14" s="101" t="s">
        <v>503</v>
      </c>
      <c r="F14"/>
      <c r="G14" s="101"/>
      <c r="H14" s="101"/>
      <c r="I14" s="101">
        <v>0.1</v>
      </c>
      <c r="J14" s="101">
        <v>2.1</v>
      </c>
      <c r="R14" s="1134">
        <v>16</v>
      </c>
      <c r="S14" s="1134">
        <v>10</v>
      </c>
    </row>
    <row r="15" spans="1:19">
      <c r="A15" s="99">
        <v>16</v>
      </c>
      <c r="B15" s="101">
        <v>4</v>
      </c>
      <c r="C15" s="101">
        <v>165.6</v>
      </c>
      <c r="D15" s="101" t="s">
        <v>503</v>
      </c>
      <c r="E15" s="101" t="s">
        <v>503</v>
      </c>
      <c r="F15"/>
      <c r="G15" s="101"/>
      <c r="H15" s="101"/>
      <c r="I15" s="101">
        <v>0.1</v>
      </c>
      <c r="J15" s="101">
        <v>2.7</v>
      </c>
      <c r="R15" s="1134">
        <v>17</v>
      </c>
      <c r="S15" s="1134">
        <v>34</v>
      </c>
    </row>
    <row r="16" spans="1:19">
      <c r="A16" s="99">
        <v>17</v>
      </c>
      <c r="B16" s="101">
        <v>38</v>
      </c>
      <c r="C16" s="101">
        <v>1936</v>
      </c>
      <c r="D16" s="101" t="s">
        <v>503</v>
      </c>
      <c r="E16" s="101" t="s">
        <v>503</v>
      </c>
      <c r="F16"/>
      <c r="G16" s="101"/>
      <c r="H16" s="101"/>
      <c r="I16" s="101" t="s">
        <v>503</v>
      </c>
      <c r="J16" s="101" t="s">
        <v>503</v>
      </c>
      <c r="R16" s="1134">
        <v>18</v>
      </c>
      <c r="S16" s="1134">
        <v>57</v>
      </c>
    </row>
    <row r="17" spans="1:19">
      <c r="A17" s="99">
        <v>18</v>
      </c>
      <c r="B17" s="101">
        <v>346.7</v>
      </c>
      <c r="C17" s="101">
        <v>19396.900000000001</v>
      </c>
      <c r="D17" s="101">
        <v>36.6</v>
      </c>
      <c r="E17" s="101">
        <v>1903.7</v>
      </c>
      <c r="F17"/>
      <c r="G17" s="101"/>
      <c r="H17" s="101"/>
      <c r="I17" s="101" t="s">
        <v>503</v>
      </c>
      <c r="J17" s="101" t="s">
        <v>503</v>
      </c>
      <c r="R17" s="1134">
        <v>19</v>
      </c>
      <c r="S17" s="1134">
        <v>38</v>
      </c>
    </row>
    <row r="18" spans="1:19">
      <c r="A18" s="99">
        <v>19</v>
      </c>
      <c r="B18" s="101">
        <v>910.6</v>
      </c>
      <c r="C18" s="101">
        <v>57692.9</v>
      </c>
      <c r="D18" s="101">
        <v>29.4</v>
      </c>
      <c r="E18" s="101">
        <v>2007.3</v>
      </c>
      <c r="F18"/>
      <c r="G18" s="101"/>
      <c r="H18" s="101"/>
      <c r="I18" s="101" t="s">
        <v>503</v>
      </c>
      <c r="J18" s="101" t="s">
        <v>503</v>
      </c>
      <c r="R18" s="1134">
        <v>20</v>
      </c>
      <c r="S18" s="1134">
        <v>15</v>
      </c>
    </row>
    <row r="19" spans="1:19">
      <c r="A19" s="99">
        <v>20</v>
      </c>
      <c r="B19" s="101">
        <v>819</v>
      </c>
      <c r="C19" s="101">
        <v>58455.4</v>
      </c>
      <c r="D19" s="101">
        <v>64.7</v>
      </c>
      <c r="E19" s="101">
        <v>4980.3999999999996</v>
      </c>
      <c r="F19"/>
      <c r="G19" s="101">
        <v>5.6</v>
      </c>
      <c r="H19" s="101">
        <v>432.6</v>
      </c>
      <c r="I19" s="101">
        <v>0.3</v>
      </c>
      <c r="J19" s="101">
        <v>20.9</v>
      </c>
      <c r="R19" s="1134">
        <v>21</v>
      </c>
      <c r="S19" s="1134">
        <v>14</v>
      </c>
    </row>
    <row r="20" spans="1:19">
      <c r="A20" s="99">
        <v>21</v>
      </c>
      <c r="B20" s="101">
        <v>252.7</v>
      </c>
      <c r="C20" s="101">
        <v>20437.8</v>
      </c>
      <c r="D20" s="101">
        <v>132.80000000000001</v>
      </c>
      <c r="E20" s="101">
        <v>11392.2</v>
      </c>
      <c r="F20"/>
      <c r="G20" s="101">
        <v>22.8</v>
      </c>
      <c r="H20" s="101">
        <v>2056.4</v>
      </c>
      <c r="I20" s="101">
        <v>0.5</v>
      </c>
      <c r="J20" s="101">
        <v>47.5</v>
      </c>
      <c r="R20" s="1134">
        <v>22</v>
      </c>
      <c r="S20" s="1134">
        <v>18</v>
      </c>
    </row>
    <row r="21" spans="1:19">
      <c r="A21" s="99">
        <v>22</v>
      </c>
      <c r="B21" s="101">
        <v>194.8</v>
      </c>
      <c r="C21" s="101">
        <v>17585.2</v>
      </c>
      <c r="D21" s="101">
        <v>230.4</v>
      </c>
      <c r="E21" s="101">
        <v>22900.3</v>
      </c>
      <c r="F21"/>
      <c r="G21" s="101">
        <v>34.1</v>
      </c>
      <c r="H21" s="101">
        <v>3482.8</v>
      </c>
      <c r="I21" s="101">
        <v>0.1</v>
      </c>
      <c r="J21" s="101">
        <v>12.9</v>
      </c>
      <c r="R21" s="1134">
        <v>23</v>
      </c>
      <c r="S21" s="1134">
        <v>20</v>
      </c>
    </row>
    <row r="22" spans="1:19">
      <c r="A22" s="99">
        <v>23</v>
      </c>
      <c r="B22" s="101">
        <v>105.3</v>
      </c>
      <c r="C22" s="101">
        <v>10881.8</v>
      </c>
      <c r="D22" s="101">
        <v>298.2</v>
      </c>
      <c r="E22" s="101">
        <v>33064.699999999997</v>
      </c>
      <c r="F22"/>
      <c r="G22" s="101">
        <v>57</v>
      </c>
      <c r="H22" s="101">
        <v>6687.3</v>
      </c>
      <c r="I22" s="101">
        <v>0.4</v>
      </c>
      <c r="J22" s="101">
        <v>46.7</v>
      </c>
      <c r="R22" s="1134">
        <v>24</v>
      </c>
      <c r="S22" s="1134">
        <v>11</v>
      </c>
    </row>
    <row r="23" spans="1:19">
      <c r="A23" s="99">
        <v>24</v>
      </c>
      <c r="B23" s="101">
        <v>35.799999999999997</v>
      </c>
      <c r="C23" s="101">
        <v>4138.7</v>
      </c>
      <c r="D23" s="101">
        <v>326.7</v>
      </c>
      <c r="E23" s="101">
        <v>41608.199999999997</v>
      </c>
      <c r="F23"/>
      <c r="G23" s="101">
        <v>56.3</v>
      </c>
      <c r="H23" s="101">
        <v>7495.9</v>
      </c>
      <c r="I23" s="101">
        <v>0.5</v>
      </c>
      <c r="J23" s="101">
        <v>73</v>
      </c>
      <c r="R23" s="1134">
        <v>25</v>
      </c>
      <c r="S23" s="1134">
        <v>9</v>
      </c>
    </row>
    <row r="24" spans="1:19">
      <c r="A24" s="99">
        <v>25</v>
      </c>
      <c r="B24" s="101">
        <v>6.2</v>
      </c>
      <c r="C24" s="101">
        <v>811.2</v>
      </c>
      <c r="D24" s="101">
        <v>213.4</v>
      </c>
      <c r="E24" s="101">
        <v>29028.400000000001</v>
      </c>
      <c r="F24"/>
      <c r="G24" s="101">
        <v>54.7</v>
      </c>
      <c r="H24" s="101">
        <v>8018.8</v>
      </c>
      <c r="I24" s="101">
        <v>0.2</v>
      </c>
      <c r="J24" s="101">
        <v>25.2</v>
      </c>
      <c r="R24" s="1134">
        <v>26</v>
      </c>
      <c r="S24" s="1134">
        <v>4</v>
      </c>
    </row>
    <row r="25" spans="1:19">
      <c r="A25" s="99">
        <v>26</v>
      </c>
      <c r="B25" s="101">
        <v>1.6</v>
      </c>
      <c r="C25" s="101">
        <v>249.9</v>
      </c>
      <c r="D25" s="101">
        <v>111.3</v>
      </c>
      <c r="E25" s="101">
        <v>17182.099999999999</v>
      </c>
      <c r="F25"/>
      <c r="G25" s="101">
        <v>48</v>
      </c>
      <c r="H25" s="101">
        <v>7820.4</v>
      </c>
      <c r="I25" s="101">
        <v>0.8</v>
      </c>
      <c r="J25" s="101">
        <v>121.7</v>
      </c>
      <c r="R25" s="1134">
        <v>27</v>
      </c>
      <c r="S25" s="1134">
        <v>18</v>
      </c>
    </row>
    <row r="26" spans="1:19">
      <c r="A26" s="99">
        <v>27</v>
      </c>
      <c r="B26" s="101">
        <v>0.1</v>
      </c>
      <c r="C26" s="101">
        <v>13.3</v>
      </c>
      <c r="D26" s="101">
        <v>60.3</v>
      </c>
      <c r="E26" s="101">
        <v>10392.9</v>
      </c>
      <c r="F26"/>
      <c r="G26" s="101">
        <v>62.4</v>
      </c>
      <c r="H26" s="101">
        <v>11422.1</v>
      </c>
      <c r="I26" s="101">
        <v>0.7</v>
      </c>
      <c r="J26" s="101">
        <v>126.4</v>
      </c>
      <c r="R26" s="1134">
        <v>28</v>
      </c>
      <c r="S26" s="1134">
        <v>21</v>
      </c>
    </row>
    <row r="27" spans="1:19" ht="16.5" customHeight="1">
      <c r="A27" s="99">
        <v>28</v>
      </c>
      <c r="B27" s="101">
        <v>1.7</v>
      </c>
      <c r="C27" s="101">
        <v>315.39999999999998</v>
      </c>
      <c r="D27" s="101">
        <v>18.899999999999999</v>
      </c>
      <c r="E27" s="101">
        <v>3708.5</v>
      </c>
      <c r="F27"/>
      <c r="G27" s="101">
        <v>47.7</v>
      </c>
      <c r="H27" s="101">
        <v>9676.4</v>
      </c>
      <c r="I27" s="101">
        <v>0.04</v>
      </c>
      <c r="J27" s="101">
        <v>8.6</v>
      </c>
      <c r="R27" s="1134">
        <v>29</v>
      </c>
      <c r="S27" s="1134">
        <v>48</v>
      </c>
    </row>
    <row r="28" spans="1:19" ht="16.5" customHeight="1">
      <c r="A28" s="99">
        <v>29</v>
      </c>
      <c r="B28" s="101">
        <v>0.1</v>
      </c>
      <c r="C28" s="101">
        <v>16.600000000000001</v>
      </c>
      <c r="D28" s="101">
        <v>13</v>
      </c>
      <c r="E28" s="101">
        <v>2824.3</v>
      </c>
      <c r="F28"/>
      <c r="G28" s="101">
        <v>79</v>
      </c>
      <c r="H28" s="101">
        <v>17372.2</v>
      </c>
      <c r="I28" s="101">
        <v>0.03</v>
      </c>
      <c r="J28" s="101">
        <v>6.1</v>
      </c>
      <c r="R28" s="1134">
        <v>30</v>
      </c>
      <c r="S28" s="1134">
        <v>132</v>
      </c>
    </row>
    <row r="29" spans="1:19">
      <c r="A29" s="99">
        <v>30</v>
      </c>
      <c r="B29" s="101">
        <v>0.1</v>
      </c>
      <c r="C29" s="101">
        <v>30.5</v>
      </c>
      <c r="D29" s="101">
        <v>1.2</v>
      </c>
      <c r="E29" s="101">
        <v>308.7</v>
      </c>
      <c r="F29"/>
      <c r="G29" s="101">
        <v>91.9</v>
      </c>
      <c r="H29" s="101">
        <v>22610.3</v>
      </c>
      <c r="I29" s="101">
        <v>0.1</v>
      </c>
      <c r="J29" s="101">
        <v>14.7</v>
      </c>
      <c r="R29" s="1134">
        <v>31</v>
      </c>
      <c r="S29" s="1134">
        <v>253</v>
      </c>
    </row>
    <row r="30" spans="1:19">
      <c r="A30" s="99">
        <v>31</v>
      </c>
      <c r="B30" s="101">
        <v>0.1</v>
      </c>
      <c r="C30" s="101">
        <v>26.9</v>
      </c>
      <c r="D30" s="101">
        <v>3.7</v>
      </c>
      <c r="E30" s="101">
        <v>963.5</v>
      </c>
      <c r="F30"/>
      <c r="G30" s="101">
        <v>59.2</v>
      </c>
      <c r="H30" s="101">
        <v>16612.5</v>
      </c>
      <c r="I30" s="101">
        <v>0.01</v>
      </c>
      <c r="J30" s="101">
        <v>3.6</v>
      </c>
      <c r="R30" s="1134">
        <v>32</v>
      </c>
      <c r="S30" s="1134">
        <v>227</v>
      </c>
    </row>
    <row r="31" spans="1:19">
      <c r="A31" s="99">
        <v>32</v>
      </c>
      <c r="B31" s="101">
        <v>0.1</v>
      </c>
      <c r="C31" s="101">
        <v>14.6</v>
      </c>
      <c r="D31" s="101">
        <v>7.8</v>
      </c>
      <c r="E31" s="101">
        <v>2488.5</v>
      </c>
      <c r="F31"/>
      <c r="G31" s="101">
        <v>32.700000000000003</v>
      </c>
      <c r="H31" s="101">
        <v>10362.200000000001</v>
      </c>
      <c r="I31" s="101"/>
      <c r="J31" s="101"/>
      <c r="R31" s="1134">
        <v>33</v>
      </c>
      <c r="S31" s="1134">
        <v>158</v>
      </c>
    </row>
    <row r="32" spans="1:19">
      <c r="A32" s="99">
        <v>33</v>
      </c>
      <c r="B32" s="101">
        <v>0.1</v>
      </c>
      <c r="C32" s="101">
        <v>16.2</v>
      </c>
      <c r="D32" s="101">
        <v>11.1</v>
      </c>
      <c r="E32" s="101">
        <v>3783.6</v>
      </c>
      <c r="F32"/>
      <c r="G32" s="101">
        <v>6.1</v>
      </c>
      <c r="H32" s="101">
        <v>2098.9</v>
      </c>
      <c r="I32" s="101"/>
      <c r="J32" s="101"/>
      <c r="R32" s="1134">
        <v>34</v>
      </c>
      <c r="S32" s="1134">
        <v>63</v>
      </c>
    </row>
    <row r="33" spans="1:19">
      <c r="A33" s="99">
        <v>34</v>
      </c>
      <c r="B33" s="101">
        <v>0.01</v>
      </c>
      <c r="C33" s="101">
        <v>3.7</v>
      </c>
      <c r="D33" s="101">
        <v>7.5</v>
      </c>
      <c r="E33" s="101">
        <v>2612.8000000000002</v>
      </c>
      <c r="F33"/>
      <c r="G33" s="101">
        <v>0.9</v>
      </c>
      <c r="H33" s="101">
        <v>355.2</v>
      </c>
      <c r="I33" s="101"/>
      <c r="J33" s="101"/>
      <c r="R33" s="1134">
        <v>35</v>
      </c>
      <c r="S33" s="1134">
        <v>29</v>
      </c>
    </row>
    <row r="34" spans="1:19">
      <c r="A34" s="99">
        <v>35</v>
      </c>
      <c r="B34" s="101">
        <v>0.01</v>
      </c>
      <c r="C34" s="101">
        <v>3.8</v>
      </c>
      <c r="D34" s="101" t="s">
        <v>503</v>
      </c>
      <c r="E34" s="101" t="s">
        <v>503</v>
      </c>
      <c r="F34"/>
      <c r="G34" s="101">
        <v>2.2000000000000002</v>
      </c>
      <c r="H34" s="101">
        <v>852.4</v>
      </c>
      <c r="I34" s="101"/>
      <c r="J34" s="101"/>
      <c r="R34" s="1134">
        <v>36</v>
      </c>
      <c r="S34" s="1134">
        <v>3</v>
      </c>
    </row>
    <row r="35" spans="1:19">
      <c r="A35" s="99">
        <v>36</v>
      </c>
      <c r="B35" s="101" t="s">
        <v>503</v>
      </c>
      <c r="C35" s="101" t="s">
        <v>503</v>
      </c>
      <c r="D35" s="101" t="s">
        <v>503</v>
      </c>
      <c r="E35" s="101" t="s">
        <v>503</v>
      </c>
      <c r="F35"/>
      <c r="G35" s="101"/>
      <c r="H35" s="101"/>
      <c r="I35" s="101"/>
      <c r="J35" s="101"/>
      <c r="R35" s="1134">
        <v>37</v>
      </c>
      <c r="S35" s="1134">
        <v>11</v>
      </c>
    </row>
    <row r="36" spans="1:19">
      <c r="A36" s="99">
        <v>37</v>
      </c>
      <c r="B36" s="101">
        <v>0.01</v>
      </c>
      <c r="C36" s="101">
        <v>4.7</v>
      </c>
      <c r="D36" s="101" t="s">
        <v>503</v>
      </c>
      <c r="E36" s="101" t="s">
        <v>503</v>
      </c>
      <c r="F36"/>
      <c r="G36" s="101"/>
      <c r="H36" s="101"/>
      <c r="I36" s="101"/>
      <c r="J36" s="101"/>
      <c r="R36" s="1134">
        <v>38</v>
      </c>
      <c r="S36" s="1134">
        <v>15</v>
      </c>
    </row>
    <row r="37" spans="1:19">
      <c r="A37" s="99">
        <v>38</v>
      </c>
      <c r="B37" s="101"/>
      <c r="C37" s="101"/>
      <c r="D37" s="101" t="s">
        <v>503</v>
      </c>
      <c r="E37" s="101" t="s">
        <v>503</v>
      </c>
      <c r="F37"/>
      <c r="G37" s="101"/>
      <c r="H37" s="101"/>
      <c r="I37" s="101"/>
      <c r="J37" s="101"/>
      <c r="R37" s="1134">
        <v>39</v>
      </c>
      <c r="S37" s="1134">
        <v>0</v>
      </c>
    </row>
    <row r="38" spans="1:19">
      <c r="A38" s="99">
        <v>39</v>
      </c>
      <c r="B38" s="101"/>
      <c r="C38" s="101"/>
      <c r="D38" s="101">
        <v>3.3</v>
      </c>
      <c r="E38" s="101">
        <v>1527.4</v>
      </c>
      <c r="F38"/>
      <c r="G38"/>
      <c r="H38"/>
      <c r="I38"/>
      <c r="J38"/>
      <c r="R38" s="1134">
        <v>40</v>
      </c>
      <c r="S38" s="1134">
        <v>0</v>
      </c>
    </row>
    <row r="39" spans="1:19">
      <c r="A39" s="99">
        <v>40</v>
      </c>
      <c r="B39" s="101"/>
      <c r="C39" s="101"/>
      <c r="D39" s="102"/>
      <c r="E39" s="102"/>
      <c r="F39"/>
      <c r="G39"/>
      <c r="H39"/>
      <c r="I39"/>
      <c r="J39"/>
      <c r="R39" s="1134">
        <v>41</v>
      </c>
      <c r="S39" s="1134">
        <v>3</v>
      </c>
    </row>
    <row r="40" spans="1:19">
      <c r="A40" s="99"/>
      <c r="B40" s="101"/>
      <c r="C40" s="101"/>
      <c r="D40" s="102"/>
      <c r="E40" s="102"/>
      <c r="F40"/>
      <c r="G40"/>
      <c r="H40"/>
      <c r="I40"/>
      <c r="J40"/>
      <c r="R40" s="1134">
        <v>42</v>
      </c>
      <c r="S40" s="1134">
        <v>3</v>
      </c>
    </row>
    <row r="41" spans="1:19">
      <c r="A41" s="99"/>
      <c r="B41" s="101"/>
      <c r="C41" s="101"/>
      <c r="D41" s="102"/>
      <c r="E41" s="102"/>
      <c r="F41"/>
      <c r="G41"/>
      <c r="H41"/>
      <c r="I41"/>
      <c r="J41"/>
      <c r="R41" s="1134">
        <v>43</v>
      </c>
      <c r="S41" s="1134">
        <v>0</v>
      </c>
    </row>
    <row r="42" spans="1:19" ht="15.6">
      <c r="A42" s="21" t="s">
        <v>504</v>
      </c>
      <c r="R42" s="1134">
        <v>44</v>
      </c>
      <c r="S42" s="1134">
        <v>0</v>
      </c>
    </row>
    <row r="43" spans="1:19" ht="18">
      <c r="G43" s="105" t="s">
        <v>495</v>
      </c>
      <c r="R43" s="1134">
        <v>45</v>
      </c>
      <c r="S43" s="1134">
        <v>0</v>
      </c>
    </row>
    <row r="45" spans="1:19">
      <c r="F45" s="1134"/>
      <c r="G45" s="1134" t="s">
        <v>161</v>
      </c>
      <c r="H45" s="1134" t="s">
        <v>159</v>
      </c>
      <c r="I45" s="31" t="s">
        <v>505</v>
      </c>
      <c r="J45" s="31" t="s">
        <v>506</v>
      </c>
    </row>
    <row r="46" spans="1:19">
      <c r="F46" s="1134">
        <v>3</v>
      </c>
      <c r="G46" s="1134"/>
      <c r="H46" s="1134">
        <v>7</v>
      </c>
      <c r="I46" s="31">
        <f>(G46/$G$86)*100</f>
        <v>0</v>
      </c>
      <c r="J46" s="31">
        <f>(H46/$H$86)*100</f>
        <v>0.3160270880361174</v>
      </c>
    </row>
    <row r="47" spans="1:19">
      <c r="F47" s="1134">
        <v>4</v>
      </c>
      <c r="G47" s="1134">
        <v>6</v>
      </c>
      <c r="H47" s="1134">
        <v>11</v>
      </c>
      <c r="I47" s="31">
        <f t="shared" ref="I47:I86" si="0">(G47/$G$86)*100</f>
        <v>1.8404907975460123</v>
      </c>
      <c r="J47" s="31">
        <f t="shared" ref="J47:J86" si="1">(H47/$H$86)*100</f>
        <v>0.49661399548532731</v>
      </c>
    </row>
    <row r="48" spans="1:19">
      <c r="F48" s="1134">
        <v>5</v>
      </c>
      <c r="G48" s="1134">
        <v>6</v>
      </c>
      <c r="H48" s="1134">
        <v>6</v>
      </c>
      <c r="I48" s="31">
        <f t="shared" si="0"/>
        <v>1.8404907975460123</v>
      </c>
      <c r="J48" s="31">
        <f t="shared" si="1"/>
        <v>0.27088036117381487</v>
      </c>
    </row>
    <row r="49" spans="1:10">
      <c r="F49" s="1134">
        <v>6</v>
      </c>
      <c r="G49" s="1134">
        <v>4</v>
      </c>
      <c r="H49" s="1134">
        <v>1</v>
      </c>
      <c r="I49" s="31">
        <f t="shared" si="0"/>
        <v>1.2269938650306749</v>
      </c>
      <c r="J49" s="31">
        <f t="shared" si="1"/>
        <v>4.5146726862302478E-2</v>
      </c>
    </row>
    <row r="50" spans="1:10">
      <c r="F50" s="1134">
        <v>7</v>
      </c>
      <c r="G50" s="1134"/>
      <c r="H50" s="1134">
        <v>0</v>
      </c>
      <c r="I50" s="31">
        <f t="shared" si="0"/>
        <v>0</v>
      </c>
      <c r="J50" s="31">
        <f t="shared" si="1"/>
        <v>0</v>
      </c>
    </row>
    <row r="51" spans="1:10" ht="15.6">
      <c r="A51"/>
      <c r="B51" s="98"/>
      <c r="C51" s="98"/>
      <c r="D51" s="98"/>
      <c r="E51" s="98"/>
      <c r="F51" s="1134">
        <v>8</v>
      </c>
      <c r="G51" s="1134"/>
      <c r="H51" s="1134">
        <v>1</v>
      </c>
      <c r="I51" s="31">
        <f t="shared" si="0"/>
        <v>0</v>
      </c>
      <c r="J51" s="31">
        <f t="shared" si="1"/>
        <v>4.5146726862302478E-2</v>
      </c>
    </row>
    <row r="52" spans="1:10">
      <c r="A52" s="99"/>
      <c r="B52" s="100"/>
      <c r="C52" s="100"/>
      <c r="D52" s="100"/>
      <c r="E52" s="100"/>
      <c r="F52" s="1134">
        <v>9</v>
      </c>
      <c r="G52" s="1134"/>
      <c r="H52" s="1134">
        <v>2</v>
      </c>
      <c r="I52" s="31">
        <f t="shared" si="0"/>
        <v>0</v>
      </c>
      <c r="J52" s="31">
        <f t="shared" si="1"/>
        <v>9.0293453724604955E-2</v>
      </c>
    </row>
    <row r="53" spans="1:10">
      <c r="A53" s="99"/>
      <c r="B53" s="101"/>
      <c r="C53" s="101"/>
      <c r="D53" s="102"/>
      <c r="E53" s="102"/>
      <c r="F53" s="1134">
        <v>10</v>
      </c>
      <c r="G53" s="1134">
        <v>1</v>
      </c>
      <c r="H53" s="1134">
        <v>1</v>
      </c>
      <c r="I53" s="31">
        <f t="shared" si="0"/>
        <v>0.30674846625766872</v>
      </c>
      <c r="J53" s="31">
        <f t="shared" si="1"/>
        <v>4.5146726862302478E-2</v>
      </c>
    </row>
    <row r="54" spans="1:10">
      <c r="A54" s="99"/>
      <c r="B54" s="101"/>
      <c r="C54" s="101"/>
      <c r="D54" s="101"/>
      <c r="E54" s="101"/>
      <c r="F54" s="1134">
        <v>11</v>
      </c>
      <c r="G54" s="1134"/>
      <c r="H54" s="1134">
        <v>7</v>
      </c>
      <c r="I54" s="31">
        <f t="shared" si="0"/>
        <v>0</v>
      </c>
      <c r="J54" s="31">
        <f t="shared" si="1"/>
        <v>0.3160270880361174</v>
      </c>
    </row>
    <row r="55" spans="1:10">
      <c r="A55" s="99"/>
      <c r="B55" s="101"/>
      <c r="C55" s="101"/>
      <c r="D55" s="101"/>
      <c r="E55" s="101"/>
      <c r="F55" s="1134">
        <v>12</v>
      </c>
      <c r="G55" s="1134"/>
      <c r="H55" s="1134">
        <v>58</v>
      </c>
      <c r="I55" s="31">
        <f t="shared" si="0"/>
        <v>0</v>
      </c>
      <c r="J55" s="31">
        <f t="shared" si="1"/>
        <v>2.6185101580135437</v>
      </c>
    </row>
    <row r="56" spans="1:10">
      <c r="A56" s="99"/>
      <c r="B56" s="101"/>
      <c r="C56" s="101"/>
      <c r="D56" s="101"/>
      <c r="E56" s="101"/>
      <c r="F56" s="1134">
        <v>13</v>
      </c>
      <c r="G56" s="1134"/>
      <c r="H56" s="1134">
        <v>397</v>
      </c>
      <c r="I56" s="31">
        <f t="shared" si="0"/>
        <v>0</v>
      </c>
      <c r="J56" s="31">
        <f t="shared" si="1"/>
        <v>17.923250564334086</v>
      </c>
    </row>
    <row r="57" spans="1:10">
      <c r="A57" s="99"/>
      <c r="B57" s="101"/>
      <c r="C57" s="101"/>
      <c r="D57" s="101"/>
      <c r="E57" s="101"/>
      <c r="F57" s="1134">
        <v>14</v>
      </c>
      <c r="G57" s="1134"/>
      <c r="H57" s="1134">
        <v>910</v>
      </c>
      <c r="I57" s="31">
        <f t="shared" si="0"/>
        <v>0</v>
      </c>
      <c r="J57" s="31">
        <f t="shared" si="1"/>
        <v>41.083521444695258</v>
      </c>
    </row>
    <row r="58" spans="1:10">
      <c r="A58" s="99"/>
      <c r="B58" s="101"/>
      <c r="C58" s="101"/>
      <c r="D58" s="101"/>
      <c r="E58" s="101"/>
      <c r="F58" s="1134">
        <v>15</v>
      </c>
      <c r="G58" s="1134"/>
      <c r="H58" s="1134">
        <v>402</v>
      </c>
      <c r="I58" s="31">
        <f t="shared" si="0"/>
        <v>0</v>
      </c>
      <c r="J58" s="31">
        <f t="shared" si="1"/>
        <v>18.1489841986456</v>
      </c>
    </row>
    <row r="59" spans="1:10">
      <c r="A59" s="99"/>
      <c r="B59" s="101"/>
      <c r="C59" s="101"/>
      <c r="D59" s="101"/>
      <c r="E59" s="101"/>
      <c r="F59" s="1134">
        <v>16</v>
      </c>
      <c r="G59" s="1134"/>
      <c r="H59" s="1134">
        <v>117</v>
      </c>
      <c r="I59" s="31">
        <f t="shared" si="0"/>
        <v>0</v>
      </c>
      <c r="J59" s="31">
        <f t="shared" si="1"/>
        <v>5.282167042889391</v>
      </c>
    </row>
    <row r="60" spans="1:10">
      <c r="A60" s="99"/>
      <c r="B60" s="101"/>
      <c r="C60" s="101"/>
      <c r="D60" s="101"/>
      <c r="E60" s="101"/>
      <c r="F60" s="1134">
        <v>17</v>
      </c>
      <c r="G60" s="1134"/>
      <c r="H60" s="1134">
        <v>20</v>
      </c>
      <c r="I60" s="31">
        <f t="shared" si="0"/>
        <v>0</v>
      </c>
      <c r="J60" s="31">
        <f t="shared" si="1"/>
        <v>0.90293453724604955</v>
      </c>
    </row>
    <row r="61" spans="1:10">
      <c r="A61" s="99"/>
      <c r="B61" s="101"/>
      <c r="C61" s="101"/>
      <c r="D61" s="101"/>
      <c r="E61" s="101"/>
      <c r="F61" s="1134">
        <v>18</v>
      </c>
      <c r="G61" s="1134">
        <v>1</v>
      </c>
      <c r="H61" s="1134">
        <v>3</v>
      </c>
      <c r="I61" s="31">
        <f t="shared" si="0"/>
        <v>0.30674846625766872</v>
      </c>
      <c r="J61" s="31">
        <f t="shared" si="1"/>
        <v>0.13544018058690743</v>
      </c>
    </row>
    <row r="62" spans="1:10">
      <c r="A62" s="99"/>
      <c r="B62" s="101"/>
      <c r="C62" s="101"/>
      <c r="D62" s="101"/>
      <c r="E62" s="101"/>
      <c r="F62" s="1134">
        <v>19</v>
      </c>
      <c r="G62" s="1134">
        <v>6</v>
      </c>
      <c r="H62" s="1134">
        <v>8</v>
      </c>
      <c r="I62" s="31">
        <f t="shared" si="0"/>
        <v>1.8404907975460123</v>
      </c>
      <c r="J62" s="31">
        <f t="shared" si="1"/>
        <v>0.36117381489841982</v>
      </c>
    </row>
    <row r="63" spans="1:10">
      <c r="A63" s="99"/>
      <c r="B63" s="101"/>
      <c r="C63" s="101"/>
      <c r="D63" s="101"/>
      <c r="E63" s="101"/>
      <c r="F63" s="1134">
        <v>20</v>
      </c>
      <c r="G63" s="1134">
        <v>69</v>
      </c>
      <c r="H63" s="1134">
        <v>15</v>
      </c>
      <c r="I63" s="31">
        <f t="shared" si="0"/>
        <v>21.165644171779142</v>
      </c>
      <c r="J63" s="31">
        <f t="shared" si="1"/>
        <v>0.67720090293453727</v>
      </c>
    </row>
    <row r="64" spans="1:10">
      <c r="A64" s="99"/>
      <c r="B64" s="101"/>
      <c r="C64" s="101"/>
      <c r="D64" s="101"/>
      <c r="E64" s="101"/>
      <c r="F64" s="1134">
        <v>21</v>
      </c>
      <c r="G64" s="1134">
        <v>95</v>
      </c>
      <c r="H64" s="1134">
        <v>14</v>
      </c>
      <c r="I64" s="31">
        <f t="shared" si="0"/>
        <v>29.141104294478527</v>
      </c>
      <c r="J64" s="31">
        <f t="shared" si="1"/>
        <v>0.6320541760722348</v>
      </c>
    </row>
    <row r="65" spans="1:10">
      <c r="A65" s="99"/>
      <c r="B65" s="101"/>
      <c r="C65" s="101"/>
      <c r="D65" s="101"/>
      <c r="E65" s="101"/>
      <c r="F65" s="1134">
        <v>22</v>
      </c>
      <c r="G65" s="1134">
        <v>67</v>
      </c>
      <c r="H65" s="1134">
        <v>23</v>
      </c>
      <c r="I65" s="31">
        <f t="shared" si="0"/>
        <v>20.552147239263803</v>
      </c>
      <c r="J65" s="31">
        <f t="shared" si="1"/>
        <v>1.038374717832957</v>
      </c>
    </row>
    <row r="66" spans="1:10">
      <c r="A66" s="99"/>
      <c r="B66" s="101"/>
      <c r="C66" s="101"/>
      <c r="D66" s="101"/>
      <c r="E66" s="101"/>
      <c r="F66" s="1134">
        <v>23</v>
      </c>
      <c r="G66" s="1134">
        <v>46</v>
      </c>
      <c r="H66" s="1134">
        <v>57</v>
      </c>
      <c r="I66" s="31">
        <f t="shared" si="0"/>
        <v>14.110429447852759</v>
      </c>
      <c r="J66" s="31">
        <f t="shared" si="1"/>
        <v>2.5733634311512414</v>
      </c>
    </row>
    <row r="67" spans="1:10">
      <c r="A67" s="99"/>
      <c r="B67" s="101"/>
      <c r="C67" s="101"/>
      <c r="D67" s="101"/>
      <c r="E67" s="101"/>
      <c r="F67" s="1134">
        <v>24</v>
      </c>
      <c r="G67" s="1134">
        <v>20</v>
      </c>
      <c r="H67" s="1134">
        <v>30</v>
      </c>
      <c r="I67" s="31">
        <f t="shared" si="0"/>
        <v>6.1349693251533743</v>
      </c>
      <c r="J67" s="31">
        <f t="shared" si="1"/>
        <v>1.3544018058690745</v>
      </c>
    </row>
    <row r="68" spans="1:10">
      <c r="A68" s="99"/>
      <c r="B68" s="101"/>
      <c r="C68" s="101"/>
      <c r="D68" s="101"/>
      <c r="E68" s="101"/>
      <c r="F68" s="1134">
        <v>25</v>
      </c>
      <c r="G68" s="1134">
        <v>4</v>
      </c>
      <c r="H68" s="1134">
        <v>15</v>
      </c>
      <c r="I68" s="31">
        <f t="shared" si="0"/>
        <v>1.2269938650306749</v>
      </c>
      <c r="J68" s="31">
        <f t="shared" si="1"/>
        <v>0.67720090293453727</v>
      </c>
    </row>
    <row r="69" spans="1:10">
      <c r="A69" s="99"/>
      <c r="B69" s="101"/>
      <c r="C69" s="101"/>
      <c r="D69" s="101"/>
      <c r="E69" s="101"/>
      <c r="F69" s="1134">
        <v>26</v>
      </c>
      <c r="G69" s="1134">
        <v>1</v>
      </c>
      <c r="H69" s="1134">
        <v>9</v>
      </c>
      <c r="I69" s="31">
        <f t="shared" si="0"/>
        <v>0.30674846625766872</v>
      </c>
      <c r="J69" s="31">
        <f t="shared" si="1"/>
        <v>0.40632054176072235</v>
      </c>
    </row>
    <row r="70" spans="1:10">
      <c r="A70" s="99"/>
      <c r="B70" s="101"/>
      <c r="C70" s="101"/>
      <c r="D70" s="101"/>
      <c r="E70" s="101"/>
      <c r="F70" s="1134">
        <v>27</v>
      </c>
      <c r="G70" s="1134"/>
      <c r="H70" s="1134">
        <v>4</v>
      </c>
      <c r="I70" s="31">
        <f t="shared" si="0"/>
        <v>0</v>
      </c>
      <c r="J70" s="31">
        <f t="shared" si="1"/>
        <v>0.18058690744920991</v>
      </c>
    </row>
    <row r="71" spans="1:10">
      <c r="A71" s="99"/>
      <c r="B71" s="101"/>
      <c r="C71" s="101"/>
      <c r="D71" s="101"/>
      <c r="E71" s="101"/>
      <c r="F71" s="1134">
        <v>28</v>
      </c>
      <c r="G71" s="1134"/>
      <c r="H71" s="1134">
        <v>8</v>
      </c>
      <c r="I71" s="31">
        <f t="shared" si="0"/>
        <v>0</v>
      </c>
      <c r="J71" s="31">
        <f t="shared" si="1"/>
        <v>0.36117381489841982</v>
      </c>
    </row>
    <row r="72" spans="1:10">
      <c r="A72" s="99"/>
      <c r="B72" s="101"/>
      <c r="C72" s="101"/>
      <c r="D72" s="101"/>
      <c r="E72" s="101"/>
      <c r="F72" s="1134">
        <v>29</v>
      </c>
      <c r="G72" s="1134"/>
      <c r="H72" s="1134">
        <v>7</v>
      </c>
      <c r="I72" s="31">
        <f t="shared" si="0"/>
        <v>0</v>
      </c>
      <c r="J72" s="31">
        <f t="shared" si="1"/>
        <v>0.3160270880361174</v>
      </c>
    </row>
    <row r="73" spans="1:10">
      <c r="A73" s="99"/>
      <c r="B73" s="101"/>
      <c r="C73" s="101"/>
      <c r="D73" s="101"/>
      <c r="E73" s="101"/>
      <c r="F73" s="1134">
        <v>30</v>
      </c>
      <c r="G73" s="1134"/>
      <c r="H73" s="1134">
        <v>10</v>
      </c>
      <c r="I73" s="31">
        <f t="shared" si="0"/>
        <v>0</v>
      </c>
      <c r="J73" s="31">
        <f t="shared" si="1"/>
        <v>0.45146726862302478</v>
      </c>
    </row>
    <row r="74" spans="1:10">
      <c r="A74" s="99"/>
      <c r="B74" s="101"/>
      <c r="C74" s="101"/>
      <c r="D74" s="101"/>
      <c r="E74" s="101"/>
      <c r="F74" s="1134">
        <v>31</v>
      </c>
      <c r="G74" s="1134"/>
      <c r="H74" s="1134">
        <v>15</v>
      </c>
      <c r="I74" s="31">
        <f t="shared" si="0"/>
        <v>0</v>
      </c>
      <c r="J74" s="31">
        <f t="shared" si="1"/>
        <v>0.67720090293453727</v>
      </c>
    </row>
    <row r="75" spans="1:10">
      <c r="A75" s="99"/>
      <c r="B75" s="101"/>
      <c r="C75" s="101"/>
      <c r="D75" s="101"/>
      <c r="E75" s="101"/>
      <c r="F75" s="1134">
        <v>32</v>
      </c>
      <c r="G75" s="1134"/>
      <c r="H75" s="1134">
        <v>31</v>
      </c>
      <c r="I75" s="31">
        <f t="shared" si="0"/>
        <v>0</v>
      </c>
      <c r="J75" s="31">
        <f t="shared" si="1"/>
        <v>1.399548532731377</v>
      </c>
    </row>
    <row r="76" spans="1:10">
      <c r="A76" s="99"/>
      <c r="B76" s="101"/>
      <c r="C76" s="101"/>
      <c r="D76" s="101"/>
      <c r="E76" s="101"/>
      <c r="F76" s="1134">
        <v>33</v>
      </c>
      <c r="G76" s="1134"/>
      <c r="H76" s="1134">
        <v>14</v>
      </c>
      <c r="I76" s="31">
        <f t="shared" si="0"/>
        <v>0</v>
      </c>
      <c r="J76" s="31">
        <f t="shared" si="1"/>
        <v>0.6320541760722348</v>
      </c>
    </row>
    <row r="77" spans="1:10">
      <c r="A77" s="99"/>
      <c r="B77" s="101"/>
      <c r="C77" s="101"/>
      <c r="D77" s="101"/>
      <c r="E77" s="101"/>
      <c r="F77" s="1134">
        <v>34</v>
      </c>
      <c r="G77" s="1134"/>
      <c r="H77" s="1134">
        <v>5</v>
      </c>
      <c r="I77" s="31">
        <f t="shared" si="0"/>
        <v>0</v>
      </c>
      <c r="J77" s="31">
        <f t="shared" si="1"/>
        <v>0.22573363431151239</v>
      </c>
    </row>
    <row r="78" spans="1:10">
      <c r="A78" s="99"/>
      <c r="B78" s="101"/>
      <c r="C78" s="101"/>
      <c r="D78" s="101"/>
      <c r="E78" s="101"/>
      <c r="F78" s="1134">
        <v>35</v>
      </c>
      <c r="G78" s="1134"/>
      <c r="H78" s="1134">
        <v>7</v>
      </c>
      <c r="I78" s="31">
        <f t="shared" si="0"/>
        <v>0</v>
      </c>
      <c r="J78" s="31">
        <f t="shared" si="1"/>
        <v>0.3160270880361174</v>
      </c>
    </row>
    <row r="79" spans="1:10">
      <c r="A79" s="99"/>
      <c r="B79" s="101"/>
      <c r="C79" s="101"/>
      <c r="D79" s="101"/>
      <c r="E79" s="101"/>
      <c r="F79" s="1134">
        <v>36</v>
      </c>
      <c r="G79" s="1134"/>
      <c r="H79" s="1134"/>
      <c r="I79" s="31">
        <f t="shared" si="0"/>
        <v>0</v>
      </c>
      <c r="J79" s="31">
        <f t="shared" si="1"/>
        <v>0</v>
      </c>
    </row>
    <row r="80" spans="1:10">
      <c r="A80" s="99"/>
      <c r="B80" s="101"/>
      <c r="C80" s="101"/>
      <c r="D80" s="101"/>
      <c r="E80" s="101"/>
      <c r="F80" s="1134">
        <v>37</v>
      </c>
      <c r="G80" s="1134"/>
      <c r="H80" s="1134"/>
      <c r="I80" s="31">
        <f t="shared" si="0"/>
        <v>0</v>
      </c>
      <c r="J80" s="31">
        <f t="shared" si="1"/>
        <v>0</v>
      </c>
    </row>
    <row r="81" spans="1:10">
      <c r="A81" s="99"/>
      <c r="B81" s="101"/>
      <c r="C81" s="101"/>
      <c r="D81" s="101"/>
      <c r="E81" s="101"/>
      <c r="F81" s="1134">
        <v>38</v>
      </c>
      <c r="G81" s="1134"/>
      <c r="H81" s="1134"/>
      <c r="I81" s="31">
        <f t="shared" si="0"/>
        <v>0</v>
      </c>
      <c r="J81" s="31">
        <f t="shared" si="1"/>
        <v>0</v>
      </c>
    </row>
    <row r="82" spans="1:10">
      <c r="A82" s="99"/>
      <c r="B82" s="101"/>
      <c r="C82" s="101"/>
      <c r="D82" s="101"/>
      <c r="E82" s="101"/>
      <c r="F82" s="1134">
        <v>39</v>
      </c>
      <c r="G82" s="1134"/>
      <c r="H82" s="1134"/>
      <c r="I82" s="31">
        <f t="shared" si="0"/>
        <v>0</v>
      </c>
      <c r="J82" s="31">
        <f t="shared" si="1"/>
        <v>0</v>
      </c>
    </row>
    <row r="83" spans="1:10">
      <c r="A83" s="99"/>
      <c r="B83" s="101"/>
      <c r="C83" s="101"/>
      <c r="D83" s="101"/>
      <c r="E83" s="101"/>
      <c r="F83" s="1134">
        <v>40</v>
      </c>
      <c r="G83" s="1134"/>
      <c r="H83" s="1134"/>
      <c r="I83" s="31">
        <f t="shared" si="0"/>
        <v>0</v>
      </c>
      <c r="J83" s="31">
        <f t="shared" si="1"/>
        <v>0</v>
      </c>
    </row>
    <row r="84" spans="1:10">
      <c r="A84" s="99"/>
      <c r="B84" s="101"/>
      <c r="C84" s="101"/>
      <c r="D84" s="101"/>
      <c r="E84" s="101"/>
      <c r="F84" s="1134">
        <v>45</v>
      </c>
      <c r="G84" s="1134"/>
      <c r="H84" s="1134"/>
      <c r="I84" s="31">
        <f t="shared" si="0"/>
        <v>0</v>
      </c>
      <c r="J84" s="31">
        <f t="shared" si="1"/>
        <v>0</v>
      </c>
    </row>
    <row r="85" spans="1:10">
      <c r="A85" s="99"/>
      <c r="B85" s="101"/>
      <c r="C85" s="101"/>
      <c r="D85" s="101"/>
      <c r="E85" s="101"/>
      <c r="F85" s="1134">
        <v>50</v>
      </c>
      <c r="G85" s="1134"/>
      <c r="H85" s="1134"/>
      <c r="I85" s="31">
        <f t="shared" si="0"/>
        <v>0</v>
      </c>
      <c r="J85" s="31">
        <f t="shared" si="1"/>
        <v>0</v>
      </c>
    </row>
    <row r="86" spans="1:10">
      <c r="A86" s="99"/>
      <c r="B86" s="101"/>
      <c r="C86" s="101"/>
      <c r="D86" s="102"/>
      <c r="E86" s="102"/>
      <c r="F86" s="1134" t="s">
        <v>45</v>
      </c>
      <c r="G86" s="1134">
        <v>326</v>
      </c>
      <c r="H86" s="1134">
        <v>2215</v>
      </c>
      <c r="I86" s="31">
        <f t="shared" si="0"/>
        <v>100</v>
      </c>
      <c r="J86" s="31">
        <f t="shared" si="1"/>
        <v>100</v>
      </c>
    </row>
    <row r="87" spans="1:10">
      <c r="F87" s="1134" t="s">
        <v>507</v>
      </c>
      <c r="G87" s="1827">
        <v>29.7</v>
      </c>
      <c r="H87" s="1827">
        <v>97.9</v>
      </c>
      <c r="I87"/>
    </row>
  </sheetData>
  <phoneticPr fontId="23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"/>
  <sheetViews>
    <sheetView workbookViewId="0"/>
  </sheetViews>
  <sheetFormatPr defaultColWidth="11.44140625" defaultRowHeight="13.2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3">
    <tabColor rgb="FFFFFF00"/>
  </sheetPr>
  <dimension ref="A1:BU165"/>
  <sheetViews>
    <sheetView topLeftCell="AX1" zoomScale="50" zoomScaleNormal="50" workbookViewId="0">
      <selection activeCell="BY40" sqref="BY40"/>
    </sheetView>
  </sheetViews>
  <sheetFormatPr defaultColWidth="9.109375" defaultRowHeight="13.2"/>
  <cols>
    <col min="1" max="15" width="9.109375" style="1"/>
    <col min="16" max="16" width="16.44140625" style="1" customWidth="1"/>
    <col min="17" max="17" width="9.109375" style="1" customWidth="1"/>
    <col min="18" max="18" width="10.44140625" style="1" customWidth="1"/>
    <col min="19" max="16384" width="9.109375" style="1"/>
  </cols>
  <sheetData>
    <row r="1" spans="1:72" ht="16.8" thickTop="1" thickBot="1">
      <c r="I1" s="138"/>
      <c r="O1" s="138"/>
      <c r="AC1" s="6" t="s">
        <v>508</v>
      </c>
      <c r="AL1" s="1" t="s">
        <v>509</v>
      </c>
      <c r="AQ1" s="1" t="s">
        <v>510</v>
      </c>
      <c r="BA1" s="6" t="s">
        <v>511</v>
      </c>
      <c r="BJ1" s="1" t="s">
        <v>512</v>
      </c>
      <c r="BP1"/>
      <c r="BQ1" s="715" t="s">
        <v>161</v>
      </c>
      <c r="BR1" s="715"/>
      <c r="BS1" s="715" t="s">
        <v>159</v>
      </c>
      <c r="BT1" s="715"/>
    </row>
    <row r="2" spans="1:72" ht="15.6" thickTop="1" thickBot="1">
      <c r="A2" s="6" t="s">
        <v>513</v>
      </c>
      <c r="AC2" s="524"/>
      <c r="AD2" s="525" t="s">
        <v>350</v>
      </c>
      <c r="AE2" s="532" t="s">
        <v>514</v>
      </c>
      <c r="AF2" s="532" t="s">
        <v>515</v>
      </c>
      <c r="AG2" s="532"/>
      <c r="AH2" s="532"/>
      <c r="AI2" s="526" t="s">
        <v>516</v>
      </c>
      <c r="AL2" s="524" t="s">
        <v>517</v>
      </c>
      <c r="AM2" s="525" t="s">
        <v>518</v>
      </c>
      <c r="AN2" s="526" t="s">
        <v>516</v>
      </c>
      <c r="AQ2"/>
      <c r="AR2" s="2102" t="s">
        <v>161</v>
      </c>
      <c r="AS2" s="2102"/>
      <c r="AT2" s="2102" t="s">
        <v>159</v>
      </c>
      <c r="AU2" s="2102"/>
      <c r="BA2" s="524" t="s">
        <v>517</v>
      </c>
      <c r="BB2" s="628" t="s">
        <v>350</v>
      </c>
      <c r="BC2" s="629" t="s">
        <v>514</v>
      </c>
      <c r="BD2" s="629" t="s">
        <v>515</v>
      </c>
      <c r="BE2" s="628" t="s">
        <v>350</v>
      </c>
      <c r="BF2" s="629" t="s">
        <v>514</v>
      </c>
      <c r="BG2" s="526" t="s">
        <v>516</v>
      </c>
      <c r="BJ2" s="1828" t="s">
        <v>517</v>
      </c>
      <c r="BK2" s="525" t="s">
        <v>518</v>
      </c>
      <c r="BL2" s="526" t="s">
        <v>516</v>
      </c>
      <c r="BM2" s="1" t="s">
        <v>519</v>
      </c>
      <c r="BP2" s="627" t="s">
        <v>517</v>
      </c>
      <c r="BQ2" s="628" t="s">
        <v>518</v>
      </c>
      <c r="BR2" s="630" t="s">
        <v>516</v>
      </c>
      <c r="BS2" s="628" t="s">
        <v>518</v>
      </c>
      <c r="BT2" s="630" t="s">
        <v>516</v>
      </c>
    </row>
    <row r="3" spans="1:72" ht="15.6" thickTop="1" thickBot="1">
      <c r="C3" s="1" t="s">
        <v>520</v>
      </c>
      <c r="I3" s="139" t="s">
        <v>513</v>
      </c>
      <c r="J3" s="140"/>
      <c r="K3" s="140"/>
      <c r="L3" s="140"/>
      <c r="M3" s="140"/>
      <c r="O3" s="139" t="s">
        <v>513</v>
      </c>
      <c r="P3" s="140"/>
      <c r="Q3" s="140"/>
      <c r="R3" s="140"/>
      <c r="S3" s="140"/>
      <c r="AC3" s="785">
        <v>10</v>
      </c>
      <c r="AE3" s="530">
        <v>3.1088386354507516</v>
      </c>
      <c r="AF3" s="533"/>
      <c r="AG3" s="533"/>
      <c r="AH3" s="533"/>
      <c r="AI3" s="529">
        <v>0.97966437789908101</v>
      </c>
      <c r="AL3" s="527">
        <v>10</v>
      </c>
      <c r="AM3" s="530">
        <v>3.1088386354507516</v>
      </c>
      <c r="AN3" s="531">
        <v>3.0230502333054882E-2</v>
      </c>
      <c r="AQ3" s="524" t="s">
        <v>517</v>
      </c>
      <c r="AR3" s="525" t="s">
        <v>518</v>
      </c>
      <c r="AS3" s="526" t="s">
        <v>516</v>
      </c>
      <c r="AT3" s="525" t="s">
        <v>518</v>
      </c>
      <c r="AU3" s="526" t="s">
        <v>516</v>
      </c>
      <c r="BA3" s="1147">
        <v>5</v>
      </c>
      <c r="BB3" s="1119"/>
      <c r="BC3" s="1199">
        <v>22.750001044981456</v>
      </c>
      <c r="BD3" s="1199">
        <v>0</v>
      </c>
      <c r="BE3" s="1119"/>
      <c r="BF3" s="1199">
        <v>3.1794263960413828E-2</v>
      </c>
      <c r="BG3" s="1199">
        <v>0</v>
      </c>
      <c r="BJ3" s="1134">
        <v>5</v>
      </c>
      <c r="BK3" s="1199">
        <v>0</v>
      </c>
      <c r="BL3" s="948">
        <v>0</v>
      </c>
      <c r="BM3" s="1119"/>
      <c r="BN3" s="1119"/>
      <c r="BP3" s="1147">
        <v>5</v>
      </c>
      <c r="BQ3" s="1145">
        <f t="shared" ref="BQ3:BQ47" si="0">BB3+BC3+BD3</f>
        <v>22.750001044981456</v>
      </c>
      <c r="BR3" s="1145">
        <f t="shared" ref="BR3:BR24" si="1">BE3+BF3+BG3</f>
        <v>3.1794263960413828E-2</v>
      </c>
      <c r="BS3" s="1199">
        <v>0</v>
      </c>
      <c r="BT3" s="1199">
        <v>0</v>
      </c>
    </row>
    <row r="4" spans="1:72" ht="15" thickTop="1">
      <c r="I4" s="140"/>
      <c r="J4" s="140"/>
      <c r="K4" s="140" t="s">
        <v>520</v>
      </c>
      <c r="L4" s="140"/>
      <c r="M4" s="140"/>
      <c r="O4" s="140"/>
      <c r="P4" s="140"/>
      <c r="Q4" s="140" t="s">
        <v>520</v>
      </c>
      <c r="R4" s="140"/>
      <c r="S4" s="140"/>
      <c r="AC4" s="527">
        <v>11</v>
      </c>
      <c r="AD4" s="528">
        <v>76.683956048098963</v>
      </c>
      <c r="AE4" s="1829">
        <v>59.590065878950462</v>
      </c>
      <c r="AF4" s="949"/>
      <c r="AG4" s="949"/>
      <c r="AH4" s="949"/>
      <c r="AI4" s="786">
        <v>21.900871126078428</v>
      </c>
      <c r="AL4" s="785">
        <v>11</v>
      </c>
      <c r="AM4" s="1829">
        <v>59.590065878950462</v>
      </c>
      <c r="AN4" s="787">
        <v>0.76128394812664968</v>
      </c>
      <c r="AQ4" s="527">
        <v>15</v>
      </c>
      <c r="AR4" s="528">
        <v>9.9817826716457628E-2</v>
      </c>
      <c r="AS4" s="529">
        <v>3.1223565194954885E-3</v>
      </c>
      <c r="AT4" s="528"/>
      <c r="AU4" s="529"/>
      <c r="BA4" s="1147">
        <v>6</v>
      </c>
      <c r="BB4" s="1119"/>
      <c r="BC4" s="1199">
        <v>403.68457527583894</v>
      </c>
      <c r="BD4" s="1199">
        <v>0</v>
      </c>
      <c r="BE4" s="1119"/>
      <c r="BF4" s="1199">
        <v>0.9312397624750689</v>
      </c>
      <c r="BG4" s="1199">
        <v>0</v>
      </c>
      <c r="BJ4" s="1134">
        <v>6</v>
      </c>
      <c r="BK4" s="1199">
        <v>0</v>
      </c>
      <c r="BL4" s="948">
        <v>0</v>
      </c>
      <c r="BM4" s="1119"/>
      <c r="BN4" s="1119"/>
      <c r="BP4" s="1147">
        <v>6</v>
      </c>
      <c r="BQ4" s="1145">
        <f t="shared" si="0"/>
        <v>403.68457527583894</v>
      </c>
      <c r="BR4" s="1145">
        <f t="shared" si="1"/>
        <v>0.9312397624750689</v>
      </c>
      <c r="BS4" s="1199">
        <v>0</v>
      </c>
      <c r="BT4" s="1199">
        <v>0</v>
      </c>
    </row>
    <row r="5" spans="1:72" ht="14.4">
      <c r="I5" s="140"/>
      <c r="J5" s="140"/>
      <c r="K5" s="140"/>
      <c r="L5" s="140"/>
      <c r="M5" s="140"/>
      <c r="O5" s="140"/>
      <c r="P5" s="140"/>
      <c r="Q5" s="140"/>
      <c r="R5" s="140"/>
      <c r="S5" s="140"/>
      <c r="AC5" s="785">
        <v>12</v>
      </c>
      <c r="AD5" s="1830">
        <v>1334.9102400657328</v>
      </c>
      <c r="AE5" s="1829">
        <v>430.91195040724767</v>
      </c>
      <c r="AF5" s="949"/>
      <c r="AG5" s="949"/>
      <c r="AH5" s="949"/>
      <c r="AI5" s="786">
        <v>63.280644998397293</v>
      </c>
      <c r="AL5" s="785">
        <v>12</v>
      </c>
      <c r="AM5" s="1829">
        <v>430.91195040724767</v>
      </c>
      <c r="AN5" s="787">
        <v>7.0696491863689079</v>
      </c>
      <c r="AQ5" s="785">
        <v>16</v>
      </c>
      <c r="AR5" s="1830">
        <v>22.395901995591036</v>
      </c>
      <c r="AS5" s="786">
        <v>0.84508360651633274</v>
      </c>
      <c r="AT5" s="1830"/>
      <c r="AU5" s="786"/>
      <c r="BA5" s="1147">
        <v>7</v>
      </c>
      <c r="BB5" s="1119"/>
      <c r="BC5" s="1199">
        <v>1221.873250155094</v>
      </c>
      <c r="BD5" s="1199">
        <v>0</v>
      </c>
      <c r="BE5" s="1119"/>
      <c r="BF5" s="1199">
        <v>4.3300133302371142</v>
      </c>
      <c r="BG5" s="1199">
        <v>0</v>
      </c>
      <c r="BJ5" s="1134">
        <v>7</v>
      </c>
      <c r="BK5" s="1199">
        <v>0</v>
      </c>
      <c r="BL5" s="948">
        <v>0</v>
      </c>
      <c r="BM5" s="1119"/>
      <c r="BN5" s="1119"/>
      <c r="BP5" s="1147">
        <v>7</v>
      </c>
      <c r="BQ5" s="1145">
        <f t="shared" si="0"/>
        <v>1221.873250155094</v>
      </c>
      <c r="BR5" s="1145">
        <f t="shared" si="1"/>
        <v>4.3300133302371142</v>
      </c>
      <c r="BS5" s="1199">
        <v>0</v>
      </c>
      <c r="BT5" s="1199">
        <v>0</v>
      </c>
    </row>
    <row r="6" spans="1:72" ht="14.4">
      <c r="I6" s="788" t="s">
        <v>521</v>
      </c>
      <c r="J6" s="2103" t="s">
        <v>77</v>
      </c>
      <c r="K6" s="2104"/>
      <c r="L6" s="2103" t="s">
        <v>161</v>
      </c>
      <c r="M6" s="2104"/>
      <c r="O6" s="788" t="s">
        <v>521</v>
      </c>
      <c r="P6" s="2103" t="s">
        <v>77</v>
      </c>
      <c r="Q6" s="2104"/>
      <c r="R6" s="2103" t="s">
        <v>161</v>
      </c>
      <c r="S6" s="2104"/>
      <c r="AC6" s="785">
        <v>13</v>
      </c>
      <c r="AD6" s="1830">
        <v>3061.89508463418</v>
      </c>
      <c r="AE6" s="1829">
        <v>807.69469091980841</v>
      </c>
      <c r="AF6" s="949"/>
      <c r="AG6" s="949"/>
      <c r="AH6" s="949"/>
      <c r="AI6" s="786">
        <v>34.318604334786997</v>
      </c>
      <c r="AL6" s="785">
        <v>13</v>
      </c>
      <c r="AM6" s="1829">
        <v>807.69469091980841</v>
      </c>
      <c r="AN6" s="787">
        <v>16.692747331443314</v>
      </c>
      <c r="AQ6" s="785">
        <v>17</v>
      </c>
      <c r="AR6" s="1830">
        <v>1.8908664913168207</v>
      </c>
      <c r="AS6" s="786">
        <v>8.5124445855969108E-2</v>
      </c>
      <c r="AT6" s="1830"/>
      <c r="AU6" s="786"/>
      <c r="BA6" s="1147">
        <v>8</v>
      </c>
      <c r="BB6" s="1119"/>
      <c r="BC6" s="1199">
        <v>2131.2598966320238</v>
      </c>
      <c r="BD6" s="1199">
        <v>0</v>
      </c>
      <c r="BE6" s="1119"/>
      <c r="BF6" s="1199">
        <v>10.994423865760789</v>
      </c>
      <c r="BG6" s="1199">
        <v>0</v>
      </c>
      <c r="BJ6" s="1134">
        <v>8</v>
      </c>
      <c r="BK6" s="1199">
        <v>0</v>
      </c>
      <c r="BL6" s="948">
        <v>0</v>
      </c>
      <c r="BM6" s="1119"/>
      <c r="BN6" s="1119"/>
      <c r="BP6" s="1147">
        <v>8</v>
      </c>
      <c r="BQ6" s="1145">
        <f t="shared" si="0"/>
        <v>2131.2598966320238</v>
      </c>
      <c r="BR6" s="1145">
        <f t="shared" si="1"/>
        <v>10.994423865760789</v>
      </c>
      <c r="BS6" s="1199">
        <v>0</v>
      </c>
      <c r="BT6" s="1199">
        <v>0</v>
      </c>
    </row>
    <row r="7" spans="1:72" ht="15" thickBot="1">
      <c r="I7" s="134" t="s">
        <v>522</v>
      </c>
      <c r="J7" s="789" t="s">
        <v>523</v>
      </c>
      <c r="K7" s="790" t="s">
        <v>524</v>
      </c>
      <c r="L7" s="789" t="s">
        <v>523</v>
      </c>
      <c r="M7" s="790" t="s">
        <v>524</v>
      </c>
      <c r="O7" s="134" t="s">
        <v>522</v>
      </c>
      <c r="P7" s="789" t="s">
        <v>523</v>
      </c>
      <c r="Q7" s="790" t="s">
        <v>524</v>
      </c>
      <c r="R7" s="789" t="s">
        <v>523</v>
      </c>
      <c r="S7" s="790" t="s">
        <v>524</v>
      </c>
      <c r="AC7" s="785">
        <v>14</v>
      </c>
      <c r="AD7" s="1830">
        <v>1340.1281348456077</v>
      </c>
      <c r="AE7" s="1829">
        <v>245.17789262092884</v>
      </c>
      <c r="AF7" s="949"/>
      <c r="AG7" s="949"/>
      <c r="AH7" s="949"/>
      <c r="AI7" s="786">
        <v>7.6953922743161467</v>
      </c>
      <c r="AL7" s="785">
        <v>14</v>
      </c>
      <c r="AM7" s="1829">
        <v>245.17789262092884</v>
      </c>
      <c r="AN7" s="787">
        <v>6.2786258042884242</v>
      </c>
      <c r="AQ7" s="785">
        <v>18</v>
      </c>
      <c r="AR7" s="1830">
        <v>18.421284047298883</v>
      </c>
      <c r="AS7" s="786">
        <v>0.97974796589022184</v>
      </c>
      <c r="AT7" s="1830"/>
      <c r="AU7" s="786"/>
      <c r="BA7" s="1147">
        <v>9</v>
      </c>
      <c r="BB7" s="1119"/>
      <c r="BC7" s="1199">
        <v>1987.2539849831603</v>
      </c>
      <c r="BD7" s="1199">
        <v>1.6074527840378332</v>
      </c>
      <c r="BE7" s="1119"/>
      <c r="BF7" s="1199">
        <v>14.31210383714947</v>
      </c>
      <c r="BG7" s="1199">
        <v>1.1576794578001271E-2</v>
      </c>
      <c r="BJ7" s="1134">
        <v>9</v>
      </c>
      <c r="BK7" s="1199">
        <v>0</v>
      </c>
      <c r="BL7" s="948">
        <v>0</v>
      </c>
      <c r="BM7" s="1119"/>
      <c r="BN7" s="1119"/>
      <c r="BP7" s="1147">
        <v>9</v>
      </c>
      <c r="BQ7" s="1145">
        <f t="shared" si="0"/>
        <v>1988.8614377671981</v>
      </c>
      <c r="BR7" s="1145">
        <f t="shared" si="1"/>
        <v>14.323680631727472</v>
      </c>
      <c r="BS7" s="1199">
        <v>0</v>
      </c>
      <c r="BT7" s="1199">
        <v>0</v>
      </c>
    </row>
    <row r="8" spans="1:72" ht="14.4">
      <c r="I8" s="135">
        <v>5</v>
      </c>
      <c r="J8" s="204">
        <v>0</v>
      </c>
      <c r="K8" s="204">
        <v>0</v>
      </c>
      <c r="L8" s="204">
        <v>0</v>
      </c>
      <c r="M8" s="204">
        <v>0</v>
      </c>
      <c r="O8" s="135">
        <v>5</v>
      </c>
      <c r="P8" s="204">
        <v>0</v>
      </c>
      <c r="Q8" s="204">
        <v>0</v>
      </c>
      <c r="R8" s="204">
        <v>0</v>
      </c>
      <c r="S8" s="204">
        <v>0</v>
      </c>
      <c r="AC8" s="785">
        <v>15</v>
      </c>
      <c r="AD8" s="1830">
        <v>246.01205139667135</v>
      </c>
      <c r="AE8" s="1829">
        <v>58.948152940086821</v>
      </c>
      <c r="AF8" s="528">
        <v>9.9817826716457628E-2</v>
      </c>
      <c r="AG8" s="949"/>
      <c r="AH8" s="949"/>
      <c r="AI8" s="786">
        <v>0.92089278243321437</v>
      </c>
      <c r="AL8" s="785">
        <v>15</v>
      </c>
      <c r="AM8" s="1829">
        <v>58.948152940086821</v>
      </c>
      <c r="AN8" s="787">
        <v>1.8439306454500328</v>
      </c>
      <c r="AQ8" s="785">
        <v>19</v>
      </c>
      <c r="AR8" s="1830">
        <v>34.757107800402594</v>
      </c>
      <c r="AS8" s="786">
        <v>2.1648447214926856</v>
      </c>
      <c r="AT8" s="1830"/>
      <c r="AU8" s="786"/>
      <c r="BA8" s="527">
        <v>10</v>
      </c>
      <c r="BC8" s="1199">
        <v>2097.7769061142562</v>
      </c>
      <c r="BD8" s="1199">
        <v>0</v>
      </c>
      <c r="BE8" s="533"/>
      <c r="BF8" s="1199">
        <v>20.398887523900331</v>
      </c>
      <c r="BG8" s="1199">
        <v>0</v>
      </c>
      <c r="BJ8" s="1134">
        <v>10</v>
      </c>
      <c r="BK8" s="1199">
        <v>0</v>
      </c>
      <c r="BL8" s="948">
        <v>0</v>
      </c>
      <c r="BM8" s="1119"/>
      <c r="BN8" s="1119"/>
      <c r="BP8" s="1147">
        <v>10</v>
      </c>
      <c r="BQ8" s="1145">
        <f t="shared" si="0"/>
        <v>2097.7769061142562</v>
      </c>
      <c r="BR8" s="1145">
        <f t="shared" si="1"/>
        <v>20.398887523900331</v>
      </c>
      <c r="BS8" s="1199">
        <v>0</v>
      </c>
      <c r="BT8" s="1199">
        <v>0</v>
      </c>
    </row>
    <row r="9" spans="1:72" ht="14.4">
      <c r="I9" s="136">
        <v>6</v>
      </c>
      <c r="J9" s="205">
        <v>0</v>
      </c>
      <c r="K9" s="205">
        <v>0</v>
      </c>
      <c r="L9" s="205">
        <v>0</v>
      </c>
      <c r="M9" s="205">
        <v>0</v>
      </c>
      <c r="O9" s="136">
        <v>6</v>
      </c>
      <c r="P9" s="205">
        <v>0</v>
      </c>
      <c r="Q9" s="205">
        <v>0</v>
      </c>
      <c r="R9" s="205">
        <v>0</v>
      </c>
      <c r="S9" s="205">
        <v>0</v>
      </c>
      <c r="AC9" s="785">
        <v>16</v>
      </c>
      <c r="AD9" s="1830">
        <v>24.404951586790492</v>
      </c>
      <c r="AE9" s="1829">
        <v>4.3769397770227787</v>
      </c>
      <c r="AF9" s="1830">
        <v>22.395901995591036</v>
      </c>
      <c r="AG9" s="949"/>
      <c r="AH9" s="949"/>
      <c r="AI9" s="786">
        <v>0.65866683338926579</v>
      </c>
      <c r="AL9" s="785">
        <v>16</v>
      </c>
      <c r="AM9" s="1829">
        <v>4.3769397770227787</v>
      </c>
      <c r="AN9" s="787">
        <v>0.16515878900521097</v>
      </c>
      <c r="AQ9" s="785">
        <v>20</v>
      </c>
      <c r="AR9" s="1830">
        <v>30.36113778482175</v>
      </c>
      <c r="AS9" s="786">
        <v>2.1971459761310852</v>
      </c>
      <c r="AT9" s="1830">
        <v>0.36708549337054391</v>
      </c>
      <c r="AU9" s="786">
        <v>2.6564894253020818E-2</v>
      </c>
      <c r="BA9" s="527">
        <v>11</v>
      </c>
      <c r="BB9" s="528"/>
      <c r="BC9" s="1199">
        <v>1054.5803604824371</v>
      </c>
      <c r="BD9" s="1199">
        <v>0</v>
      </c>
      <c r="BE9" s="949"/>
      <c r="BF9" s="1199">
        <v>13.472633208289304</v>
      </c>
      <c r="BG9" s="1199">
        <v>0</v>
      </c>
      <c r="BJ9" s="1134">
        <v>11</v>
      </c>
      <c r="BK9" s="1199">
        <v>0</v>
      </c>
      <c r="BL9" s="948">
        <v>0</v>
      </c>
      <c r="BM9" s="1119"/>
      <c r="BN9" s="1119"/>
      <c r="BP9" s="1147">
        <v>11</v>
      </c>
      <c r="BQ9" s="1145">
        <f t="shared" si="0"/>
        <v>1054.5803604824371</v>
      </c>
      <c r="BR9" s="1145">
        <f t="shared" si="1"/>
        <v>13.472633208289304</v>
      </c>
      <c r="BS9" s="1199">
        <v>0</v>
      </c>
      <c r="BT9" s="1199">
        <v>0</v>
      </c>
    </row>
    <row r="10" spans="1:72" ht="14.4">
      <c r="I10" s="136">
        <v>7</v>
      </c>
      <c r="J10" s="205">
        <v>0</v>
      </c>
      <c r="K10" s="205">
        <v>0</v>
      </c>
      <c r="L10" s="205">
        <v>0</v>
      </c>
      <c r="M10" s="205">
        <v>0</v>
      </c>
      <c r="O10" s="136">
        <v>7</v>
      </c>
      <c r="P10" s="205">
        <v>0</v>
      </c>
      <c r="Q10" s="205">
        <v>0</v>
      </c>
      <c r="R10" s="205">
        <v>0</v>
      </c>
      <c r="S10" s="205">
        <v>0</v>
      </c>
      <c r="AC10" s="785">
        <v>17</v>
      </c>
      <c r="AD10" s="1830">
        <v>14.630944515102392</v>
      </c>
      <c r="AE10" s="1829">
        <v>0.61377571784576113</v>
      </c>
      <c r="AF10" s="1830">
        <v>1.8908664913168207</v>
      </c>
      <c r="AG10" s="949"/>
      <c r="AH10" s="949"/>
      <c r="AI10" s="786">
        <v>0.37247888634630882</v>
      </c>
      <c r="AL10" s="785">
        <v>17</v>
      </c>
      <c r="AM10" s="1829">
        <v>0.61377571784576113</v>
      </c>
      <c r="AN10" s="787">
        <v>2.7631415597768858E-2</v>
      </c>
      <c r="AQ10" s="785">
        <v>21</v>
      </c>
      <c r="AR10" s="1830">
        <v>8.9341992987010883</v>
      </c>
      <c r="AS10" s="786">
        <v>0.74584795282391858</v>
      </c>
      <c r="AT10" s="1830">
        <v>0.36708549337054391</v>
      </c>
      <c r="AU10" s="786">
        <v>3.0645159637482426E-2</v>
      </c>
      <c r="BA10" s="785">
        <v>12</v>
      </c>
      <c r="BB10" s="1830"/>
      <c r="BC10" s="1199">
        <v>305.40721191249042</v>
      </c>
      <c r="BD10" s="1199">
        <v>3.2149055680756664</v>
      </c>
      <c r="BE10" s="949"/>
      <c r="BF10" s="1199">
        <v>5.0105870704392954</v>
      </c>
      <c r="BG10" s="1199">
        <v>5.2744544476241398E-2</v>
      </c>
      <c r="BJ10" s="1134">
        <v>12</v>
      </c>
      <c r="BK10" s="1199">
        <v>0</v>
      </c>
      <c r="BL10" s="948">
        <v>0</v>
      </c>
      <c r="BM10" s="1119"/>
      <c r="BN10" s="1119"/>
      <c r="BP10" s="1147">
        <v>12</v>
      </c>
      <c r="BQ10" s="1145">
        <f t="shared" si="0"/>
        <v>308.62211748056609</v>
      </c>
      <c r="BR10" s="1145">
        <f t="shared" si="1"/>
        <v>5.063331614915537</v>
      </c>
      <c r="BS10" s="1199">
        <v>0</v>
      </c>
      <c r="BT10" s="1199">
        <v>0</v>
      </c>
    </row>
    <row r="11" spans="1:72" ht="14.4">
      <c r="I11" s="136">
        <v>8</v>
      </c>
      <c r="J11" s="205">
        <v>0</v>
      </c>
      <c r="K11" s="205">
        <v>0</v>
      </c>
      <c r="L11" s="205">
        <v>0</v>
      </c>
      <c r="M11" s="205">
        <v>0</v>
      </c>
      <c r="O11" s="136">
        <v>8</v>
      </c>
      <c r="P11" s="205">
        <v>0</v>
      </c>
      <c r="Q11" s="205">
        <v>0</v>
      </c>
      <c r="R11" s="205">
        <v>0</v>
      </c>
      <c r="S11" s="205">
        <v>0</v>
      </c>
      <c r="AC11" s="785">
        <v>18</v>
      </c>
      <c r="AD11" s="1830">
        <v>7.0033718934770715</v>
      </c>
      <c r="AE11" s="1829">
        <v>10.90432058339567</v>
      </c>
      <c r="AF11" s="1830">
        <v>18.421284047298883</v>
      </c>
      <c r="AG11" s="949"/>
      <c r="AH11" s="949"/>
      <c r="AI11" s="786">
        <v>0.27851938198035825</v>
      </c>
      <c r="AL11" s="785">
        <v>18</v>
      </c>
      <c r="AM11" s="1829">
        <v>10.90432058339567</v>
      </c>
      <c r="AN11" s="787">
        <v>0.57995337803627789</v>
      </c>
      <c r="AQ11" s="785">
        <v>22</v>
      </c>
      <c r="AR11" s="1830">
        <v>6.9239284637621044</v>
      </c>
      <c r="AS11" s="786">
        <v>0.66249013032333792</v>
      </c>
      <c r="AT11" s="1830">
        <v>0.36708549337054391</v>
      </c>
      <c r="AU11" s="786">
        <v>3.5123198862560351E-2</v>
      </c>
      <c r="BA11" s="785">
        <v>13</v>
      </c>
      <c r="BB11" s="1199">
        <v>1.633317153330234</v>
      </c>
      <c r="BC11" s="1199">
        <v>291.29153997516721</v>
      </c>
      <c r="BD11" s="1199">
        <v>17.596669221219884</v>
      </c>
      <c r="BE11" s="1199">
        <v>3.3756010605448944E-2</v>
      </c>
      <c r="BF11" s="1199">
        <v>6.0201659503977769</v>
      </c>
      <c r="BG11" s="1199">
        <v>0.36367300229533456</v>
      </c>
      <c r="BJ11" s="1134">
        <v>13</v>
      </c>
      <c r="BK11" s="1199">
        <v>0</v>
      </c>
      <c r="BL11" s="948">
        <v>0</v>
      </c>
      <c r="BM11" s="1119"/>
      <c r="BN11" s="1119"/>
      <c r="BP11" s="1147">
        <v>13</v>
      </c>
      <c r="BQ11" s="1145">
        <f t="shared" si="0"/>
        <v>310.52152634971731</v>
      </c>
      <c r="BR11" s="1145">
        <f t="shared" si="1"/>
        <v>6.4175949632985612</v>
      </c>
      <c r="BS11" s="1199">
        <v>0</v>
      </c>
      <c r="BT11" s="1199">
        <v>0</v>
      </c>
    </row>
    <row r="12" spans="1:72" ht="14.4">
      <c r="I12" s="136">
        <v>9</v>
      </c>
      <c r="J12" s="205">
        <v>0</v>
      </c>
      <c r="K12" s="205">
        <v>0</v>
      </c>
      <c r="L12" s="205">
        <v>1.4677465789275073E-2</v>
      </c>
      <c r="M12" s="205">
        <v>2.0379849609168454</v>
      </c>
      <c r="O12" s="136">
        <v>9</v>
      </c>
      <c r="P12" s="205">
        <v>0</v>
      </c>
      <c r="Q12" s="205">
        <v>0</v>
      </c>
      <c r="R12" s="205">
        <v>1.4677465789275073E-2</v>
      </c>
      <c r="S12" s="205">
        <v>2.0379849609168454</v>
      </c>
      <c r="AC12" s="785">
        <v>19</v>
      </c>
      <c r="AD12" s="1830">
        <v>4.4716963243987236</v>
      </c>
      <c r="AE12" s="1829">
        <v>32.114394068011535</v>
      </c>
      <c r="AF12" s="1830">
        <v>34.757107800402594</v>
      </c>
      <c r="AG12" s="949"/>
      <c r="AH12" s="949"/>
      <c r="AI12" s="786">
        <v>3.4352101467130289</v>
      </c>
      <c r="AL12" s="785">
        <v>19</v>
      </c>
      <c r="AM12" s="1829">
        <v>32.114394068011535</v>
      </c>
      <c r="AN12" s="787">
        <v>2.0002434288063951</v>
      </c>
      <c r="AQ12" s="785">
        <v>23</v>
      </c>
      <c r="AR12" s="1830">
        <v>57.961948226665733</v>
      </c>
      <c r="AS12" s="786">
        <v>6.3186725182739707</v>
      </c>
      <c r="AT12" s="1830">
        <v>2.5695984535938075</v>
      </c>
      <c r="AU12" s="786">
        <v>0.28012259125984335</v>
      </c>
      <c r="BA12" s="785">
        <v>14</v>
      </c>
      <c r="BB12" s="1199">
        <v>30.07225111719784</v>
      </c>
      <c r="BC12" s="1199">
        <v>271.75730846912904</v>
      </c>
      <c r="BD12" s="1199">
        <v>120.41775499050055</v>
      </c>
      <c r="BE12" s="1199">
        <v>0.77010373912220498</v>
      </c>
      <c r="BF12" s="1199">
        <v>6.9592834460662676</v>
      </c>
      <c r="BG12" s="1199">
        <v>3.0837120577864838</v>
      </c>
      <c r="BJ12" s="1134">
        <v>14</v>
      </c>
      <c r="BK12" s="1199">
        <v>0</v>
      </c>
      <c r="BL12" s="948">
        <v>0</v>
      </c>
      <c r="BM12" s="1119"/>
      <c r="BN12" s="1119"/>
      <c r="BP12" s="1147">
        <v>14</v>
      </c>
      <c r="BQ12" s="1145">
        <f t="shared" si="0"/>
        <v>422.24731457682742</v>
      </c>
      <c r="BR12" s="1145">
        <f t="shared" si="1"/>
        <v>10.813099242974957</v>
      </c>
      <c r="BS12" s="1199">
        <v>0</v>
      </c>
      <c r="BT12" s="1199">
        <v>0</v>
      </c>
    </row>
    <row r="13" spans="1:72" ht="14.4">
      <c r="I13" s="136">
        <v>10</v>
      </c>
      <c r="J13" s="205">
        <v>0</v>
      </c>
      <c r="K13" s="205">
        <v>0</v>
      </c>
      <c r="L13" s="205">
        <v>0</v>
      </c>
      <c r="M13" s="205">
        <v>0</v>
      </c>
      <c r="O13" s="136">
        <v>10</v>
      </c>
      <c r="P13" s="205">
        <v>0</v>
      </c>
      <c r="Q13" s="205">
        <v>0</v>
      </c>
      <c r="R13" s="205">
        <v>0</v>
      </c>
      <c r="S13" s="205">
        <v>0</v>
      </c>
      <c r="AC13" s="785">
        <v>20</v>
      </c>
      <c r="AD13" s="1830">
        <v>47.469257717608073</v>
      </c>
      <c r="AE13" s="1829">
        <v>67.431431562752664</v>
      </c>
      <c r="AF13" s="1830">
        <v>30.36113778482175</v>
      </c>
      <c r="AG13" s="949"/>
      <c r="AH13" s="949"/>
      <c r="AI13" s="786">
        <v>6.5493523352221787</v>
      </c>
      <c r="AL13" s="785">
        <v>20</v>
      </c>
      <c r="AM13" s="1829">
        <v>67.431431562752664</v>
      </c>
      <c r="AN13" s="787">
        <v>4.8798137794732996</v>
      </c>
      <c r="AQ13" s="785">
        <v>24</v>
      </c>
      <c r="AR13" s="1830">
        <v>10.027687276865681</v>
      </c>
      <c r="AS13" s="786">
        <v>1.2387347494577687</v>
      </c>
      <c r="AT13" s="1830">
        <v>2.2025129602232636</v>
      </c>
      <c r="AU13" s="786">
        <v>0.27207961962017208</v>
      </c>
      <c r="BA13" s="785">
        <v>15</v>
      </c>
      <c r="BB13" s="1199">
        <v>67.134846189128766</v>
      </c>
      <c r="BC13" s="1199">
        <v>300.47494152509807</v>
      </c>
      <c r="BD13" s="1199">
        <v>752.8377124780983</v>
      </c>
      <c r="BE13" s="1199">
        <v>2.1000149129613517</v>
      </c>
      <c r="BF13" s="1199">
        <v>9.3990214321229058</v>
      </c>
      <c r="BG13" s="1199">
        <v>23.549177707056778</v>
      </c>
      <c r="BJ13" s="1134">
        <v>15</v>
      </c>
      <c r="BK13" s="1199">
        <v>0</v>
      </c>
      <c r="BL13" s="948">
        <v>0</v>
      </c>
      <c r="BM13" s="1119"/>
      <c r="BN13" s="1119"/>
      <c r="BP13" s="1154">
        <v>15</v>
      </c>
      <c r="BQ13" s="1145">
        <f t="shared" si="0"/>
        <v>1120.4475001923252</v>
      </c>
      <c r="BR13" s="1145">
        <f t="shared" si="1"/>
        <v>35.048214052141034</v>
      </c>
      <c r="BS13" s="1199">
        <v>0</v>
      </c>
      <c r="BT13" s="1199">
        <v>0</v>
      </c>
    </row>
    <row r="14" spans="1:72" ht="14.4">
      <c r="I14" s="136">
        <v>11</v>
      </c>
      <c r="J14" s="205">
        <v>0</v>
      </c>
      <c r="K14" s="205">
        <v>0</v>
      </c>
      <c r="L14" s="205">
        <v>2.6035971170449021E-2</v>
      </c>
      <c r="M14" s="205">
        <v>2.0379849609168454</v>
      </c>
      <c r="O14" s="136">
        <v>11</v>
      </c>
      <c r="P14" s="205">
        <v>0</v>
      </c>
      <c r="Q14" s="205">
        <v>0</v>
      </c>
      <c r="R14" s="205">
        <v>2.6035971170449021E-2</v>
      </c>
      <c r="S14" s="205">
        <v>2.0379849609168454</v>
      </c>
      <c r="AC14" s="785">
        <v>21</v>
      </c>
      <c r="AD14" s="1830">
        <v>78.451940263087693</v>
      </c>
      <c r="AE14" s="1829">
        <v>63.580029335124244</v>
      </c>
      <c r="AF14" s="1830">
        <v>8.9341992987010883</v>
      </c>
      <c r="AG14" s="949"/>
      <c r="AH14" s="949"/>
      <c r="AI14" s="786">
        <v>7.1409380379762917</v>
      </c>
      <c r="AL14" s="785">
        <v>21</v>
      </c>
      <c r="AM14" s="1829">
        <v>63.580029335124244</v>
      </c>
      <c r="AN14" s="787">
        <v>5.3078102619651091</v>
      </c>
      <c r="AQ14" s="785">
        <v>25</v>
      </c>
      <c r="AR14" s="1830">
        <v>3.4968924330505371</v>
      </c>
      <c r="AS14" s="786">
        <v>0.48705959204341603</v>
      </c>
      <c r="AT14" s="1830">
        <v>3.3037694403348956</v>
      </c>
      <c r="AU14" s="786">
        <v>0.46016073603135743</v>
      </c>
      <c r="BA14" s="785">
        <v>16</v>
      </c>
      <c r="BB14" s="1199">
        <v>216.82018328571058</v>
      </c>
      <c r="BC14" s="1199">
        <v>463.76841009962192</v>
      </c>
      <c r="BD14" s="1199">
        <v>1074.6454524369728</v>
      </c>
      <c r="BE14" s="1199">
        <v>8.1814602730755102</v>
      </c>
      <c r="BF14" s="1199">
        <v>17.499767621437616</v>
      </c>
      <c r="BG14" s="1199">
        <v>40.550510305438863</v>
      </c>
      <c r="BJ14" s="1134">
        <v>16</v>
      </c>
      <c r="BK14" s="1199">
        <v>0</v>
      </c>
      <c r="BL14" s="948">
        <v>0</v>
      </c>
      <c r="BM14" s="1119"/>
      <c r="BN14" s="1119"/>
      <c r="BP14" s="785">
        <v>16</v>
      </c>
      <c r="BQ14" s="1145">
        <f t="shared" si="0"/>
        <v>1755.2340458223052</v>
      </c>
      <c r="BR14" s="1145">
        <f t="shared" si="1"/>
        <v>66.231738199951991</v>
      </c>
      <c r="BS14" s="1199">
        <v>0</v>
      </c>
      <c r="BT14" s="1199">
        <v>0</v>
      </c>
    </row>
    <row r="15" spans="1:72" ht="14.4">
      <c r="I15" s="136">
        <v>12</v>
      </c>
      <c r="J15" s="205">
        <v>0</v>
      </c>
      <c r="K15" s="205">
        <v>0</v>
      </c>
      <c r="L15" s="205">
        <v>4.0122828918050392E-2</v>
      </c>
      <c r="M15" s="205">
        <v>2.4455819531002145</v>
      </c>
      <c r="O15" s="136">
        <v>12</v>
      </c>
      <c r="P15" s="205">
        <v>0</v>
      </c>
      <c r="Q15" s="205">
        <v>0</v>
      </c>
      <c r="R15" s="205">
        <v>4.0122828918050392E-2</v>
      </c>
      <c r="S15" s="205">
        <v>2.4455819531002145</v>
      </c>
      <c r="AC15" s="785">
        <v>22</v>
      </c>
      <c r="AD15" s="1830">
        <v>74.632574699601989</v>
      </c>
      <c r="AE15" s="1829">
        <v>50.614166418707434</v>
      </c>
      <c r="AF15" s="1830">
        <v>6.9239284637621044</v>
      </c>
      <c r="AG15" s="949"/>
      <c r="AH15" s="949"/>
      <c r="AI15" s="786">
        <v>2.2305261987999936</v>
      </c>
      <c r="AL15" s="785">
        <v>22</v>
      </c>
      <c r="AM15" s="1829">
        <v>50.614166418707434</v>
      </c>
      <c r="AN15" s="787">
        <v>4.8428267106499501</v>
      </c>
      <c r="AQ15" s="785">
        <v>26</v>
      </c>
      <c r="AR15" s="1830">
        <v>8.7019587111902137</v>
      </c>
      <c r="AS15" s="786">
        <v>1.3602975823981587</v>
      </c>
      <c r="AT15" s="1830">
        <v>2.569598453593807</v>
      </c>
      <c r="AU15" s="786">
        <v>0.40168181442446937</v>
      </c>
      <c r="BA15" s="785">
        <v>17</v>
      </c>
      <c r="BB15" s="1199">
        <v>138.0302658311347</v>
      </c>
      <c r="BC15" s="1199">
        <v>966.38784197736391</v>
      </c>
      <c r="BD15" s="1199">
        <v>577.13076170699674</v>
      </c>
      <c r="BE15" s="1199">
        <v>6.2139500298853951</v>
      </c>
      <c r="BF15" s="1199">
        <v>43.505572661018448</v>
      </c>
      <c r="BG15" s="1199">
        <v>25.981705478596858</v>
      </c>
      <c r="BJ15" s="1134">
        <v>17</v>
      </c>
      <c r="BK15" s="1199">
        <v>4.7759018699762823</v>
      </c>
      <c r="BL15" s="948">
        <v>0.21500513230899473</v>
      </c>
      <c r="BM15" s="1119"/>
      <c r="BN15" s="1119"/>
      <c r="BP15" s="785">
        <v>17</v>
      </c>
      <c r="BQ15" s="1145">
        <f t="shared" si="0"/>
        <v>1681.5488695154954</v>
      </c>
      <c r="BR15" s="1145">
        <f t="shared" si="1"/>
        <v>75.701228169500695</v>
      </c>
      <c r="BS15" s="1199">
        <v>4.7759018699762823</v>
      </c>
      <c r="BT15" s="1199">
        <v>4.7759018699762823</v>
      </c>
    </row>
    <row r="16" spans="1:72" ht="14.4">
      <c r="I16" s="136">
        <v>13</v>
      </c>
      <c r="J16" s="205">
        <v>0</v>
      </c>
      <c r="K16" s="205">
        <v>0</v>
      </c>
      <c r="L16" s="205">
        <v>9.9819381488228637E-2</v>
      </c>
      <c r="M16" s="205">
        <v>4.829857115675293</v>
      </c>
      <c r="O16" s="136">
        <v>13</v>
      </c>
      <c r="P16" s="205">
        <v>0</v>
      </c>
      <c r="Q16" s="205">
        <v>0</v>
      </c>
      <c r="R16" s="205">
        <v>9.9819381488228637E-2</v>
      </c>
      <c r="S16" s="205">
        <v>4.829857115675293</v>
      </c>
      <c r="AC16" s="785">
        <v>23</v>
      </c>
      <c r="AD16" s="1830">
        <v>20.460886947244862</v>
      </c>
      <c r="AE16" s="1829">
        <v>35.938868976884919</v>
      </c>
      <c r="AF16" s="1830">
        <v>57.961948226665733</v>
      </c>
      <c r="AG16" s="949"/>
      <c r="AH16" s="949"/>
      <c r="AI16" s="786">
        <v>3.1867469812732674</v>
      </c>
      <c r="AL16" s="785">
        <v>23</v>
      </c>
      <c r="AM16" s="1829">
        <v>35.938868976884919</v>
      </c>
      <c r="AN16" s="787">
        <v>3.9178452534764787</v>
      </c>
      <c r="AQ16" s="785">
        <v>27</v>
      </c>
      <c r="AR16" s="1830">
        <v>6.0317952506133343</v>
      </c>
      <c r="AS16" s="786">
        <v>1.0537169315618331</v>
      </c>
      <c r="AT16" s="1830">
        <v>0.73417098674108772</v>
      </c>
      <c r="AU16" s="786">
        <v>0.12825508281500089</v>
      </c>
      <c r="BA16" s="785">
        <v>18</v>
      </c>
      <c r="BB16" s="1199">
        <v>89.418515990611581</v>
      </c>
      <c r="BC16" s="1199">
        <v>1277.4745706588405</v>
      </c>
      <c r="BD16" s="1199">
        <v>262.02511900502077</v>
      </c>
      <c r="BE16" s="1199">
        <v>4.7557818949960708</v>
      </c>
      <c r="BF16" s="1199">
        <v>67.943315398961346</v>
      </c>
      <c r="BG16" s="1199">
        <v>13.935976270609382</v>
      </c>
      <c r="BJ16" s="1134">
        <v>18</v>
      </c>
      <c r="BK16" s="1199">
        <v>93.130086464537484</v>
      </c>
      <c r="BL16" s="948">
        <v>4.9531841831726275</v>
      </c>
      <c r="BM16" s="1119"/>
      <c r="BN16" s="1119"/>
      <c r="BP16" s="785">
        <v>18</v>
      </c>
      <c r="BQ16" s="1145">
        <f t="shared" si="0"/>
        <v>1628.9182056544728</v>
      </c>
      <c r="BR16" s="1145">
        <f t="shared" si="1"/>
        <v>86.63507356456681</v>
      </c>
      <c r="BS16" s="1199">
        <v>93.130086464537484</v>
      </c>
      <c r="BT16" s="1199">
        <v>93.130086464537484</v>
      </c>
    </row>
    <row r="17" spans="2:73" ht="14.4">
      <c r="I17" s="136">
        <v>14</v>
      </c>
      <c r="J17" s="205">
        <v>0</v>
      </c>
      <c r="K17" s="205">
        <v>0</v>
      </c>
      <c r="L17" s="205">
        <v>0.75124265634133636</v>
      </c>
      <c r="M17" s="205">
        <v>29.335733179530052</v>
      </c>
      <c r="O17" s="136">
        <v>14</v>
      </c>
      <c r="P17" s="205">
        <v>0</v>
      </c>
      <c r="Q17" s="205">
        <v>0</v>
      </c>
      <c r="R17" s="205">
        <v>0.75124265634133636</v>
      </c>
      <c r="S17" s="205">
        <v>29.335733179530052</v>
      </c>
      <c r="AC17" s="785">
        <v>24</v>
      </c>
      <c r="AD17" s="1830">
        <v>25.797049911364816</v>
      </c>
      <c r="AE17" s="1829">
        <v>19.381277357921974</v>
      </c>
      <c r="AF17" s="1830">
        <v>10.027687276865681</v>
      </c>
      <c r="AG17" s="949"/>
      <c r="AH17" s="949"/>
      <c r="AI17" s="786">
        <v>1.9160191914598668</v>
      </c>
      <c r="AL17" s="785">
        <v>24</v>
      </c>
      <c r="AM17" s="1829">
        <v>19.381277357921974</v>
      </c>
      <c r="AN17" s="787">
        <v>2.3941972948762706</v>
      </c>
      <c r="AQ17" s="785">
        <v>28</v>
      </c>
      <c r="AR17" s="1830">
        <v>5.716045539627042</v>
      </c>
      <c r="AS17" s="786">
        <v>1.1115002027011582</v>
      </c>
      <c r="AT17" s="1830"/>
      <c r="AU17" s="786"/>
      <c r="BA17" s="785">
        <v>19</v>
      </c>
      <c r="BB17" s="1199">
        <v>45.251438648527554</v>
      </c>
      <c r="BC17" s="1199">
        <v>421.35678286177847</v>
      </c>
      <c r="BD17" s="1199">
        <v>226.94417655183838</v>
      </c>
      <c r="BE17" s="1199">
        <v>2.8184835936516062</v>
      </c>
      <c r="BF17" s="1199">
        <v>26.244186152706728</v>
      </c>
      <c r="BG17" s="1199">
        <v>14.135206689322423</v>
      </c>
      <c r="BJ17" s="1134">
        <v>19</v>
      </c>
      <c r="BK17" s="1199">
        <v>140.8891051643003</v>
      </c>
      <c r="BL17" s="948">
        <v>8.775270870703185</v>
      </c>
      <c r="BM17" s="1119"/>
      <c r="BN17" s="1119"/>
      <c r="BP17" s="785">
        <v>19</v>
      </c>
      <c r="BQ17" s="1145">
        <f t="shared" si="0"/>
        <v>693.55239806214445</v>
      </c>
      <c r="BR17" s="1145">
        <f t="shared" si="1"/>
        <v>43.197876435680755</v>
      </c>
      <c r="BS17" s="1199">
        <v>140.8891051643003</v>
      </c>
      <c r="BT17" s="1199">
        <v>140.8891051643003</v>
      </c>
    </row>
    <row r="18" spans="2:73" ht="14.4">
      <c r="I18" s="136">
        <v>15</v>
      </c>
      <c r="J18" s="205">
        <v>0.21455027713221239</v>
      </c>
      <c r="K18" s="205">
        <v>6.4290566599088601</v>
      </c>
      <c r="L18" s="205">
        <v>1.6632037566007598</v>
      </c>
      <c r="M18" s="205">
        <v>53.170540690645133</v>
      </c>
      <c r="O18" s="136">
        <v>15</v>
      </c>
      <c r="P18" s="205">
        <v>0.21455027713221239</v>
      </c>
      <c r="Q18" s="205">
        <v>6.4290566599088601</v>
      </c>
      <c r="R18" s="205">
        <v>1.6632037566007598</v>
      </c>
      <c r="S18" s="205">
        <v>53.170540690645133</v>
      </c>
      <c r="AC18" s="785">
        <v>25</v>
      </c>
      <c r="AD18" s="1830">
        <v>13.756248971683068</v>
      </c>
      <c r="AE18" s="1829">
        <v>12.964228257809408</v>
      </c>
      <c r="AF18" s="1830">
        <v>3.4968924330505371</v>
      </c>
      <c r="AG18" s="949"/>
      <c r="AH18" s="949"/>
      <c r="AI18" s="786">
        <v>1.3155447074061715</v>
      </c>
      <c r="AL18" s="785">
        <v>25</v>
      </c>
      <c r="AM18" s="1829">
        <v>12.964228257809408</v>
      </c>
      <c r="AN18" s="787">
        <v>1.8057037347580094</v>
      </c>
      <c r="AQ18" s="785">
        <v>29</v>
      </c>
      <c r="AR18" s="1830">
        <v>1.1799176572624626</v>
      </c>
      <c r="AS18" s="786">
        <v>0.25444682395745266</v>
      </c>
      <c r="AT18" s="1830"/>
      <c r="AU18" s="786"/>
      <c r="BA18" s="785">
        <v>20</v>
      </c>
      <c r="BB18" s="1199">
        <v>7.4705735450311233</v>
      </c>
      <c r="BC18" s="1199">
        <v>130.40159472424764</v>
      </c>
      <c r="BD18" s="1199">
        <v>159.45230610440768</v>
      </c>
      <c r="BE18" s="1199">
        <v>0.54062336926194454</v>
      </c>
      <c r="BF18" s="1199">
        <v>9.4367787254893649</v>
      </c>
      <c r="BG18" s="1199">
        <v>11.539093008472975</v>
      </c>
      <c r="BJ18" s="1134">
        <v>20</v>
      </c>
      <c r="BK18" s="1199">
        <v>62.086724309691661</v>
      </c>
      <c r="BL18" s="948">
        <v>4.4930330824556712</v>
      </c>
      <c r="BM18" s="1119"/>
      <c r="BN18" s="1119"/>
      <c r="BP18" s="785">
        <v>20</v>
      </c>
      <c r="BQ18" s="1145">
        <f t="shared" si="0"/>
        <v>297.32447437368648</v>
      </c>
      <c r="BR18" s="1145">
        <f t="shared" si="1"/>
        <v>21.516495103224283</v>
      </c>
      <c r="BS18" s="1199">
        <v>62.086724309691661</v>
      </c>
      <c r="BT18" s="1199">
        <v>62.086724309691661</v>
      </c>
    </row>
    <row r="19" spans="2:73" ht="14.4">
      <c r="I19" s="136">
        <v>16</v>
      </c>
      <c r="J19" s="206">
        <v>0.1106427452390828</v>
      </c>
      <c r="K19" s="206">
        <v>2.7553099971037969</v>
      </c>
      <c r="L19" s="206">
        <v>5.0321540870747601</v>
      </c>
      <c r="M19" s="206">
        <v>133.35914800834692</v>
      </c>
      <c r="O19" s="136">
        <v>16</v>
      </c>
      <c r="P19" s="206">
        <v>0.1106427452390828</v>
      </c>
      <c r="Q19" s="206">
        <v>2.7553099971037969</v>
      </c>
      <c r="R19" s="206">
        <v>5.0321540870747601</v>
      </c>
      <c r="S19" s="206">
        <v>133.35914800834692</v>
      </c>
      <c r="AC19" s="785">
        <v>26</v>
      </c>
      <c r="AD19" s="1830">
        <v>8.4156701259375932</v>
      </c>
      <c r="AE19" s="1829">
        <v>4.0270752134916128</v>
      </c>
      <c r="AF19" s="1830">
        <v>8.7019587111902137</v>
      </c>
      <c r="AG19" s="949"/>
      <c r="AH19" s="949"/>
      <c r="AI19" s="786">
        <v>1.4701649730630104</v>
      </c>
      <c r="AL19" s="785">
        <v>26</v>
      </c>
      <c r="AM19" s="1829">
        <v>4.0270752134916128</v>
      </c>
      <c r="AN19" s="787">
        <v>0.62951582038694032</v>
      </c>
      <c r="AQ19" s="785">
        <v>30</v>
      </c>
      <c r="AR19" s="1830">
        <v>1.445736253055192</v>
      </c>
      <c r="AS19" s="786">
        <v>0.34456239347745649</v>
      </c>
      <c r="AT19" s="1830"/>
      <c r="AU19" s="786"/>
      <c r="BA19" s="785">
        <v>21</v>
      </c>
      <c r="BB19" s="1199">
        <v>4.6030806691605921</v>
      </c>
      <c r="BC19" s="1199">
        <v>40.270119054483771</v>
      </c>
      <c r="BD19" s="1199">
        <v>139.92793636658527</v>
      </c>
      <c r="BE19" s="1199">
        <v>0.38427599150109876</v>
      </c>
      <c r="BF19" s="1199">
        <v>3.3618441734480831</v>
      </c>
      <c r="BG19" s="1199">
        <v>11.681512958532998</v>
      </c>
      <c r="BJ19" s="1134">
        <v>21</v>
      </c>
      <c r="BK19" s="1199">
        <v>19.103607479905129</v>
      </c>
      <c r="BL19" s="948">
        <v>1.5948140459000579</v>
      </c>
      <c r="BM19" s="1119"/>
      <c r="BN19" s="1119"/>
      <c r="BP19" s="785">
        <v>21</v>
      </c>
      <c r="BQ19" s="1145">
        <f t="shared" si="0"/>
        <v>184.80113609022965</v>
      </c>
      <c r="BR19" s="1145">
        <f t="shared" si="1"/>
        <v>15.427633123482181</v>
      </c>
      <c r="BS19" s="1199">
        <v>19.103607479905129</v>
      </c>
      <c r="BT19" s="1199">
        <v>19.103607479905129</v>
      </c>
    </row>
    <row r="20" spans="2:73" ht="14.4">
      <c r="I20" s="136">
        <v>17</v>
      </c>
      <c r="J20" s="206">
        <v>4.3897707194636447E-2</v>
      </c>
      <c r="K20" s="206">
        <v>0.91843666570126581</v>
      </c>
      <c r="L20" s="206">
        <v>6.1575343626222505</v>
      </c>
      <c r="M20" s="206">
        <v>136.77710648612526</v>
      </c>
      <c r="O20" s="136">
        <v>17</v>
      </c>
      <c r="P20" s="206">
        <v>4.3897707194636447E-2</v>
      </c>
      <c r="Q20" s="206">
        <v>0.91843666570126581</v>
      </c>
      <c r="R20" s="206">
        <v>6.1575343626222505</v>
      </c>
      <c r="S20" s="206">
        <v>136.77710648612526</v>
      </c>
      <c r="AC20" s="785">
        <v>27</v>
      </c>
      <c r="AD20" s="1830">
        <v>8.4156701259375932</v>
      </c>
      <c r="AE20" s="1829">
        <v>4.0270752134916128</v>
      </c>
      <c r="AF20" s="1830">
        <v>6.0317952506133343</v>
      </c>
      <c r="AG20" s="949"/>
      <c r="AH20" s="949"/>
      <c r="AI20" s="786">
        <v>1.3262245627473912</v>
      </c>
      <c r="AL20" s="785">
        <v>27</v>
      </c>
      <c r="AM20" s="1829">
        <v>4.0270752134916128</v>
      </c>
      <c r="AN20" s="787">
        <v>0.70350487057690048</v>
      </c>
      <c r="AQ20" s="785">
        <v>31</v>
      </c>
      <c r="AR20" s="1830">
        <v>0.26220392383610275</v>
      </c>
      <c r="AS20" s="786">
        <v>6.8841469770618294E-2</v>
      </c>
      <c r="AT20" s="1830"/>
      <c r="AU20" s="786"/>
      <c r="BA20" s="785">
        <v>22</v>
      </c>
      <c r="BB20" s="1199">
        <v>14.570653847493301</v>
      </c>
      <c r="BC20" s="1199">
        <v>25.295300913620466</v>
      </c>
      <c r="BD20" s="1199">
        <v>93.153194320923831</v>
      </c>
      <c r="BE20" s="1199">
        <v>1.3941383734454682</v>
      </c>
      <c r="BF20" s="1199">
        <v>2.4202860105413477</v>
      </c>
      <c r="BG20" s="1199">
        <v>8.913014074118891</v>
      </c>
      <c r="BJ20" s="1134">
        <v>22</v>
      </c>
      <c r="BK20" s="1199">
        <v>38.207214959810258</v>
      </c>
      <c r="BL20" s="948">
        <v>3.6557140863733446</v>
      </c>
      <c r="BM20" s="1119"/>
      <c r="BN20" s="1119"/>
      <c r="BP20" s="785">
        <v>22</v>
      </c>
      <c r="BQ20" s="1145">
        <f t="shared" si="0"/>
        <v>133.01914908203759</v>
      </c>
      <c r="BR20" s="1145">
        <f t="shared" si="1"/>
        <v>12.727438458105707</v>
      </c>
      <c r="BS20" s="1199">
        <v>38.207214959810258</v>
      </c>
      <c r="BT20" s="1199">
        <v>38.207214959810258</v>
      </c>
    </row>
    <row r="21" spans="2:73" ht="14.4">
      <c r="I21" s="136">
        <v>18</v>
      </c>
      <c r="J21" s="206">
        <v>0.11344518606213429</v>
      </c>
      <c r="K21" s="206">
        <v>2.0135283820787087</v>
      </c>
      <c r="L21" s="206">
        <v>4.8667402413377872</v>
      </c>
      <c r="M21" s="206">
        <v>91.504761929915063</v>
      </c>
      <c r="O21" s="136">
        <v>18</v>
      </c>
      <c r="P21" s="206">
        <v>0.11344518606213429</v>
      </c>
      <c r="Q21" s="206">
        <v>2.0135283820787087</v>
      </c>
      <c r="R21" s="206">
        <v>4.8667402413377872</v>
      </c>
      <c r="S21" s="206">
        <v>91.504761929915063</v>
      </c>
      <c r="AC21" s="785">
        <v>28</v>
      </c>
      <c r="AD21" s="1830">
        <v>6.8202956490816211</v>
      </c>
      <c r="AE21" s="1829">
        <v>8.937153044317796</v>
      </c>
      <c r="AF21" s="1830">
        <v>5.716045539627042</v>
      </c>
      <c r="AG21" s="949"/>
      <c r="AH21" s="949"/>
      <c r="AI21" s="786">
        <v>0.47065048803787868</v>
      </c>
      <c r="AL21" s="785">
        <v>28</v>
      </c>
      <c r="AM21" s="1829">
        <v>8.937153044317796</v>
      </c>
      <c r="AN21" s="787">
        <v>1.737853092923163</v>
      </c>
      <c r="AQ21" s="785">
        <v>32</v>
      </c>
      <c r="AR21" s="1831"/>
      <c r="AS21" s="791"/>
      <c r="AT21" s="1830"/>
      <c r="AU21" s="786"/>
      <c r="BA21" s="785">
        <v>23</v>
      </c>
      <c r="BB21" s="1199">
        <v>59.840048699087689</v>
      </c>
      <c r="BC21" s="1199">
        <v>75.47873982495058</v>
      </c>
      <c r="BD21" s="1199">
        <v>123.15046535585572</v>
      </c>
      <c r="BE21" s="1199">
        <v>6.5234120448896489</v>
      </c>
      <c r="BF21" s="1199">
        <v>8.2282506650881349</v>
      </c>
      <c r="BG21" s="1199">
        <v>13.425143302873055</v>
      </c>
      <c r="BJ21" s="1134">
        <v>23</v>
      </c>
      <c r="BK21" s="1199">
        <v>14.327705609928843</v>
      </c>
      <c r="BL21" s="948">
        <v>1.5619226485166242</v>
      </c>
      <c r="BM21" s="1119"/>
      <c r="BN21" s="1119"/>
      <c r="BP21" s="785">
        <v>23</v>
      </c>
      <c r="BQ21" s="1145">
        <f t="shared" si="0"/>
        <v>258.46925387989398</v>
      </c>
      <c r="BR21" s="1145">
        <f t="shared" si="1"/>
        <v>28.17680601285084</v>
      </c>
      <c r="BS21" s="1199">
        <v>14.327705609928843</v>
      </c>
      <c r="BT21" s="1199">
        <v>14.327705609928843</v>
      </c>
    </row>
    <row r="22" spans="2:73" ht="15" thickBot="1">
      <c r="B22" s="6"/>
      <c r="C22" s="2"/>
      <c r="I22" s="136">
        <v>19</v>
      </c>
      <c r="J22" s="206">
        <v>0.18025091546627553</v>
      </c>
      <c r="K22" s="206">
        <v>2.7376317529711871</v>
      </c>
      <c r="L22" s="206">
        <v>3.3085588139243622</v>
      </c>
      <c r="M22" s="206">
        <v>53.119715339329368</v>
      </c>
      <c r="O22" s="136">
        <v>19</v>
      </c>
      <c r="P22" s="206">
        <v>0.18025091546627553</v>
      </c>
      <c r="Q22" s="206">
        <v>2.7376317529711871</v>
      </c>
      <c r="R22" s="206">
        <v>3.3085588139243622</v>
      </c>
      <c r="S22" s="206">
        <v>53.119715339329368</v>
      </c>
      <c r="AC22" s="785">
        <v>29</v>
      </c>
      <c r="AD22" s="1830">
        <v>2.1824946077061189</v>
      </c>
      <c r="AE22" s="1829">
        <v>4.6854964042978935</v>
      </c>
      <c r="AF22" s="1830">
        <v>1.1799176572624626</v>
      </c>
      <c r="AG22" s="949"/>
      <c r="AH22" s="949"/>
      <c r="AI22" s="786">
        <v>0</v>
      </c>
      <c r="AL22" s="785">
        <v>29</v>
      </c>
      <c r="AM22" s="1829">
        <v>4.6854964042978935</v>
      </c>
      <c r="AN22" s="787">
        <v>1.0104176943192118</v>
      </c>
      <c r="AQ22" s="792">
        <v>33</v>
      </c>
      <c r="AR22" s="793">
        <v>6.4239961339845184</v>
      </c>
      <c r="AS22" s="794">
        <v>2.0287053667078649</v>
      </c>
      <c r="AT22" s="793"/>
      <c r="AU22" s="794"/>
      <c r="BA22" s="785">
        <v>24</v>
      </c>
      <c r="BB22" s="1199">
        <v>82.855452044890654</v>
      </c>
      <c r="BC22" s="1199">
        <v>17.403167028570881</v>
      </c>
      <c r="BD22" s="1199">
        <v>50.765815492146785</v>
      </c>
      <c r="BE22" s="1199">
        <v>10.235254131510807</v>
      </c>
      <c r="BF22" s="1199">
        <v>2.1498384576315521</v>
      </c>
      <c r="BG22" s="1199">
        <v>6.2711747981773556</v>
      </c>
      <c r="BJ22" s="1134">
        <v>24</v>
      </c>
      <c r="BK22" s="1199">
        <v>0</v>
      </c>
      <c r="BL22" s="948">
        <v>0</v>
      </c>
      <c r="BM22" s="1119"/>
      <c r="BN22" s="1119"/>
      <c r="BP22" s="785">
        <v>24</v>
      </c>
      <c r="BQ22" s="1145">
        <f t="shared" si="0"/>
        <v>151.02443456560832</v>
      </c>
      <c r="BR22" s="1145">
        <f t="shared" si="1"/>
        <v>18.656267387319716</v>
      </c>
      <c r="BS22" s="1199">
        <v>0</v>
      </c>
      <c r="BT22" s="1199">
        <v>0</v>
      </c>
    </row>
    <row r="23" spans="2:73" ht="15" thickTop="1">
      <c r="B23" s="13"/>
      <c r="I23" s="136">
        <v>20</v>
      </c>
      <c r="J23" s="206">
        <v>0.99164593068217799</v>
      </c>
      <c r="K23" s="206">
        <v>13.084753128631275</v>
      </c>
      <c r="L23" s="206">
        <v>5.2007609090438489</v>
      </c>
      <c r="M23" s="206">
        <v>69.831706956162733</v>
      </c>
      <c r="O23" s="136">
        <v>20</v>
      </c>
      <c r="P23" s="206">
        <v>0.99164593068217799</v>
      </c>
      <c r="Q23" s="206">
        <v>13.084753128631275</v>
      </c>
      <c r="R23" s="206">
        <v>5.2007609090438489</v>
      </c>
      <c r="S23" s="206">
        <v>69.831706956162733</v>
      </c>
      <c r="AC23" s="785">
        <v>30</v>
      </c>
      <c r="AD23" s="1830">
        <v>0</v>
      </c>
      <c r="AE23" s="1829">
        <v>4.7348641904083211</v>
      </c>
      <c r="AF23" s="1830">
        <v>1.445736253055192</v>
      </c>
      <c r="AG23" s="949"/>
      <c r="AH23" s="949"/>
      <c r="AI23" s="786">
        <v>3.5813283789484154</v>
      </c>
      <c r="AL23" s="785">
        <v>30</v>
      </c>
      <c r="AM23" s="1829">
        <v>4.7348641904083211</v>
      </c>
      <c r="AN23" s="787">
        <v>1.1284604192432246</v>
      </c>
      <c r="AQ23"/>
      <c r="AR23"/>
      <c r="AS23"/>
      <c r="AT23"/>
      <c r="AU23"/>
      <c r="BA23" s="785">
        <v>25</v>
      </c>
      <c r="BB23" s="1199">
        <v>36.824645353284737</v>
      </c>
      <c r="BC23" s="1199">
        <v>59.899272563453266</v>
      </c>
      <c r="BD23" s="1199">
        <v>27.840575675668941</v>
      </c>
      <c r="BE23" s="1199">
        <v>5.1290673322965024</v>
      </c>
      <c r="BF23" s="1199">
        <v>8.3429833250553713</v>
      </c>
      <c r="BG23" s="1199">
        <v>3.8777342141508186</v>
      </c>
      <c r="BJ23" s="1134">
        <v>25</v>
      </c>
      <c r="BK23" s="1199">
        <v>2.3879509349881411</v>
      </c>
      <c r="BL23" s="948">
        <v>0.33260228345096748</v>
      </c>
      <c r="BM23" s="1119"/>
      <c r="BN23" s="1119"/>
      <c r="BP23" s="785">
        <v>25</v>
      </c>
      <c r="BQ23" s="1145">
        <f t="shared" si="0"/>
        <v>124.56449359240695</v>
      </c>
      <c r="BR23" s="1145">
        <f t="shared" si="1"/>
        <v>17.349784871502692</v>
      </c>
      <c r="BS23" s="1199">
        <v>2.3879509349881411</v>
      </c>
      <c r="BT23" s="1199">
        <v>2.3879509349881411</v>
      </c>
    </row>
    <row r="24" spans="2:73" ht="14.4">
      <c r="B24" s="13"/>
      <c r="I24" s="136">
        <v>21</v>
      </c>
      <c r="J24" s="206">
        <v>2.1175372694079031</v>
      </c>
      <c r="K24" s="206">
        <v>24.088692150907455</v>
      </c>
      <c r="L24" s="206">
        <v>17.607912281073101</v>
      </c>
      <c r="M24" s="206">
        <v>202.52485795440421</v>
      </c>
      <c r="O24" s="136">
        <v>21</v>
      </c>
      <c r="P24" s="206">
        <v>2.1175372694079031</v>
      </c>
      <c r="Q24" s="206">
        <v>24.088692150907455</v>
      </c>
      <c r="R24" s="206">
        <v>17.607912281073101</v>
      </c>
      <c r="S24" s="206">
        <v>202.52485795440421</v>
      </c>
      <c r="AC24" s="785">
        <v>31</v>
      </c>
      <c r="AD24" s="1830">
        <v>13.640591298163242</v>
      </c>
      <c r="AE24" s="1829">
        <v>28.270779279066474</v>
      </c>
      <c r="AF24" s="1830">
        <v>0.26220392383610275</v>
      </c>
      <c r="AG24" s="949"/>
      <c r="AH24" s="949"/>
      <c r="AI24" s="786">
        <v>23.05127406805385</v>
      </c>
      <c r="AL24" s="785">
        <v>31</v>
      </c>
      <c r="AM24" s="1829">
        <v>28.270779279066474</v>
      </c>
      <c r="AN24" s="787">
        <v>7.4224747237123729</v>
      </c>
      <c r="BA24" s="785">
        <v>26</v>
      </c>
      <c r="BB24" s="1199">
        <v>0</v>
      </c>
      <c r="BC24" s="1199">
        <v>15.78426777009917</v>
      </c>
      <c r="BD24" s="1199">
        <v>103.55843595211849</v>
      </c>
      <c r="BE24" s="1199">
        <v>0</v>
      </c>
      <c r="BF24" s="1199">
        <v>2.4674101544495066</v>
      </c>
      <c r="BG24" s="1199">
        <v>16.188342732705721</v>
      </c>
      <c r="BJ24" s="1134">
        <v>26</v>
      </c>
      <c r="BK24" s="1199">
        <v>0</v>
      </c>
      <c r="BL24" s="948">
        <v>0</v>
      </c>
      <c r="BM24" s="1119"/>
      <c r="BN24" s="1119"/>
      <c r="BP24" s="785">
        <v>26</v>
      </c>
      <c r="BQ24" s="1145">
        <f t="shared" si="0"/>
        <v>119.34270372221766</v>
      </c>
      <c r="BR24" s="1145">
        <f t="shared" si="1"/>
        <v>18.655752887155227</v>
      </c>
      <c r="BS24" s="1199">
        <v>0</v>
      </c>
      <c r="BT24" s="1199">
        <v>0</v>
      </c>
    </row>
    <row r="25" spans="2:73" ht="14.4">
      <c r="I25" s="136">
        <v>22</v>
      </c>
      <c r="J25" s="206">
        <v>5.2137190299116769</v>
      </c>
      <c r="K25" s="206">
        <v>51.842671077927847</v>
      </c>
      <c r="L25" s="206">
        <v>18.076188517879075</v>
      </c>
      <c r="M25" s="206">
        <v>181.7308471885643</v>
      </c>
      <c r="O25" s="136">
        <v>22</v>
      </c>
      <c r="P25" s="206">
        <v>5.2137190299116769</v>
      </c>
      <c r="Q25" s="206">
        <v>51.842671077927847</v>
      </c>
      <c r="R25" s="206">
        <v>18.076188517879075</v>
      </c>
      <c r="S25" s="206">
        <v>181.7308471885643</v>
      </c>
      <c r="AC25" s="785">
        <v>32</v>
      </c>
      <c r="AD25" s="1830">
        <v>79.940261631415481</v>
      </c>
      <c r="AE25" s="1829">
        <v>56.926877834011407</v>
      </c>
      <c r="AF25" s="1831"/>
      <c r="AG25" s="949"/>
      <c r="AH25" s="949"/>
      <c r="AI25" s="786">
        <v>29.68872472358354</v>
      </c>
      <c r="AL25" s="785">
        <v>32</v>
      </c>
      <c r="AM25" s="1829">
        <v>56.926877834011407</v>
      </c>
      <c r="AN25" s="787">
        <v>16.415221016423651</v>
      </c>
      <c r="BA25" s="785">
        <v>27</v>
      </c>
      <c r="BB25" s="1199">
        <v>4.6030806691605921</v>
      </c>
      <c r="BC25" s="1199">
        <v>29.747273874417669</v>
      </c>
      <c r="BD25" s="1199">
        <v>3.6390586894141594</v>
      </c>
      <c r="BE25" s="1199">
        <v>0.80412942364817319</v>
      </c>
      <c r="BF25" s="1199">
        <v>5.1966628253990512</v>
      </c>
      <c r="BG25" s="1199">
        <v>0.63572080892384475</v>
      </c>
      <c r="BJ25" s="1134">
        <v>27</v>
      </c>
      <c r="BK25" s="1199">
        <v>2.3879509349881411</v>
      </c>
      <c r="BL25" s="948">
        <v>0.41716010364908457</v>
      </c>
      <c r="BM25" s="1199">
        <v>175.69499975910318</v>
      </c>
      <c r="BN25" s="1199">
        <v>30.692818364166829</v>
      </c>
      <c r="BP25" s="785">
        <v>27</v>
      </c>
      <c r="BQ25" s="1145">
        <f t="shared" si="0"/>
        <v>37.989413232992419</v>
      </c>
      <c r="BR25" s="1145">
        <v>178.08295069409132</v>
      </c>
      <c r="BS25" s="1199">
        <v>2.3879509349881398</v>
      </c>
      <c r="BT25" s="1199">
        <v>33.080769299154966</v>
      </c>
      <c r="BU25" s="2" t="s">
        <v>18</v>
      </c>
    </row>
    <row r="26" spans="2:73" ht="15" thickBot="1">
      <c r="I26" s="136">
        <v>23</v>
      </c>
      <c r="J26" s="206">
        <v>8.1115369031848594</v>
      </c>
      <c r="K26" s="206">
        <v>71.131926787002925</v>
      </c>
      <c r="L26" s="206">
        <v>10.653405228229891</v>
      </c>
      <c r="M26" s="206">
        <v>95.383720368371826</v>
      </c>
      <c r="O26" s="136">
        <v>23</v>
      </c>
      <c r="P26" s="206">
        <v>8.1115369031848594</v>
      </c>
      <c r="Q26" s="206">
        <v>71.131926787002925</v>
      </c>
      <c r="R26" s="206">
        <v>10.653405228229891</v>
      </c>
      <c r="S26" s="206">
        <v>95.383720368371826</v>
      </c>
      <c r="AC26" s="785">
        <v>33</v>
      </c>
      <c r="AD26" s="1830">
        <v>94.010818907985424</v>
      </c>
      <c r="AE26" s="1829">
        <v>85.702759885875111</v>
      </c>
      <c r="AF26" s="793">
        <v>6.4239961339845184</v>
      </c>
      <c r="AG26" s="949"/>
      <c r="AH26" s="949"/>
      <c r="AI26" s="786">
        <v>32.42757011407555</v>
      </c>
      <c r="AL26" s="785">
        <v>33</v>
      </c>
      <c r="AM26" s="1829">
        <v>85.702759885875111</v>
      </c>
      <c r="AN26" s="787">
        <v>27.065030130133231</v>
      </c>
      <c r="BA26" s="785">
        <v>28</v>
      </c>
      <c r="BB26" s="1199">
        <v>0.7614118400115264</v>
      </c>
      <c r="BC26" s="1199">
        <v>31.159954630471603</v>
      </c>
      <c r="BD26" s="1199">
        <v>0</v>
      </c>
      <c r="BE26" s="1199">
        <v>0.14805855003161733</v>
      </c>
      <c r="BF26" s="1199">
        <v>6.0591357517749733</v>
      </c>
      <c r="BG26" s="1199">
        <v>0</v>
      </c>
      <c r="BJ26" s="1134">
        <v>28</v>
      </c>
      <c r="BK26" s="1199">
        <v>0</v>
      </c>
      <c r="BL26" s="948">
        <v>0</v>
      </c>
      <c r="BM26" s="1119"/>
      <c r="BN26" s="1119"/>
      <c r="BP26" s="785">
        <v>28</v>
      </c>
      <c r="BQ26" s="1145">
        <f t="shared" si="0"/>
        <v>31.921366470483129</v>
      </c>
      <c r="BR26" s="1145">
        <f t="shared" ref="BR26:BR47" si="2">BE26+BF26+BG26</f>
        <v>6.2071943018065907</v>
      </c>
      <c r="BS26" s="1199">
        <v>0</v>
      </c>
      <c r="BT26" s="1199">
        <v>0</v>
      </c>
    </row>
    <row r="27" spans="2:73" ht="15" thickTop="1">
      <c r="I27" s="136">
        <v>24</v>
      </c>
      <c r="J27" s="206">
        <v>4.0998801019068329</v>
      </c>
      <c r="K27" s="206">
        <v>31.683966581745842</v>
      </c>
      <c r="L27" s="206">
        <v>7.8505532848101041</v>
      </c>
      <c r="M27" s="206">
        <v>62.070948860487995</v>
      </c>
      <c r="O27" s="136">
        <v>24</v>
      </c>
      <c r="P27" s="206">
        <v>4.0998801019068329</v>
      </c>
      <c r="Q27" s="206">
        <v>31.683966581745842</v>
      </c>
      <c r="R27" s="206">
        <v>7.8505532848101041</v>
      </c>
      <c r="S27" s="206">
        <v>62.070948860487995</v>
      </c>
      <c r="AC27" s="785">
        <v>34</v>
      </c>
      <c r="AD27" s="1830">
        <v>94.010818907985424</v>
      </c>
      <c r="AE27" s="1829">
        <v>91.284133361662157</v>
      </c>
      <c r="AF27" s="949"/>
      <c r="AG27" s="949"/>
      <c r="AH27" s="949"/>
      <c r="AI27" s="786">
        <v>39.902421698633042</v>
      </c>
      <c r="AL27" s="785">
        <v>34</v>
      </c>
      <c r="AM27" s="1829">
        <v>91.284133361662157</v>
      </c>
      <c r="AN27" s="787">
        <v>31.487042334831582</v>
      </c>
      <c r="BA27" s="785">
        <v>29</v>
      </c>
      <c r="BB27" s="1199">
        <v>0</v>
      </c>
      <c r="BC27" s="1199">
        <v>15.78426777009917</v>
      </c>
      <c r="BD27" s="1199">
        <v>1.137205840441925</v>
      </c>
      <c r="BE27" s="1199">
        <v>0</v>
      </c>
      <c r="BF27" s="1199">
        <v>3.403844986872957</v>
      </c>
      <c r="BG27" s="1199">
        <v>0.2452361082193282</v>
      </c>
      <c r="BJ27" s="1134">
        <v>29</v>
      </c>
      <c r="BK27" s="1199">
        <v>0</v>
      </c>
      <c r="BL27" s="948">
        <v>0</v>
      </c>
      <c r="BM27" s="1119"/>
      <c r="BN27" s="1119"/>
      <c r="BP27" s="785">
        <v>29</v>
      </c>
      <c r="BQ27" s="1145">
        <f t="shared" si="0"/>
        <v>16.921473610541096</v>
      </c>
      <c r="BR27" s="1145">
        <f t="shared" si="2"/>
        <v>3.6490810950922854</v>
      </c>
      <c r="BS27" s="1199">
        <v>0</v>
      </c>
      <c r="BT27" s="1199">
        <v>0</v>
      </c>
    </row>
    <row r="28" spans="2:73" ht="14.4">
      <c r="I28" s="136">
        <v>25</v>
      </c>
      <c r="J28" s="206">
        <v>1.6400224820316276</v>
      </c>
      <c r="K28" s="206">
        <v>11.339518613498136</v>
      </c>
      <c r="L28" s="206">
        <v>2.3488291273801583</v>
      </c>
      <c r="M28" s="206">
        <v>16.863650642018808</v>
      </c>
      <c r="O28" s="136">
        <v>25</v>
      </c>
      <c r="P28" s="206">
        <v>1.6400224820316276</v>
      </c>
      <c r="Q28" s="206">
        <v>11.339518613498136</v>
      </c>
      <c r="R28" s="206">
        <v>2.3488291273801583</v>
      </c>
      <c r="S28" s="206">
        <v>16.863650642018808</v>
      </c>
      <c r="AC28" s="785">
        <v>35</v>
      </c>
      <c r="AD28" s="1830">
        <v>106.1780900269914</v>
      </c>
      <c r="AE28" s="795">
        <v>50.370169111303284</v>
      </c>
      <c r="AF28" s="796"/>
      <c r="AG28" s="796"/>
      <c r="AH28" s="796"/>
      <c r="AI28" s="633">
        <v>18.899296575071084</v>
      </c>
      <c r="AL28" s="631">
        <v>35</v>
      </c>
      <c r="AM28" s="795">
        <v>50.370169111303284</v>
      </c>
      <c r="AN28" s="797">
        <v>18.929439476635451</v>
      </c>
      <c r="BA28" s="785">
        <v>30</v>
      </c>
      <c r="BB28" s="1199">
        <v>2.2842355200345787</v>
      </c>
      <c r="BC28" s="1199">
        <v>14.967105950645697</v>
      </c>
      <c r="BD28" s="1199">
        <v>0</v>
      </c>
      <c r="BE28" s="1199">
        <v>0.54440196570161714</v>
      </c>
      <c r="BF28" s="1199">
        <v>3.5671111095726862</v>
      </c>
      <c r="BG28" s="1199">
        <v>0</v>
      </c>
      <c r="BJ28" s="1134">
        <v>30</v>
      </c>
      <c r="BK28" s="1199">
        <v>0</v>
      </c>
      <c r="BL28" s="948">
        <v>0</v>
      </c>
      <c r="BM28" s="1119"/>
      <c r="BN28" s="1119"/>
      <c r="BP28" s="785">
        <v>30</v>
      </c>
      <c r="BQ28" s="1145">
        <f t="shared" si="0"/>
        <v>17.251341470680277</v>
      </c>
      <c r="BR28" s="1145">
        <f t="shared" si="2"/>
        <v>4.1115130752743037</v>
      </c>
      <c r="BS28" s="1199">
        <v>0</v>
      </c>
      <c r="BT28" s="1199">
        <v>0</v>
      </c>
    </row>
    <row r="29" spans="2:73" ht="14.4">
      <c r="I29" s="136">
        <v>26</v>
      </c>
      <c r="J29" s="206">
        <v>0.47271568131007186</v>
      </c>
      <c r="K29" s="206">
        <v>2.9349763898275629</v>
      </c>
      <c r="L29" s="206">
        <v>0.41565115603917113</v>
      </c>
      <c r="M29" s="206">
        <v>2.6589617190488104</v>
      </c>
      <c r="O29" s="136">
        <v>26</v>
      </c>
      <c r="P29" s="206">
        <v>0.47271568131007186</v>
      </c>
      <c r="Q29" s="206">
        <v>2.9349763898275629</v>
      </c>
      <c r="R29" s="206">
        <v>0.41565115603917113</v>
      </c>
      <c r="S29" s="206">
        <v>2.6589617190488104</v>
      </c>
      <c r="AC29" s="631">
        <v>36</v>
      </c>
      <c r="AD29" s="634">
        <v>46.268749364414077</v>
      </c>
      <c r="AE29" s="1829">
        <v>24.922015685435028</v>
      </c>
      <c r="AF29" s="949"/>
      <c r="AG29" s="949"/>
      <c r="AH29" s="949"/>
      <c r="AI29" s="786">
        <v>34.948864463427341</v>
      </c>
      <c r="AL29" s="785">
        <v>36</v>
      </c>
      <c r="AM29" s="1829">
        <v>24.922015685435028</v>
      </c>
      <c r="AN29" s="787">
        <v>10.179842164695923</v>
      </c>
      <c r="BA29" s="785">
        <v>31</v>
      </c>
      <c r="BB29" s="1199">
        <v>19.796707840299685</v>
      </c>
      <c r="BC29" s="1199">
        <v>22.450658925968543</v>
      </c>
      <c r="BD29" s="1199">
        <v>0</v>
      </c>
      <c r="BE29" s="1199">
        <v>5.1976127756105859</v>
      </c>
      <c r="BF29" s="1199">
        <v>5.8944059080847389</v>
      </c>
      <c r="BG29" s="1199">
        <v>0</v>
      </c>
      <c r="BJ29" s="1134">
        <v>31</v>
      </c>
      <c r="BK29" s="1199"/>
      <c r="BL29" s="950"/>
      <c r="BM29" s="1119"/>
      <c r="BN29" s="1119"/>
      <c r="BP29" s="785">
        <v>31</v>
      </c>
      <c r="BQ29" s="1145">
        <f t="shared" si="0"/>
        <v>42.247366766268229</v>
      </c>
      <c r="BR29" s="1145">
        <f t="shared" si="2"/>
        <v>11.092018683695326</v>
      </c>
      <c r="BS29" s="1199"/>
      <c r="BT29" s="1199"/>
    </row>
    <row r="30" spans="2:73" ht="15" thickBot="1">
      <c r="I30" s="136">
        <v>27</v>
      </c>
      <c r="J30" s="206">
        <v>2.1670766600326088</v>
      </c>
      <c r="K30" s="206">
        <v>12.274431931760313</v>
      </c>
      <c r="L30" s="206">
        <v>0.28213162039960415</v>
      </c>
      <c r="M30" s="206">
        <v>1.6150069501605191</v>
      </c>
      <c r="O30" s="136">
        <v>27</v>
      </c>
      <c r="P30" s="206">
        <v>2.1670766600326088</v>
      </c>
      <c r="Q30" s="206">
        <v>12.274431931760313</v>
      </c>
      <c r="R30" s="206">
        <v>0.28213162039960415</v>
      </c>
      <c r="S30" s="206">
        <v>1.6150069501605191</v>
      </c>
      <c r="AC30" s="785">
        <v>37</v>
      </c>
      <c r="AD30" s="1830">
        <v>78.896907430664911</v>
      </c>
      <c r="AE30" s="795">
        <v>29.326341677746328</v>
      </c>
      <c r="AF30" s="798"/>
      <c r="AG30" s="798"/>
      <c r="AH30" s="798"/>
      <c r="AI30" s="794">
        <v>3.2693745352402885</v>
      </c>
      <c r="AL30" s="631">
        <v>37</v>
      </c>
      <c r="AM30" s="795">
        <v>29.326341677746328</v>
      </c>
      <c r="AN30" s="797">
        <v>12.990652915064194</v>
      </c>
      <c r="BA30" s="785">
        <v>32</v>
      </c>
      <c r="BB30" s="1199">
        <v>44.92329856068006</v>
      </c>
      <c r="BC30" s="1199">
        <v>22.450658925968543</v>
      </c>
      <c r="BD30" s="1199">
        <v>33.540394646526998</v>
      </c>
      <c r="BE30" s="1199">
        <v>12.953913910588099</v>
      </c>
      <c r="BF30" s="1199">
        <v>6.4737878179213171</v>
      </c>
      <c r="BG30" s="1199">
        <v>9.6715824237926</v>
      </c>
      <c r="BJ30" s="1134">
        <v>32</v>
      </c>
      <c r="BK30" s="795"/>
      <c r="BL30" s="635"/>
      <c r="BM30" s="1119"/>
      <c r="BN30" s="1119"/>
      <c r="BP30" s="785">
        <v>32</v>
      </c>
      <c r="BQ30" s="1145">
        <f t="shared" si="0"/>
        <v>100.91435213317561</v>
      </c>
      <c r="BR30" s="1145">
        <f t="shared" si="2"/>
        <v>29.099284152302015</v>
      </c>
      <c r="BS30" s="1830"/>
      <c r="BT30" s="786"/>
    </row>
    <row r="31" spans="2:73" ht="15.6" thickTop="1" thickBot="1">
      <c r="I31" s="136">
        <v>28</v>
      </c>
      <c r="J31" s="206">
        <v>0.58006907566884613</v>
      </c>
      <c r="K31" s="206">
        <v>2.9379877318751513</v>
      </c>
      <c r="L31" s="206">
        <v>0.95257982406259023</v>
      </c>
      <c r="M31" s="206">
        <v>4.7369502220816724</v>
      </c>
      <c r="O31" s="136">
        <v>28</v>
      </c>
      <c r="P31" s="206">
        <v>0.58006907566884613</v>
      </c>
      <c r="Q31" s="206">
        <v>2.9379877318751513</v>
      </c>
      <c r="R31" s="206">
        <v>0.95257982406259023</v>
      </c>
      <c r="S31" s="206">
        <v>4.7369502220816724</v>
      </c>
      <c r="AC31" s="792">
        <v>38</v>
      </c>
      <c r="AD31" s="793">
        <v>6.8202956490816211</v>
      </c>
      <c r="AE31" s="1829">
        <v>23.600043182856165</v>
      </c>
      <c r="AL31" s="785">
        <v>38</v>
      </c>
      <c r="AM31" s="1829">
        <v>23.600043182856165</v>
      </c>
      <c r="AN31" s="787">
        <v>11.312908440118816</v>
      </c>
      <c r="BA31" s="785">
        <v>33</v>
      </c>
      <c r="BB31" s="1199">
        <v>19.035296000288159</v>
      </c>
      <c r="BC31" s="1199">
        <v>67.351976777905634</v>
      </c>
      <c r="BD31" s="1199">
        <v>42.041438221972946</v>
      </c>
      <c r="BE31" s="1199">
        <v>6.0113683674814009</v>
      </c>
      <c r="BF31" s="1199">
        <v>21.269831721235892</v>
      </c>
      <c r="BG31" s="1199">
        <v>13.276734538153011</v>
      </c>
      <c r="BJ31" s="1134">
        <v>33</v>
      </c>
      <c r="BK31" s="1829"/>
      <c r="BL31" s="950"/>
      <c r="BM31" s="1119"/>
      <c r="BN31" s="1119"/>
      <c r="BP31" s="631">
        <v>33</v>
      </c>
      <c r="BQ31" s="632">
        <f t="shared" si="0"/>
        <v>128.42871100016674</v>
      </c>
      <c r="BR31" s="1145">
        <f t="shared" si="2"/>
        <v>40.557934626870306</v>
      </c>
      <c r="BS31" s="634"/>
      <c r="BT31" s="633"/>
    </row>
    <row r="32" spans="2:73" ht="15" thickTop="1">
      <c r="I32" s="136">
        <v>29</v>
      </c>
      <c r="J32" s="206">
        <v>0.19870837390262447</v>
      </c>
      <c r="K32" s="206">
        <v>0.92144800774885405</v>
      </c>
      <c r="L32" s="206">
        <v>0</v>
      </c>
      <c r="M32" s="206">
        <v>0</v>
      </c>
      <c r="O32" s="136">
        <v>29</v>
      </c>
      <c r="P32" s="206">
        <v>0.19870837390262447</v>
      </c>
      <c r="Q32" s="206">
        <v>0.92144800774885405</v>
      </c>
      <c r="R32" s="206">
        <v>0</v>
      </c>
      <c r="S32" s="206">
        <v>0</v>
      </c>
      <c r="AC32" s="785">
        <v>39</v>
      </c>
      <c r="AE32" s="1829">
        <v>2.6709390741589858</v>
      </c>
      <c r="AL32" s="785">
        <v>39</v>
      </c>
      <c r="AM32" s="1829">
        <v>2.6709390741589858</v>
      </c>
      <c r="AN32" s="787">
        <v>1.3827209866934858</v>
      </c>
      <c r="BA32" s="785">
        <v>34</v>
      </c>
      <c r="BB32" s="1199">
        <v>6.852706560103738</v>
      </c>
      <c r="BC32" s="1199">
        <v>14.967105950645697</v>
      </c>
      <c r="BD32" s="1199">
        <v>23.431898287043225</v>
      </c>
      <c r="BE32" s="1199">
        <v>2.3637345683207744</v>
      </c>
      <c r="BF32" s="1199">
        <v>5.1626704591777006</v>
      </c>
      <c r="BG32" s="1199">
        <v>8.0824689480971958</v>
      </c>
      <c r="BJ32" s="1134">
        <v>34</v>
      </c>
      <c r="BK32" s="1829"/>
      <c r="BL32" s="950"/>
      <c r="BM32" s="1119"/>
      <c r="BN32" s="1119"/>
      <c r="BP32" s="1147">
        <v>34</v>
      </c>
      <c r="BQ32" s="1145">
        <f t="shared" si="0"/>
        <v>45.251710797792661</v>
      </c>
      <c r="BR32" s="1145">
        <f t="shared" si="2"/>
        <v>15.608873975595671</v>
      </c>
      <c r="BS32" s="1119"/>
      <c r="BT32" s="1119"/>
    </row>
    <row r="33" spans="1:72" ht="15" thickBot="1">
      <c r="I33" s="136">
        <v>30</v>
      </c>
      <c r="J33" s="206">
        <v>0</v>
      </c>
      <c r="K33" s="206">
        <v>0</v>
      </c>
      <c r="L33" s="206">
        <v>0</v>
      </c>
      <c r="M33" s="206">
        <v>0</v>
      </c>
      <c r="O33" s="136">
        <v>30</v>
      </c>
      <c r="P33" s="206">
        <v>0</v>
      </c>
      <c r="Q33" s="206">
        <v>0</v>
      </c>
      <c r="R33" s="206">
        <v>0</v>
      </c>
      <c r="S33" s="206">
        <v>0</v>
      </c>
      <c r="AC33" s="792">
        <v>40</v>
      </c>
      <c r="AE33" s="795">
        <v>6.6638506508968351</v>
      </c>
      <c r="AL33" s="631">
        <v>40</v>
      </c>
      <c r="AM33" s="795">
        <v>6.6638506508968351</v>
      </c>
      <c r="AN33" s="797">
        <v>3.7185156264514285</v>
      </c>
      <c r="BA33" s="785">
        <v>35</v>
      </c>
      <c r="BB33" s="1199">
        <v>0.7614118400115264</v>
      </c>
      <c r="BC33" s="1199">
        <v>37.417764876614235</v>
      </c>
      <c r="BD33" s="1199">
        <v>21.824445503005389</v>
      </c>
      <c r="BE33" s="1199">
        <v>0.28614355672388364</v>
      </c>
      <c r="BF33" s="1199">
        <v>14.06184112699157</v>
      </c>
      <c r="BG33" s="1199">
        <v>8.2017695701474693</v>
      </c>
      <c r="BJ33" s="1134">
        <v>35</v>
      </c>
      <c r="BK33" s="795"/>
      <c r="BL33" s="635"/>
      <c r="BM33" s="1119"/>
      <c r="BN33" s="1119"/>
      <c r="BP33" s="1147">
        <v>35</v>
      </c>
      <c r="BQ33" s="1145">
        <f t="shared" si="0"/>
        <v>60.003622219631154</v>
      </c>
      <c r="BR33" s="1145">
        <f t="shared" si="2"/>
        <v>22.549754253862922</v>
      </c>
      <c r="BS33" s="1119"/>
      <c r="BT33" s="1119"/>
    </row>
    <row r="34" spans="1:72" ht="15" thickTop="1">
      <c r="I34" s="136">
        <v>31</v>
      </c>
      <c r="J34" s="206">
        <v>0</v>
      </c>
      <c r="K34" s="206">
        <v>0</v>
      </c>
      <c r="L34" s="206">
        <v>0</v>
      </c>
      <c r="M34" s="206">
        <v>0</v>
      </c>
      <c r="O34" s="136">
        <v>31</v>
      </c>
      <c r="P34" s="206">
        <v>0</v>
      </c>
      <c r="Q34" s="206">
        <v>0</v>
      </c>
      <c r="R34" s="206">
        <v>0</v>
      </c>
      <c r="S34" s="206">
        <v>0</v>
      </c>
      <c r="AC34" s="785">
        <v>41</v>
      </c>
      <c r="AE34" s="1829">
        <v>0</v>
      </c>
      <c r="AL34" s="785">
        <v>41</v>
      </c>
      <c r="AM34" s="1829">
        <v>0</v>
      </c>
      <c r="AN34" s="787">
        <v>0</v>
      </c>
      <c r="BA34" s="631">
        <v>36</v>
      </c>
      <c r="BB34" s="1199">
        <v>0.7614118400115264</v>
      </c>
      <c r="BC34" s="1199">
        <v>26.342106473136422</v>
      </c>
      <c r="BD34" s="1199">
        <v>13.323401927559445</v>
      </c>
      <c r="BE34" s="1199">
        <v>0.31101225725405213</v>
      </c>
      <c r="BF34" s="1199">
        <v>10.759903595553116</v>
      </c>
      <c r="BG34" s="1199">
        <v>5.4421813400360621</v>
      </c>
      <c r="BJ34" s="1134">
        <v>36</v>
      </c>
      <c r="BK34" s="1829"/>
      <c r="BL34" s="950"/>
      <c r="BM34" s="1119"/>
      <c r="BN34" s="1119"/>
      <c r="BP34" s="1147">
        <v>36</v>
      </c>
      <c r="BQ34" s="1145">
        <f t="shared" si="0"/>
        <v>40.426920240707389</v>
      </c>
      <c r="BR34" s="1145">
        <f t="shared" si="2"/>
        <v>16.51309719284323</v>
      </c>
      <c r="BS34" s="1119"/>
      <c r="BT34" s="1119"/>
    </row>
    <row r="35" spans="1:72" ht="15" thickBot="1">
      <c r="I35" s="136">
        <v>32</v>
      </c>
      <c r="J35" s="205">
        <v>0</v>
      </c>
      <c r="K35" s="205">
        <v>0</v>
      </c>
      <c r="L35" s="205">
        <v>0</v>
      </c>
      <c r="M35" s="205">
        <v>0</v>
      </c>
      <c r="O35" s="136">
        <v>32</v>
      </c>
      <c r="P35" s="205">
        <v>0</v>
      </c>
      <c r="Q35" s="205">
        <v>0</v>
      </c>
      <c r="R35" s="205">
        <v>0</v>
      </c>
      <c r="S35" s="205">
        <v>0</v>
      </c>
      <c r="AC35" s="792">
        <v>42</v>
      </c>
      <c r="AE35" s="799">
        <v>2.6709390741589858</v>
      </c>
      <c r="AL35" s="792">
        <v>42</v>
      </c>
      <c r="AM35" s="799">
        <v>2.6709390741589858</v>
      </c>
      <c r="AN35" s="800">
        <v>1.7223049818637814</v>
      </c>
      <c r="BA35" s="785">
        <v>37</v>
      </c>
      <c r="BB35" s="1199">
        <v>0</v>
      </c>
      <c r="BC35" s="1199">
        <v>22.450658925968543</v>
      </c>
      <c r="BD35" s="1199">
        <v>20.216992718967557</v>
      </c>
      <c r="BE35" s="1199">
        <v>0</v>
      </c>
      <c r="BF35" s="1199">
        <v>9.9449403211126288</v>
      </c>
      <c r="BG35" s="1199">
        <v>8.9554959934801595</v>
      </c>
      <c r="BJ35" s="1134">
        <v>37</v>
      </c>
      <c r="BK35" s="799"/>
      <c r="BL35" s="636"/>
      <c r="BM35" s="1119"/>
      <c r="BN35" s="1119"/>
      <c r="BP35" s="1147">
        <v>37</v>
      </c>
      <c r="BQ35" s="1145">
        <f t="shared" si="0"/>
        <v>42.6676516449361</v>
      </c>
      <c r="BR35" s="1145">
        <f t="shared" si="2"/>
        <v>18.900436314592788</v>
      </c>
      <c r="BS35" s="1119"/>
      <c r="BT35" s="1119"/>
    </row>
    <row r="36" spans="1:72" ht="14.25" customHeight="1" thickTop="1" thickBot="1">
      <c r="I36" s="136">
        <v>33</v>
      </c>
      <c r="J36" s="206">
        <v>0</v>
      </c>
      <c r="K36" s="206">
        <v>0</v>
      </c>
      <c r="L36" s="206">
        <v>0</v>
      </c>
      <c r="M36" s="206">
        <v>0</v>
      </c>
      <c r="O36" s="136">
        <v>33</v>
      </c>
      <c r="P36" s="206">
        <v>0</v>
      </c>
      <c r="Q36" s="206">
        <v>0</v>
      </c>
      <c r="R36" s="206">
        <v>0</v>
      </c>
      <c r="S36" s="206">
        <v>0</v>
      </c>
      <c r="BA36" s="792">
        <v>38</v>
      </c>
      <c r="BB36" s="1199">
        <v>0.7614118400115264</v>
      </c>
      <c r="BC36" s="1199">
        <v>0</v>
      </c>
      <c r="BD36" s="1199">
        <v>1.6074527840378332</v>
      </c>
      <c r="BE36" s="1199">
        <v>0.36499011313378127</v>
      </c>
      <c r="BF36" s="1199">
        <v>0</v>
      </c>
      <c r="BG36" s="1199">
        <v>0.77054800394790124</v>
      </c>
      <c r="BJ36" s="1134">
        <v>38</v>
      </c>
      <c r="BM36" s="1119"/>
      <c r="BN36" s="1119"/>
      <c r="BP36" s="1147">
        <v>38</v>
      </c>
      <c r="BQ36" s="1145">
        <f t="shared" si="0"/>
        <v>2.3688646240493596</v>
      </c>
      <c r="BR36" s="1145">
        <f t="shared" si="2"/>
        <v>1.1355381170816825</v>
      </c>
      <c r="BS36" s="1119"/>
      <c r="BT36" s="1119"/>
    </row>
    <row r="37" spans="1:72" ht="13.5" customHeight="1" thickTop="1">
      <c r="I37" s="136">
        <v>34</v>
      </c>
      <c r="J37" s="205">
        <v>0</v>
      </c>
      <c r="K37" s="205">
        <v>0</v>
      </c>
      <c r="L37" s="205">
        <v>0</v>
      </c>
      <c r="M37" s="205">
        <v>0</v>
      </c>
      <c r="O37" s="136">
        <v>34</v>
      </c>
      <c r="P37" s="205">
        <v>0</v>
      </c>
      <c r="Q37" s="205">
        <v>0</v>
      </c>
      <c r="R37" s="205">
        <v>0</v>
      </c>
      <c r="S37" s="205">
        <v>0</v>
      </c>
      <c r="BA37" s="785">
        <v>39</v>
      </c>
      <c r="BB37" s="1199">
        <v>0</v>
      </c>
      <c r="BC37" s="1199">
        <v>28.086421043186981</v>
      </c>
      <c r="BD37" s="1199">
        <v>0</v>
      </c>
      <c r="BE37" s="1199">
        <v>0</v>
      </c>
      <c r="BF37" s="1199">
        <v>14.540085991947457</v>
      </c>
      <c r="BG37" s="1199">
        <v>0</v>
      </c>
      <c r="BJ37" s="1134">
        <v>39</v>
      </c>
      <c r="BM37" s="1119"/>
      <c r="BN37" s="1119"/>
      <c r="BP37" s="1147">
        <v>39</v>
      </c>
      <c r="BQ37" s="1145">
        <f t="shared" si="0"/>
        <v>28.086421043186981</v>
      </c>
      <c r="BR37" s="1145">
        <f t="shared" si="2"/>
        <v>14.540085991947457</v>
      </c>
      <c r="BS37" s="1119"/>
      <c r="BT37" s="1119"/>
    </row>
    <row r="38" spans="1:72" ht="13.5" customHeight="1" thickBot="1">
      <c r="I38" s="136">
        <v>35</v>
      </c>
      <c r="J38" s="206">
        <v>0</v>
      </c>
      <c r="K38" s="206">
        <v>0</v>
      </c>
      <c r="L38" s="206">
        <v>0</v>
      </c>
      <c r="M38" s="206">
        <v>0</v>
      </c>
      <c r="O38" s="136">
        <v>35</v>
      </c>
      <c r="P38" s="206">
        <v>0</v>
      </c>
      <c r="Q38" s="206">
        <v>0</v>
      </c>
      <c r="R38" s="206">
        <v>0</v>
      </c>
      <c r="S38" s="206">
        <v>0</v>
      </c>
      <c r="BA38" s="792">
        <v>40</v>
      </c>
      <c r="BB38" s="1199">
        <v>0</v>
      </c>
      <c r="BC38" s="1199">
        <v>14.04321052159349</v>
      </c>
      <c r="BD38" s="1199">
        <v>0</v>
      </c>
      <c r="BE38" s="1199">
        <v>0</v>
      </c>
      <c r="BF38" s="1199">
        <v>7.8362947349464749</v>
      </c>
      <c r="BG38" s="1199">
        <v>0</v>
      </c>
      <c r="BJ38" s="1134">
        <v>40</v>
      </c>
      <c r="BM38" s="1119"/>
      <c r="BN38" s="1119"/>
      <c r="BP38" s="1147">
        <v>40</v>
      </c>
      <c r="BQ38" s="1145">
        <f t="shared" si="0"/>
        <v>14.04321052159349</v>
      </c>
      <c r="BR38" s="1145">
        <f t="shared" si="2"/>
        <v>7.8362947349464749</v>
      </c>
      <c r="BS38" s="1119"/>
      <c r="BT38" s="1119"/>
    </row>
    <row r="39" spans="1:72" ht="13.5" customHeight="1" thickTop="1">
      <c r="I39" s="136">
        <v>36</v>
      </c>
      <c r="J39" s="205">
        <v>0</v>
      </c>
      <c r="K39" s="205">
        <v>0</v>
      </c>
      <c r="L39" s="205">
        <v>0</v>
      </c>
      <c r="M39" s="205">
        <v>0</v>
      </c>
      <c r="O39" s="136">
        <v>36</v>
      </c>
      <c r="P39" s="205">
        <v>0</v>
      </c>
      <c r="Q39" s="205">
        <v>0</v>
      </c>
      <c r="R39" s="205">
        <v>0</v>
      </c>
      <c r="S39" s="205">
        <v>0</v>
      </c>
      <c r="BA39" s="785">
        <v>41</v>
      </c>
      <c r="BC39" s="1199">
        <v>11.375000522490728</v>
      </c>
      <c r="BD39" s="1199">
        <v>0</v>
      </c>
      <c r="BF39" s="1199">
        <v>6.8292812949410759</v>
      </c>
      <c r="BG39" s="1199">
        <v>0</v>
      </c>
      <c r="BJ39" s="1134">
        <v>41</v>
      </c>
      <c r="BM39" s="1119"/>
      <c r="BN39" s="1119"/>
      <c r="BP39" s="1147">
        <v>41</v>
      </c>
      <c r="BQ39" s="1145">
        <f t="shared" si="0"/>
        <v>11.375000522490728</v>
      </c>
      <c r="BR39" s="1145">
        <f t="shared" si="2"/>
        <v>6.8292812949410759</v>
      </c>
      <c r="BS39" s="1119"/>
      <c r="BT39" s="1119"/>
    </row>
    <row r="40" spans="1:72" ht="13.5" customHeight="1" thickBot="1">
      <c r="I40" s="136">
        <v>37</v>
      </c>
      <c r="J40" s="206">
        <v>0</v>
      </c>
      <c r="K40" s="206">
        <v>0</v>
      </c>
      <c r="L40" s="206">
        <v>0</v>
      </c>
      <c r="M40" s="206">
        <v>0</v>
      </c>
      <c r="O40" s="136">
        <v>37</v>
      </c>
      <c r="P40" s="206">
        <v>0</v>
      </c>
      <c r="Q40" s="206">
        <v>0</v>
      </c>
      <c r="R40" s="206">
        <v>0</v>
      </c>
      <c r="S40" s="206">
        <v>0</v>
      </c>
      <c r="BA40" s="792">
        <v>42</v>
      </c>
      <c r="BC40" s="1199">
        <v>14.04321052159349</v>
      </c>
      <c r="BD40" s="1199">
        <v>0</v>
      </c>
      <c r="BF40" s="1199">
        <v>9.0555009946522826</v>
      </c>
      <c r="BG40" s="1199">
        <v>0</v>
      </c>
      <c r="BJ40" s="1134">
        <v>42</v>
      </c>
      <c r="BM40" s="1119"/>
      <c r="BN40" s="1119"/>
      <c r="BP40" s="1147">
        <v>42</v>
      </c>
      <c r="BQ40" s="1145">
        <f t="shared" si="0"/>
        <v>14.04321052159349</v>
      </c>
      <c r="BR40" s="1145">
        <f t="shared" si="2"/>
        <v>9.0555009946522826</v>
      </c>
      <c r="BS40" s="1119"/>
      <c r="BT40" s="1119"/>
    </row>
    <row r="41" spans="1:72" ht="13.8" thickTop="1">
      <c r="I41" s="136">
        <v>38</v>
      </c>
      <c r="J41" s="205">
        <v>0</v>
      </c>
      <c r="K41" s="205">
        <v>0</v>
      </c>
      <c r="L41" s="205">
        <v>0</v>
      </c>
      <c r="M41" s="205">
        <v>0</v>
      </c>
      <c r="O41" s="136">
        <v>38</v>
      </c>
      <c r="P41" s="205">
        <v>0</v>
      </c>
      <c r="Q41" s="205">
        <v>0</v>
      </c>
      <c r="R41" s="205">
        <v>0</v>
      </c>
      <c r="S41" s="205">
        <v>0</v>
      </c>
      <c r="BC41" s="1199">
        <v>0</v>
      </c>
      <c r="BD41" s="1199">
        <v>0</v>
      </c>
      <c r="BF41" s="1199">
        <v>0</v>
      </c>
      <c r="BG41" s="1199">
        <v>0</v>
      </c>
      <c r="BJ41" s="1134">
        <v>43</v>
      </c>
      <c r="BM41" s="1119"/>
      <c r="BN41" s="1119"/>
      <c r="BP41" s="1147">
        <v>43</v>
      </c>
      <c r="BQ41" s="1145">
        <f t="shared" si="0"/>
        <v>0</v>
      </c>
      <c r="BR41" s="1145">
        <f t="shared" si="2"/>
        <v>0</v>
      </c>
      <c r="BS41" s="1119"/>
      <c r="BT41" s="1119"/>
    </row>
    <row r="42" spans="1:72">
      <c r="I42" s="136">
        <v>39</v>
      </c>
      <c r="J42" s="205">
        <v>0</v>
      </c>
      <c r="K42" s="205">
        <v>0</v>
      </c>
      <c r="L42" s="205">
        <v>0</v>
      </c>
      <c r="M42" s="205">
        <v>0</v>
      </c>
      <c r="O42" s="136">
        <v>39</v>
      </c>
      <c r="P42" s="205">
        <v>0</v>
      </c>
      <c r="Q42" s="205">
        <v>0</v>
      </c>
      <c r="R42" s="205">
        <v>0</v>
      </c>
      <c r="S42" s="205">
        <v>0</v>
      </c>
      <c r="BC42" s="1199">
        <v>0</v>
      </c>
      <c r="BD42" s="1199">
        <v>0</v>
      </c>
      <c r="BF42" s="1199">
        <v>0</v>
      </c>
      <c r="BG42" s="1199">
        <v>0</v>
      </c>
      <c r="BJ42" s="1134">
        <v>44</v>
      </c>
      <c r="BM42" s="1119"/>
      <c r="BN42" s="1119"/>
      <c r="BP42" s="1147">
        <v>44</v>
      </c>
      <c r="BQ42" s="1145">
        <f t="shared" si="0"/>
        <v>0</v>
      </c>
      <c r="BR42" s="1145">
        <f t="shared" si="2"/>
        <v>0</v>
      </c>
      <c r="BS42" s="1119"/>
      <c r="BT42" s="1119"/>
    </row>
    <row r="43" spans="1:72">
      <c r="A43" s="2"/>
      <c r="I43" s="136">
        <v>40</v>
      </c>
      <c r="J43" s="205">
        <v>0</v>
      </c>
      <c r="K43" s="205">
        <v>0</v>
      </c>
      <c r="L43" s="205">
        <v>0</v>
      </c>
      <c r="M43" s="205">
        <v>0</v>
      </c>
      <c r="O43" s="136">
        <v>40</v>
      </c>
      <c r="P43" s="205">
        <v>0</v>
      </c>
      <c r="Q43" s="205">
        <v>0</v>
      </c>
      <c r="R43" s="205">
        <v>0</v>
      </c>
      <c r="S43" s="205">
        <v>0</v>
      </c>
      <c r="BC43" s="1199">
        <v>0</v>
      </c>
      <c r="BD43" s="1199">
        <v>0</v>
      </c>
      <c r="BF43" s="1199">
        <v>0</v>
      </c>
      <c r="BG43" s="1199">
        <v>0</v>
      </c>
      <c r="BJ43" s="1134">
        <v>45</v>
      </c>
      <c r="BM43" s="1119"/>
      <c r="BN43" s="1119"/>
      <c r="BP43" s="1147">
        <v>45</v>
      </c>
      <c r="BQ43" s="1145">
        <f t="shared" si="0"/>
        <v>0</v>
      </c>
      <c r="BR43" s="1145">
        <f t="shared" si="2"/>
        <v>0</v>
      </c>
      <c r="BS43" s="1119"/>
      <c r="BT43" s="1119"/>
    </row>
    <row r="44" spans="1:72">
      <c r="B44" s="6"/>
      <c r="C44" s="2"/>
      <c r="I44" s="136">
        <v>41</v>
      </c>
      <c r="J44" s="205">
        <v>0</v>
      </c>
      <c r="K44" s="205">
        <v>0</v>
      </c>
      <c r="L44" s="205">
        <v>0</v>
      </c>
      <c r="M44" s="205">
        <v>0</v>
      </c>
      <c r="O44" s="136">
        <v>41</v>
      </c>
      <c r="P44" s="205">
        <v>0</v>
      </c>
      <c r="Q44" s="205">
        <v>0</v>
      </c>
      <c r="R44" s="205">
        <v>0</v>
      </c>
      <c r="S44" s="205">
        <v>0</v>
      </c>
      <c r="BJ44" s="1134">
        <v>46</v>
      </c>
      <c r="BM44" s="1119"/>
      <c r="BN44" s="1119"/>
      <c r="BP44" s="1119"/>
      <c r="BQ44" s="1145">
        <f t="shared" si="0"/>
        <v>0</v>
      </c>
      <c r="BR44" s="1145">
        <f t="shared" si="2"/>
        <v>0</v>
      </c>
      <c r="BS44" s="1119"/>
      <c r="BT44" s="1119"/>
    </row>
    <row r="45" spans="1:72">
      <c r="B45" s="13"/>
      <c r="I45" s="136">
        <v>42</v>
      </c>
      <c r="J45" s="205"/>
      <c r="K45" s="205">
        <v>0</v>
      </c>
      <c r="L45" s="205">
        <v>0</v>
      </c>
      <c r="M45" s="205">
        <v>0</v>
      </c>
      <c r="O45" s="136">
        <v>42</v>
      </c>
      <c r="P45" s="205"/>
      <c r="Q45" s="205">
        <v>0</v>
      </c>
      <c r="R45" s="205">
        <v>0</v>
      </c>
      <c r="S45" s="205">
        <v>0</v>
      </c>
      <c r="BJ45" s="1134">
        <v>47</v>
      </c>
      <c r="BM45" s="1119"/>
      <c r="BN45" s="1119"/>
      <c r="BP45" s="1119"/>
      <c r="BQ45" s="1145">
        <f t="shared" si="0"/>
        <v>0</v>
      </c>
      <c r="BR45" s="1145">
        <f t="shared" si="2"/>
        <v>0</v>
      </c>
      <c r="BS45" s="1119"/>
      <c r="BT45" s="1119"/>
    </row>
    <row r="46" spans="1:72">
      <c r="B46" s="13"/>
      <c r="I46" s="136">
        <v>43</v>
      </c>
      <c r="J46" s="205"/>
      <c r="K46" s="205"/>
      <c r="L46" s="205">
        <v>0</v>
      </c>
      <c r="M46" s="205">
        <v>0</v>
      </c>
      <c r="O46" s="136">
        <v>43</v>
      </c>
      <c r="P46" s="205"/>
      <c r="Q46" s="205"/>
      <c r="R46" s="205">
        <v>0</v>
      </c>
      <c r="S46" s="205">
        <v>0</v>
      </c>
      <c r="BJ46" s="1134">
        <v>48</v>
      </c>
      <c r="BM46" s="1119"/>
      <c r="BN46" s="1119"/>
      <c r="BP46" s="1119"/>
      <c r="BQ46" s="1145">
        <f t="shared" si="0"/>
        <v>0</v>
      </c>
      <c r="BR46" s="1145">
        <f t="shared" si="2"/>
        <v>0</v>
      </c>
      <c r="BS46" s="1119"/>
      <c r="BT46" s="1119"/>
    </row>
    <row r="47" spans="1:72">
      <c r="I47" s="136">
        <v>44</v>
      </c>
      <c r="J47" s="205"/>
      <c r="K47" s="205"/>
      <c r="L47" s="205">
        <v>0</v>
      </c>
      <c r="M47" s="205">
        <v>0</v>
      </c>
      <c r="O47" s="136">
        <v>44</v>
      </c>
      <c r="P47" s="205"/>
      <c r="Q47" s="205"/>
      <c r="R47" s="205">
        <v>0</v>
      </c>
      <c r="S47" s="205">
        <v>0</v>
      </c>
      <c r="BJ47" s="1134">
        <v>49</v>
      </c>
      <c r="BP47" s="1119"/>
      <c r="BQ47" s="1145">
        <f t="shared" si="0"/>
        <v>0</v>
      </c>
      <c r="BR47" s="1145">
        <f t="shared" si="2"/>
        <v>0</v>
      </c>
      <c r="BS47" s="1119"/>
      <c r="BT47" s="1119"/>
    </row>
    <row r="48" spans="1:72">
      <c r="I48" s="136">
        <v>45</v>
      </c>
      <c r="J48" s="205"/>
      <c r="K48" s="205"/>
      <c r="L48" s="205">
        <v>0</v>
      </c>
      <c r="M48" s="205">
        <v>0</v>
      </c>
      <c r="O48" s="136">
        <v>45</v>
      </c>
      <c r="P48" s="205"/>
      <c r="Q48" s="205"/>
      <c r="R48" s="205">
        <v>0</v>
      </c>
      <c r="S48" s="205">
        <v>0</v>
      </c>
      <c r="BJ48" s="1134">
        <v>50</v>
      </c>
    </row>
    <row r="49" spans="9:28">
      <c r="I49" s="136">
        <v>46</v>
      </c>
      <c r="J49" s="205"/>
      <c r="K49" s="207"/>
      <c r="L49" s="205"/>
      <c r="M49" s="207">
        <v>0</v>
      </c>
      <c r="O49" s="136">
        <v>46</v>
      </c>
      <c r="P49" s="205"/>
      <c r="Q49" s="207"/>
      <c r="R49" s="205"/>
      <c r="S49" s="207">
        <v>0</v>
      </c>
    </row>
    <row r="50" spans="9:28">
      <c r="I50" s="136">
        <v>47</v>
      </c>
      <c r="J50" s="205"/>
      <c r="K50" s="208"/>
      <c r="L50" s="205"/>
      <c r="M50" s="208">
        <v>0</v>
      </c>
      <c r="O50" s="136">
        <v>47</v>
      </c>
      <c r="P50" s="205"/>
      <c r="Q50" s="208"/>
      <c r="R50" s="205"/>
      <c r="S50" s="208">
        <v>0</v>
      </c>
    </row>
    <row r="51" spans="9:28">
      <c r="I51" s="136">
        <v>48</v>
      </c>
      <c r="J51" s="205"/>
      <c r="K51" s="208"/>
      <c r="L51" s="205"/>
      <c r="M51" s="208"/>
      <c r="O51" s="136">
        <v>48</v>
      </c>
      <c r="P51" s="205"/>
      <c r="Q51" s="208"/>
      <c r="R51" s="205"/>
      <c r="S51" s="208"/>
    </row>
    <row r="52" spans="9:28">
      <c r="I52" s="136">
        <v>49</v>
      </c>
      <c r="J52" s="207"/>
      <c r="K52" s="208"/>
      <c r="L52" s="207"/>
      <c r="M52" s="208"/>
      <c r="O52" s="136">
        <v>49</v>
      </c>
      <c r="P52" s="207"/>
      <c r="Q52" s="208"/>
      <c r="R52" s="207"/>
      <c r="S52" s="208"/>
    </row>
    <row r="53" spans="9:28">
      <c r="I53" s="136">
        <v>50</v>
      </c>
      <c r="J53" s="208"/>
      <c r="K53" s="208"/>
      <c r="L53" s="208"/>
      <c r="M53" s="208"/>
      <c r="O53" s="136">
        <v>50</v>
      </c>
      <c r="P53" s="208"/>
      <c r="Q53" s="208"/>
      <c r="R53" s="208"/>
      <c r="S53" s="208"/>
    </row>
    <row r="54" spans="9:28">
      <c r="I54" s="1832" t="s">
        <v>157</v>
      </c>
      <c r="J54" s="1833">
        <f>SUM(J8:J53)</f>
        <v>26.255698339133573</v>
      </c>
      <c r="K54" s="1833">
        <f>SUM(K8:K53)</f>
        <v>237.09433585868922</v>
      </c>
      <c r="L54" s="1833">
        <f>SUM(L8:L53)</f>
        <v>85.348101514184819</v>
      </c>
      <c r="M54" s="1833">
        <f>SUM(M8:M53)</f>
        <v>1146.0350654858021</v>
      </c>
      <c r="O54" s="1832" t="s">
        <v>157</v>
      </c>
      <c r="P54" s="1833">
        <f>SUM(P8:P53)</f>
        <v>26.255698339133573</v>
      </c>
      <c r="Q54" s="1833">
        <f>SUM(Q8:Q53)</f>
        <v>237.09433585868922</v>
      </c>
      <c r="R54" s="1833">
        <f>SUM(R8:R53)</f>
        <v>85.348101514184819</v>
      </c>
      <c r="S54" s="1833">
        <f>SUM(S8:S53)</f>
        <v>1146.0350654858021</v>
      </c>
    </row>
    <row r="60" spans="9:28">
      <c r="T60" s="2099">
        <v>2014</v>
      </c>
      <c r="U60" s="2099"/>
      <c r="V60" s="2099"/>
      <c r="W60" s="2099"/>
      <c r="X60" s="2099"/>
      <c r="Y60" s="2099"/>
      <c r="Z60" s="2099"/>
      <c r="AA60" s="2099"/>
      <c r="AB60" s="2099"/>
    </row>
    <row r="62" spans="9:28" ht="13.8" thickBot="1">
      <c r="T62" s="139" t="s">
        <v>525</v>
      </c>
      <c r="Z62" s="6" t="s">
        <v>526</v>
      </c>
    </row>
    <row r="63" spans="9:28" ht="13.8" thickBot="1">
      <c r="T63" s="355"/>
      <c r="U63" s="2100" t="s">
        <v>161</v>
      </c>
      <c r="V63" s="2101"/>
      <c r="W63" s="2100" t="s">
        <v>77</v>
      </c>
      <c r="X63" s="2101"/>
      <c r="AA63" s="1" t="s">
        <v>147</v>
      </c>
    </row>
    <row r="64" spans="9:28" ht="13.8" thickBot="1">
      <c r="T64" s="201" t="s">
        <v>527</v>
      </c>
      <c r="U64" s="209" t="s">
        <v>524</v>
      </c>
      <c r="V64" s="209" t="s">
        <v>523</v>
      </c>
      <c r="W64" s="209" t="s">
        <v>524</v>
      </c>
      <c r="X64" s="209" t="s">
        <v>523</v>
      </c>
      <c r="Z64" s="201" t="s">
        <v>527</v>
      </c>
      <c r="AA64" s="209" t="s">
        <v>524</v>
      </c>
      <c r="AB64" s="209" t="s">
        <v>523</v>
      </c>
    </row>
    <row r="65" spans="2:28" ht="14.4">
      <c r="T65" s="197">
        <v>5</v>
      </c>
      <c r="U65" s="200"/>
      <c r="V65" s="198"/>
      <c r="W65" s="202"/>
      <c r="X65" s="199"/>
      <c r="Z65" s="197">
        <v>5</v>
      </c>
      <c r="AA65" s="203">
        <v>0</v>
      </c>
      <c r="AB65" s="214">
        <v>0</v>
      </c>
    </row>
    <row r="66" spans="2:28" ht="14.4">
      <c r="T66" s="197">
        <v>6</v>
      </c>
      <c r="U66" s="200"/>
      <c r="V66" s="198"/>
      <c r="W66" s="202"/>
      <c r="X66" s="200"/>
      <c r="Z66" s="197">
        <v>6</v>
      </c>
      <c r="AA66" s="203">
        <v>0</v>
      </c>
      <c r="AB66" s="215">
        <v>0</v>
      </c>
    </row>
    <row r="67" spans="2:28" ht="14.4">
      <c r="T67" s="197">
        <v>7</v>
      </c>
      <c r="U67" s="200"/>
      <c r="V67" s="198"/>
      <c r="W67" s="202"/>
      <c r="X67" s="200"/>
      <c r="Z67" s="197">
        <v>7</v>
      </c>
      <c r="AA67" s="203">
        <v>0</v>
      </c>
      <c r="AB67" s="215">
        <v>0</v>
      </c>
    </row>
    <row r="68" spans="2:28" ht="14.4">
      <c r="T68" s="197">
        <v>8</v>
      </c>
      <c r="U68" s="200"/>
      <c r="V68" s="198"/>
      <c r="W68" s="202"/>
      <c r="X68" s="200"/>
      <c r="Z68" s="197">
        <v>8</v>
      </c>
      <c r="AA68" s="203">
        <v>0</v>
      </c>
      <c r="AB68" s="215">
        <v>0</v>
      </c>
    </row>
    <row r="69" spans="2:28" ht="14.4">
      <c r="B69" s="6" t="s">
        <v>528</v>
      </c>
      <c r="T69" s="197">
        <v>9</v>
      </c>
      <c r="U69" s="200"/>
      <c r="V69" s="198"/>
      <c r="W69" s="202"/>
      <c r="X69" s="200"/>
      <c r="Z69" s="197">
        <v>9</v>
      </c>
      <c r="AA69" s="203">
        <v>0</v>
      </c>
      <c r="AB69" s="215">
        <v>0</v>
      </c>
    </row>
    <row r="70" spans="2:28" ht="14.4">
      <c r="B70" s="1" t="s">
        <v>529</v>
      </c>
      <c r="T70" s="197">
        <v>10</v>
      </c>
      <c r="U70" s="200"/>
      <c r="V70" s="198"/>
      <c r="W70" s="202"/>
      <c r="X70" s="200"/>
      <c r="Z70" s="197">
        <v>10</v>
      </c>
      <c r="AA70" s="203">
        <v>0</v>
      </c>
      <c r="AB70" s="215">
        <v>0</v>
      </c>
    </row>
    <row r="71" spans="2:28" ht="14.4">
      <c r="T71" s="197">
        <v>11</v>
      </c>
      <c r="U71" s="200"/>
      <c r="V71" s="198"/>
      <c r="W71" s="202"/>
      <c r="X71" s="200"/>
      <c r="Z71" s="197">
        <v>11</v>
      </c>
      <c r="AA71" s="203">
        <v>0</v>
      </c>
      <c r="AB71" s="215">
        <v>0</v>
      </c>
    </row>
    <row r="72" spans="2:28" ht="14.4">
      <c r="T72" s="197">
        <v>12</v>
      </c>
      <c r="U72" s="200"/>
      <c r="V72" s="198"/>
      <c r="W72" s="202">
        <v>0</v>
      </c>
      <c r="X72" s="200">
        <v>0</v>
      </c>
      <c r="Z72" s="197">
        <v>12</v>
      </c>
      <c r="AA72" s="203">
        <v>0</v>
      </c>
      <c r="AB72" s="215">
        <v>0</v>
      </c>
    </row>
    <row r="73" spans="2:28" ht="14.4">
      <c r="T73" s="197">
        <v>13</v>
      </c>
      <c r="U73" s="200"/>
      <c r="V73" s="198"/>
      <c r="W73" s="202">
        <v>1</v>
      </c>
      <c r="X73" s="200">
        <v>0</v>
      </c>
      <c r="Z73" s="197">
        <v>13</v>
      </c>
      <c r="AA73" s="203">
        <v>0</v>
      </c>
      <c r="AB73" s="215">
        <v>0</v>
      </c>
    </row>
    <row r="74" spans="2:28" ht="14.4">
      <c r="T74" s="197">
        <v>14</v>
      </c>
      <c r="U74" s="200"/>
      <c r="V74" s="198"/>
      <c r="W74" s="202">
        <v>11</v>
      </c>
      <c r="X74" s="200">
        <v>0.3</v>
      </c>
      <c r="Z74" s="197">
        <v>14</v>
      </c>
      <c r="AA74" s="203">
        <v>22.131551464112309</v>
      </c>
      <c r="AB74" s="215">
        <v>0.84227292284142474</v>
      </c>
    </row>
    <row r="75" spans="2:28" ht="14.4">
      <c r="T75" s="197">
        <v>15</v>
      </c>
      <c r="U75" s="200"/>
      <c r="V75" s="198"/>
      <c r="W75" s="202">
        <v>45</v>
      </c>
      <c r="X75" s="200">
        <v>1.4</v>
      </c>
      <c r="Z75" s="197">
        <v>15</v>
      </c>
      <c r="AA75" s="203">
        <v>92.942496818639157</v>
      </c>
      <c r="AB75" s="215">
        <v>4.0063386885637655</v>
      </c>
    </row>
    <row r="76" spans="2:28" ht="14.4">
      <c r="T76" s="197">
        <v>16</v>
      </c>
      <c r="U76" s="200"/>
      <c r="V76" s="198"/>
      <c r="W76" s="202">
        <v>44</v>
      </c>
      <c r="X76" s="200">
        <v>1.7</v>
      </c>
      <c r="Z76" s="197">
        <v>16</v>
      </c>
      <c r="AA76" s="203">
        <v>134.87754226208116</v>
      </c>
      <c r="AB76" s="215">
        <v>6.5919461121020255</v>
      </c>
    </row>
    <row r="77" spans="2:28" ht="14.4">
      <c r="T77" s="197">
        <v>17</v>
      </c>
      <c r="U77" s="200"/>
      <c r="V77" s="198"/>
      <c r="W77" s="202">
        <v>71</v>
      </c>
      <c r="X77" s="200">
        <v>3.2</v>
      </c>
      <c r="Z77" s="197">
        <v>17</v>
      </c>
      <c r="AA77" s="203">
        <v>648.69442965525127</v>
      </c>
      <c r="AB77" s="215">
        <v>35.943875122977225</v>
      </c>
    </row>
    <row r="78" spans="2:28" ht="14.4">
      <c r="T78" s="197">
        <v>18</v>
      </c>
      <c r="U78" s="200"/>
      <c r="V78" s="198"/>
      <c r="W78" s="202">
        <v>226</v>
      </c>
      <c r="X78" s="200">
        <v>12</v>
      </c>
      <c r="Z78" s="197">
        <v>18</v>
      </c>
      <c r="AA78" s="203">
        <v>658.2640797466396</v>
      </c>
      <c r="AB78" s="215">
        <v>41.313682770666681</v>
      </c>
    </row>
    <row r="79" spans="2:28" ht="14.4">
      <c r="T79" s="197">
        <v>19</v>
      </c>
      <c r="U79" s="200"/>
      <c r="V79" s="198"/>
      <c r="W79" s="202">
        <v>168</v>
      </c>
      <c r="X79" s="200">
        <v>10.5</v>
      </c>
      <c r="Z79" s="197">
        <v>19</v>
      </c>
      <c r="AA79" s="203">
        <v>413.43428205211274</v>
      </c>
      <c r="AB79" s="215">
        <v>29.344557963389953</v>
      </c>
    </row>
    <row r="80" spans="2:28" ht="14.4">
      <c r="T80" s="197">
        <v>20</v>
      </c>
      <c r="U80" s="200"/>
      <c r="V80" s="198"/>
      <c r="W80" s="202">
        <v>201</v>
      </c>
      <c r="X80" s="200">
        <v>14.6</v>
      </c>
      <c r="Z80" s="197">
        <v>20</v>
      </c>
      <c r="AA80" s="203">
        <v>306.43539970924502</v>
      </c>
      <c r="AB80" s="215">
        <v>24.547180337413998</v>
      </c>
    </row>
    <row r="81" spans="20:28" ht="14.4">
      <c r="T81" s="197">
        <v>21</v>
      </c>
      <c r="U81" s="200"/>
      <c r="V81" s="198"/>
      <c r="W81" s="202">
        <v>451</v>
      </c>
      <c r="X81" s="200">
        <v>37.799999999999997</v>
      </c>
      <c r="Z81" s="197">
        <v>21</v>
      </c>
      <c r="AA81" s="203">
        <v>202.30452528905039</v>
      </c>
      <c r="AB81" s="215">
        <v>18.246566026444981</v>
      </c>
    </row>
    <row r="82" spans="20:28" ht="14.4">
      <c r="T82" s="197">
        <v>22</v>
      </c>
      <c r="U82" s="200"/>
      <c r="V82" s="198"/>
      <c r="W82" s="202">
        <v>284</v>
      </c>
      <c r="X82" s="200">
        <v>27.4</v>
      </c>
      <c r="Z82" s="197">
        <v>22</v>
      </c>
      <c r="AA82" s="203">
        <v>127.51134531274967</v>
      </c>
      <c r="AB82" s="215">
        <v>12.91556849444313</v>
      </c>
    </row>
    <row r="83" spans="20:28" ht="14.4">
      <c r="T83" s="197">
        <v>23</v>
      </c>
      <c r="U83" s="200">
        <v>1</v>
      </c>
      <c r="V83" s="198">
        <v>0.1</v>
      </c>
      <c r="W83" s="202">
        <v>86</v>
      </c>
      <c r="X83" s="200">
        <v>9.6</v>
      </c>
      <c r="Z83" s="197">
        <v>23</v>
      </c>
      <c r="AA83" s="203">
        <v>82.045579296005499</v>
      </c>
      <c r="AB83" s="215">
        <v>9.307378784862248</v>
      </c>
    </row>
    <row r="84" spans="20:28" ht="14.4">
      <c r="T84" s="197">
        <v>24</v>
      </c>
      <c r="U84" s="200">
        <v>9</v>
      </c>
      <c r="V84" s="198">
        <v>1.3</v>
      </c>
      <c r="W84" s="202">
        <v>42</v>
      </c>
      <c r="X84" s="200">
        <v>5.2</v>
      </c>
      <c r="Z84" s="197">
        <v>24</v>
      </c>
      <c r="AA84" s="203">
        <v>42.416911133626698</v>
      </c>
      <c r="AB84" s="215">
        <v>5.3741192873080941</v>
      </c>
    </row>
    <row r="85" spans="20:28" ht="14.4">
      <c r="T85" s="197">
        <v>25</v>
      </c>
      <c r="U85" s="200">
        <v>19</v>
      </c>
      <c r="V85" s="198">
        <v>3.1</v>
      </c>
      <c r="W85" s="202">
        <v>30</v>
      </c>
      <c r="X85" s="200">
        <v>4.2</v>
      </c>
      <c r="Z85" s="197">
        <v>25</v>
      </c>
      <c r="AA85" s="203">
        <v>38.01099626718743</v>
      </c>
      <c r="AB85" s="215">
        <v>5.3635630434287851</v>
      </c>
    </row>
    <row r="86" spans="20:28" ht="14.4">
      <c r="T86" s="197">
        <v>26</v>
      </c>
      <c r="U86" s="200">
        <v>51</v>
      </c>
      <c r="V86" s="198">
        <v>9.1999999999999993</v>
      </c>
      <c r="W86" s="202">
        <v>13</v>
      </c>
      <c r="X86" s="200">
        <v>2</v>
      </c>
      <c r="Z86" s="197">
        <v>26</v>
      </c>
      <c r="AA86" s="203">
        <v>30.625503306558635</v>
      </c>
      <c r="AB86" s="215">
        <v>4.7994317538894764</v>
      </c>
    </row>
    <row r="87" spans="20:28" ht="14.4">
      <c r="T87" s="197">
        <v>27</v>
      </c>
      <c r="U87" s="200">
        <v>92</v>
      </c>
      <c r="V87" s="198">
        <v>18.600000000000001</v>
      </c>
      <c r="W87" s="202">
        <v>11</v>
      </c>
      <c r="X87" s="200">
        <v>2</v>
      </c>
      <c r="Z87" s="197">
        <v>27</v>
      </c>
      <c r="AA87" s="203">
        <v>37.867146935606939</v>
      </c>
      <c r="AB87" s="215">
        <v>6.5725841605698889</v>
      </c>
    </row>
    <row r="88" spans="20:28" ht="14.4">
      <c r="T88" s="197">
        <v>28</v>
      </c>
      <c r="U88" s="200">
        <v>99</v>
      </c>
      <c r="V88" s="198">
        <v>22.2</v>
      </c>
      <c r="W88" s="202">
        <v>15</v>
      </c>
      <c r="X88" s="200">
        <v>2.9</v>
      </c>
      <c r="Z88" s="197">
        <v>28</v>
      </c>
      <c r="AA88" s="203">
        <v>80.663066322897322</v>
      </c>
      <c r="AB88" s="215">
        <v>15.464849183537497</v>
      </c>
    </row>
    <row r="89" spans="20:28" ht="14.4">
      <c r="T89" s="197">
        <v>29</v>
      </c>
      <c r="U89" s="200">
        <v>63</v>
      </c>
      <c r="V89" s="198">
        <v>15.7</v>
      </c>
      <c r="W89" s="202">
        <v>6</v>
      </c>
      <c r="X89" s="200">
        <v>1.4</v>
      </c>
      <c r="Z89" s="197">
        <v>29</v>
      </c>
      <c r="AA89" s="203">
        <v>91.484761195650037</v>
      </c>
      <c r="AB89" s="215">
        <v>19.323188347379201</v>
      </c>
    </row>
    <row r="90" spans="20:28" ht="14.4">
      <c r="T90" s="197">
        <v>30</v>
      </c>
      <c r="U90" s="200">
        <v>12</v>
      </c>
      <c r="V90" s="198">
        <v>3.4</v>
      </c>
      <c r="W90" s="202"/>
      <c r="X90" s="200"/>
      <c r="Z90" s="197">
        <v>30</v>
      </c>
      <c r="AA90" s="203">
        <v>83.314013771326771</v>
      </c>
      <c r="AB90" s="215">
        <v>19.337646104965597</v>
      </c>
    </row>
    <row r="91" spans="20:28" ht="14.4">
      <c r="T91" s="197">
        <v>31</v>
      </c>
      <c r="U91" s="200">
        <v>1</v>
      </c>
      <c r="V91" s="198">
        <v>0.3</v>
      </c>
      <c r="W91" s="202"/>
      <c r="X91" s="200"/>
      <c r="Z91" s="197">
        <v>31</v>
      </c>
      <c r="AA91" s="203">
        <v>80.768596830577508</v>
      </c>
      <c r="AB91" s="215">
        <v>20.550241901894829</v>
      </c>
    </row>
    <row r="92" spans="20:28" ht="14.4">
      <c r="T92" s="197">
        <v>32</v>
      </c>
      <c r="U92" s="200">
        <v>1</v>
      </c>
      <c r="V92" s="198">
        <v>0.4</v>
      </c>
      <c r="W92" s="202"/>
      <c r="X92" s="200"/>
      <c r="Z92" s="197">
        <v>32</v>
      </c>
      <c r="AA92" s="203">
        <v>91.027425355702192</v>
      </c>
      <c r="AB92" s="215">
        <v>25.328341362056335</v>
      </c>
    </row>
    <row r="93" spans="20:28" ht="14.4">
      <c r="T93" s="197">
        <v>33</v>
      </c>
      <c r="U93" s="200">
        <v>6</v>
      </c>
      <c r="V93" s="198">
        <v>2.2000000000000002</v>
      </c>
      <c r="W93" s="202"/>
      <c r="X93" s="200"/>
      <c r="Z93" s="197">
        <v>33</v>
      </c>
      <c r="AA93" s="203">
        <v>144.48479516203611</v>
      </c>
      <c r="AB93" s="215">
        <v>43.865809697780257</v>
      </c>
    </row>
    <row r="94" spans="20:28" ht="14.4">
      <c r="T94" s="197">
        <v>34</v>
      </c>
      <c r="U94" s="200"/>
      <c r="V94" s="198"/>
      <c r="W94" s="202"/>
      <c r="X94" s="200"/>
      <c r="Z94" s="197">
        <v>34</v>
      </c>
      <c r="AA94" s="203">
        <v>166.65220952657089</v>
      </c>
      <c r="AB94" s="215">
        <v>55.084815271051717</v>
      </c>
    </row>
    <row r="95" spans="20:28" ht="14.4">
      <c r="T95" s="197">
        <v>35</v>
      </c>
      <c r="U95" s="200"/>
      <c r="V95" s="198"/>
      <c r="W95" s="202"/>
      <c r="X95" s="200"/>
      <c r="Z95" s="197">
        <v>35</v>
      </c>
      <c r="AA95" s="203">
        <v>121.35179502438487</v>
      </c>
      <c r="AB95" s="215">
        <v>43.578104721041313</v>
      </c>
    </row>
    <row r="96" spans="20:28" ht="14.4">
      <c r="T96" s="197">
        <v>36</v>
      </c>
      <c r="U96" s="200"/>
      <c r="V96" s="198"/>
      <c r="W96" s="202"/>
      <c r="X96" s="200"/>
      <c r="Z96" s="197">
        <v>36</v>
      </c>
      <c r="AA96" s="203">
        <v>180.07140864014337</v>
      </c>
      <c r="AB96" s="215">
        <v>70.11144461932254</v>
      </c>
    </row>
    <row r="97" spans="20:28" ht="14.4">
      <c r="T97" s="197">
        <v>37</v>
      </c>
      <c r="U97" s="200"/>
      <c r="V97" s="198"/>
      <c r="W97" s="202"/>
      <c r="X97" s="200"/>
      <c r="Z97" s="197">
        <v>37</v>
      </c>
      <c r="AA97" s="203">
        <v>186.3584902099926</v>
      </c>
      <c r="AB97" s="215">
        <v>78.518341314843497</v>
      </c>
    </row>
    <row r="98" spans="20:28" ht="14.4">
      <c r="T98" s="197">
        <v>38</v>
      </c>
      <c r="U98" s="200"/>
      <c r="V98" s="198"/>
      <c r="W98" s="202"/>
      <c r="X98" s="200"/>
      <c r="Z98" s="197">
        <v>38</v>
      </c>
      <c r="AA98" s="203">
        <v>125.01025033340549</v>
      </c>
      <c r="AB98" s="215">
        <v>56.889860161935935</v>
      </c>
    </row>
    <row r="99" spans="20:28" ht="14.4">
      <c r="T99" s="197">
        <v>39</v>
      </c>
      <c r="U99" s="200"/>
      <c r="V99" s="198"/>
      <c r="W99" s="202"/>
      <c r="X99" s="200"/>
      <c r="Z99" s="197">
        <v>39</v>
      </c>
      <c r="AA99" s="203">
        <v>91.122343335340702</v>
      </c>
      <c r="AB99" s="215">
        <v>44.70986695162199</v>
      </c>
    </row>
    <row r="100" spans="20:28" ht="14.4">
      <c r="T100" s="197">
        <v>40</v>
      </c>
      <c r="U100" s="200"/>
      <c r="V100" s="198"/>
      <c r="W100" s="202"/>
      <c r="X100" s="200"/>
      <c r="Z100" s="197">
        <v>40</v>
      </c>
      <c r="AA100" s="203">
        <v>50.957178956130704</v>
      </c>
      <c r="AB100" s="215">
        <v>26.910769701569571</v>
      </c>
    </row>
    <row r="101" spans="20:28" ht="14.4">
      <c r="T101" s="197">
        <v>41</v>
      </c>
      <c r="U101" s="200"/>
      <c r="V101" s="198"/>
      <c r="W101" s="202"/>
      <c r="X101" s="200"/>
      <c r="Z101" s="197">
        <v>41</v>
      </c>
      <c r="AA101" s="203"/>
      <c r="AB101" s="215">
        <v>11.405894943994198</v>
      </c>
    </row>
    <row r="102" spans="20:28" ht="14.4">
      <c r="T102" s="197">
        <v>42</v>
      </c>
      <c r="U102" s="200"/>
      <c r="V102" s="198"/>
      <c r="W102" s="202"/>
      <c r="X102" s="200"/>
      <c r="Z102" s="197">
        <v>42</v>
      </c>
      <c r="AA102" s="203"/>
      <c r="AB102" s="215">
        <v>1.7494787494164494</v>
      </c>
    </row>
    <row r="103" spans="20:28" ht="14.4">
      <c r="T103" s="197">
        <v>43</v>
      </c>
      <c r="U103" s="200"/>
      <c r="V103" s="198"/>
      <c r="W103" s="202"/>
      <c r="X103" s="200"/>
      <c r="Z103" s="197">
        <v>43</v>
      </c>
      <c r="AA103" s="203"/>
      <c r="AB103" s="215">
        <v>0</v>
      </c>
    </row>
    <row r="104" spans="20:28" ht="14.4">
      <c r="T104" s="197">
        <v>44</v>
      </c>
      <c r="U104" s="200"/>
      <c r="V104" s="198"/>
      <c r="W104" s="202"/>
      <c r="X104" s="200"/>
      <c r="Z104" s="197">
        <v>44</v>
      </c>
      <c r="AA104" s="203"/>
      <c r="AB104" s="215">
        <v>1.0022814986875008</v>
      </c>
    </row>
    <row r="105" spans="20:28" ht="14.4">
      <c r="T105" s="197">
        <v>45</v>
      </c>
      <c r="U105" s="200"/>
      <c r="V105" s="198"/>
      <c r="W105" s="202"/>
      <c r="X105" s="200"/>
      <c r="Z105" s="197">
        <v>45</v>
      </c>
      <c r="AA105" s="203"/>
      <c r="AB105" s="215">
        <v>0</v>
      </c>
    </row>
    <row r="106" spans="20:28" ht="14.4">
      <c r="T106" s="197">
        <v>46</v>
      </c>
      <c r="U106" s="200"/>
      <c r="V106" s="198"/>
      <c r="W106" s="202"/>
      <c r="X106" s="200"/>
      <c r="Z106" s="197">
        <v>46</v>
      </c>
      <c r="AA106" s="203">
        <v>20.099429611817104</v>
      </c>
      <c r="AB106" s="215">
        <v>0</v>
      </c>
    </row>
    <row r="107" spans="20:28" ht="14.4">
      <c r="T107" s="197">
        <v>47</v>
      </c>
      <c r="U107" s="200"/>
      <c r="V107" s="198"/>
      <c r="W107" s="202"/>
      <c r="X107" s="200"/>
      <c r="Z107" s="197">
        <v>47</v>
      </c>
      <c r="AA107" s="203">
        <v>2.8736058935489406</v>
      </c>
      <c r="AB107" s="215">
        <v>0</v>
      </c>
    </row>
    <row r="108" spans="20:28" ht="14.4">
      <c r="T108" s="197">
        <v>48</v>
      </c>
      <c r="U108" s="200"/>
      <c r="V108" s="198"/>
      <c r="W108" s="202"/>
      <c r="X108" s="200"/>
      <c r="Z108" s="197">
        <v>48</v>
      </c>
      <c r="AA108" s="203">
        <v>0</v>
      </c>
      <c r="AB108" s="215"/>
    </row>
    <row r="109" spans="20:28" ht="14.4">
      <c r="T109" s="197">
        <v>49</v>
      </c>
      <c r="U109" s="200"/>
      <c r="V109" s="198"/>
      <c r="W109" s="202"/>
      <c r="X109" s="200"/>
      <c r="Z109" s="197">
        <v>49</v>
      </c>
      <c r="AA109" s="203">
        <v>1.4368029467744703</v>
      </c>
      <c r="AB109" s="215"/>
    </row>
    <row r="110" spans="20:28" ht="15" thickBot="1">
      <c r="T110" s="197">
        <v>50</v>
      </c>
      <c r="U110" s="200"/>
      <c r="V110" s="198"/>
      <c r="W110" s="202"/>
      <c r="X110" s="200"/>
      <c r="Z110" s="197">
        <v>50</v>
      </c>
      <c r="AA110" s="203">
        <v>0</v>
      </c>
      <c r="AB110" s="215"/>
    </row>
    <row r="111" spans="20:28" ht="13.8" thickBot="1">
      <c r="T111" s="216" t="s">
        <v>45</v>
      </c>
      <c r="U111" s="219">
        <v>354</v>
      </c>
      <c r="V111" s="220">
        <v>76.500000000000014</v>
      </c>
      <c r="W111" s="221">
        <v>1705</v>
      </c>
      <c r="X111" s="219">
        <v>136.20000000000002</v>
      </c>
      <c r="Z111" s="216" t="s">
        <v>45</v>
      </c>
      <c r="AA111" s="217">
        <v>4355.2379623651659</v>
      </c>
      <c r="AB111" s="218">
        <v>739.00000000000011</v>
      </c>
    </row>
    <row r="112" spans="20:28">
      <c r="T112"/>
    </row>
    <row r="116" spans="15:20">
      <c r="O116" s="355"/>
      <c r="P116" s="355"/>
      <c r="Q116" s="355"/>
      <c r="R116" s="355"/>
      <c r="S116" s="355"/>
      <c r="T116" s="355"/>
    </row>
    <row r="117" spans="15:20">
      <c r="O117" s="2015"/>
      <c r="P117" s="2015"/>
      <c r="Q117" s="2015"/>
      <c r="R117" s="2015"/>
      <c r="S117" s="2015"/>
      <c r="T117" s="2015"/>
    </row>
    <row r="118" spans="15:20">
      <c r="O118" s="355"/>
      <c r="P118" s="355"/>
      <c r="Q118" s="355"/>
      <c r="R118" s="355"/>
      <c r="S118" s="355"/>
      <c r="T118" s="355"/>
    </row>
    <row r="119" spans="15:20" ht="14.4">
      <c r="O119" s="20"/>
      <c r="P119" s="210"/>
      <c r="Q119" s="211"/>
      <c r="R119" s="210"/>
      <c r="S119" s="20"/>
      <c r="T119" s="210"/>
    </row>
    <row r="120" spans="15:20" ht="14.4">
      <c r="O120" s="20"/>
      <c r="P120" s="210"/>
      <c r="Q120" s="211"/>
      <c r="R120" s="210"/>
      <c r="S120" s="20"/>
      <c r="T120" s="210"/>
    </row>
    <row r="121" spans="15:20" ht="14.4">
      <c r="O121" s="20"/>
      <c r="P121" s="210"/>
      <c r="Q121" s="211"/>
      <c r="R121" s="210"/>
      <c r="S121" s="20"/>
      <c r="T121" s="210"/>
    </row>
    <row r="122" spans="15:20" ht="14.4">
      <c r="O122" s="20"/>
      <c r="P122" s="210"/>
      <c r="Q122" s="211"/>
      <c r="R122" s="210"/>
      <c r="S122" s="20"/>
      <c r="T122" s="210"/>
    </row>
    <row r="123" spans="15:20" ht="14.4">
      <c r="O123" s="20"/>
      <c r="P123" s="210"/>
      <c r="Q123" s="211"/>
      <c r="R123" s="210"/>
      <c r="S123" s="20"/>
      <c r="T123" s="210"/>
    </row>
    <row r="124" spans="15:20" ht="14.4">
      <c r="O124" s="20"/>
      <c r="P124" s="210"/>
      <c r="Q124" s="211"/>
      <c r="R124" s="210"/>
      <c r="S124" s="20"/>
      <c r="T124" s="210"/>
    </row>
    <row r="125" spans="15:20" ht="14.4">
      <c r="O125" s="20"/>
      <c r="P125" s="210"/>
      <c r="Q125" s="211"/>
      <c r="R125" s="210"/>
      <c r="S125" s="20"/>
      <c r="T125" s="210"/>
    </row>
    <row r="126" spans="15:20" ht="14.4">
      <c r="O126" s="20"/>
      <c r="P126" s="210"/>
      <c r="Q126" s="211"/>
      <c r="R126" s="210"/>
      <c r="S126" s="20"/>
      <c r="T126" s="210"/>
    </row>
    <row r="127" spans="15:20" ht="14.4">
      <c r="O127" s="20"/>
      <c r="P127" s="210"/>
      <c r="Q127" s="211"/>
      <c r="R127" s="210"/>
      <c r="S127" s="20"/>
      <c r="T127" s="210"/>
    </row>
    <row r="128" spans="15:20" ht="14.4">
      <c r="O128" s="20"/>
      <c r="P128" s="210"/>
      <c r="Q128" s="211"/>
      <c r="R128" s="210"/>
      <c r="S128" s="20"/>
      <c r="T128" s="210"/>
    </row>
    <row r="129" spans="15:20" ht="14.4">
      <c r="O129" s="20"/>
      <c r="P129" s="210"/>
      <c r="Q129" s="211"/>
      <c r="R129" s="210"/>
      <c r="S129" s="20"/>
      <c r="T129" s="210"/>
    </row>
    <row r="130" spans="15:20" ht="14.4">
      <c r="O130" s="20"/>
      <c r="P130" s="210"/>
      <c r="Q130" s="211"/>
      <c r="R130" s="210"/>
      <c r="S130" s="20"/>
      <c r="T130" s="210"/>
    </row>
    <row r="131" spans="15:20" ht="14.4">
      <c r="O131" s="20"/>
      <c r="P131" s="210"/>
      <c r="Q131" s="211"/>
      <c r="R131" s="210"/>
      <c r="S131" s="20"/>
      <c r="T131" s="210"/>
    </row>
    <row r="132" spans="15:20" ht="14.4">
      <c r="O132" s="20"/>
      <c r="P132" s="210"/>
      <c r="Q132" s="211"/>
      <c r="R132" s="210"/>
      <c r="S132" s="20"/>
      <c r="T132" s="210"/>
    </row>
    <row r="133" spans="15:20" ht="14.4">
      <c r="O133" s="20"/>
      <c r="P133" s="210"/>
      <c r="Q133" s="211"/>
      <c r="R133" s="210"/>
      <c r="S133" s="20"/>
      <c r="T133" s="210"/>
    </row>
    <row r="134" spans="15:20" ht="14.4">
      <c r="O134" s="20"/>
      <c r="P134" s="210"/>
      <c r="Q134" s="211"/>
      <c r="R134" s="210"/>
      <c r="S134" s="20"/>
      <c r="T134" s="210"/>
    </row>
    <row r="135" spans="15:20" ht="14.4">
      <c r="O135" s="20"/>
      <c r="P135" s="210"/>
      <c r="Q135" s="211"/>
      <c r="R135" s="210"/>
      <c r="S135" s="20"/>
      <c r="T135" s="210"/>
    </row>
    <row r="136" spans="15:20" ht="14.4">
      <c r="O136" s="20"/>
      <c r="P136" s="210"/>
      <c r="Q136" s="211"/>
      <c r="R136" s="210"/>
      <c r="S136" s="20"/>
      <c r="T136" s="210"/>
    </row>
    <row r="137" spans="15:20" ht="14.4">
      <c r="O137" s="20"/>
      <c r="P137" s="210"/>
      <c r="Q137" s="211"/>
      <c r="R137" s="210"/>
      <c r="S137" s="20"/>
      <c r="T137" s="210"/>
    </row>
    <row r="138" spans="15:20" ht="14.4">
      <c r="O138" s="20"/>
      <c r="P138" s="210"/>
      <c r="Q138" s="211"/>
      <c r="R138" s="210"/>
      <c r="S138" s="20"/>
      <c r="T138" s="210"/>
    </row>
    <row r="139" spans="15:20" ht="14.4">
      <c r="O139" s="20"/>
      <c r="P139" s="210"/>
      <c r="Q139" s="211"/>
      <c r="R139" s="210"/>
      <c r="S139" s="20"/>
      <c r="T139" s="210"/>
    </row>
    <row r="140" spans="15:20" ht="14.4">
      <c r="O140" s="20"/>
      <c r="P140" s="210"/>
      <c r="Q140" s="211"/>
      <c r="R140" s="210"/>
      <c r="S140" s="20"/>
      <c r="T140" s="210"/>
    </row>
    <row r="141" spans="15:20" ht="14.4">
      <c r="O141" s="20"/>
      <c r="P141" s="210"/>
      <c r="Q141" s="211"/>
      <c r="R141" s="210"/>
      <c r="S141" s="20"/>
      <c r="T141" s="210"/>
    </row>
    <row r="142" spans="15:20" ht="14.4">
      <c r="O142" s="20"/>
      <c r="P142" s="210"/>
      <c r="Q142" s="211"/>
      <c r="R142" s="210"/>
      <c r="S142" s="20"/>
      <c r="T142" s="210"/>
    </row>
    <row r="143" spans="15:20" ht="14.4">
      <c r="O143" s="20"/>
      <c r="P143" s="210"/>
      <c r="Q143" s="211"/>
      <c r="R143" s="210"/>
      <c r="S143" s="20"/>
      <c r="T143" s="210"/>
    </row>
    <row r="144" spans="15:20" ht="14.4">
      <c r="O144" s="20"/>
      <c r="P144" s="210"/>
      <c r="Q144" s="211"/>
      <c r="R144" s="210"/>
      <c r="S144" s="20"/>
      <c r="T144" s="210"/>
    </row>
    <row r="145" spans="15:20" ht="14.4">
      <c r="O145" s="20"/>
      <c r="P145" s="210"/>
      <c r="Q145" s="211"/>
      <c r="R145" s="210"/>
      <c r="S145" s="20"/>
      <c r="T145" s="210"/>
    </row>
    <row r="146" spans="15:20" ht="14.4">
      <c r="O146" s="20"/>
      <c r="P146" s="210"/>
      <c r="Q146" s="211"/>
      <c r="R146" s="210"/>
      <c r="S146" s="20"/>
      <c r="T146" s="210"/>
    </row>
    <row r="147" spans="15:20" ht="14.4">
      <c r="O147" s="20"/>
      <c r="P147" s="210"/>
      <c r="Q147" s="211"/>
      <c r="R147" s="210"/>
      <c r="S147" s="20"/>
      <c r="T147" s="210"/>
    </row>
    <row r="148" spans="15:20" ht="14.4">
      <c r="O148" s="20"/>
      <c r="P148" s="210"/>
      <c r="Q148" s="211"/>
      <c r="R148" s="210"/>
      <c r="S148" s="20"/>
      <c r="T148" s="210"/>
    </row>
    <row r="149" spans="15:20" ht="14.4">
      <c r="O149" s="20"/>
      <c r="P149" s="210"/>
      <c r="Q149" s="211"/>
      <c r="R149" s="210"/>
      <c r="S149" s="20"/>
      <c r="T149" s="210"/>
    </row>
    <row r="150" spans="15:20" ht="14.4">
      <c r="O150" s="20"/>
      <c r="P150" s="210"/>
      <c r="Q150" s="211"/>
      <c r="R150" s="210"/>
      <c r="S150" s="20"/>
      <c r="T150" s="210"/>
    </row>
    <row r="151" spans="15:20" ht="14.4">
      <c r="O151" s="20"/>
      <c r="P151" s="210"/>
      <c r="Q151" s="211"/>
      <c r="R151" s="210"/>
      <c r="S151" s="20"/>
      <c r="T151" s="210"/>
    </row>
    <row r="152" spans="15:20" ht="14.4">
      <c r="O152" s="20"/>
      <c r="P152" s="210"/>
      <c r="Q152" s="211"/>
      <c r="R152" s="210"/>
      <c r="S152" s="20"/>
      <c r="T152" s="210"/>
    </row>
    <row r="153" spans="15:20" ht="14.4">
      <c r="O153" s="20"/>
      <c r="P153" s="210"/>
      <c r="Q153" s="211"/>
      <c r="R153" s="210"/>
      <c r="S153" s="20"/>
      <c r="T153" s="210"/>
    </row>
    <row r="154" spans="15:20" ht="14.4">
      <c r="O154" s="20"/>
      <c r="P154" s="210"/>
      <c r="Q154" s="211"/>
      <c r="R154" s="210"/>
      <c r="S154" s="20"/>
      <c r="T154" s="210"/>
    </row>
    <row r="155" spans="15:20" ht="14.4">
      <c r="O155" s="20"/>
      <c r="P155" s="210"/>
      <c r="Q155" s="211"/>
      <c r="R155" s="210"/>
      <c r="S155" s="20"/>
      <c r="T155" s="210"/>
    </row>
    <row r="156" spans="15:20" ht="14.4">
      <c r="O156" s="20"/>
      <c r="P156" s="210"/>
      <c r="Q156" s="211"/>
      <c r="R156" s="210"/>
      <c r="S156" s="20"/>
      <c r="T156" s="210"/>
    </row>
    <row r="157" spans="15:20" ht="14.4">
      <c r="O157" s="20"/>
      <c r="P157" s="210"/>
      <c r="Q157" s="211"/>
      <c r="R157" s="210"/>
      <c r="S157" s="20"/>
      <c r="T157" s="210"/>
    </row>
    <row r="158" spans="15:20" ht="14.4">
      <c r="O158" s="20"/>
      <c r="P158" s="210"/>
      <c r="Q158" s="211"/>
      <c r="R158" s="210"/>
      <c r="S158" s="20"/>
      <c r="T158" s="210"/>
    </row>
    <row r="159" spans="15:20" ht="14.4">
      <c r="O159" s="20"/>
      <c r="P159" s="210"/>
      <c r="Q159" s="211"/>
      <c r="R159" s="210"/>
      <c r="S159" s="20"/>
      <c r="T159" s="210"/>
    </row>
    <row r="160" spans="15:20" ht="14.4">
      <c r="O160" s="20"/>
      <c r="P160" s="210"/>
      <c r="Q160" s="211"/>
      <c r="R160" s="210"/>
      <c r="S160" s="20"/>
      <c r="T160" s="210"/>
    </row>
    <row r="161" spans="15:20" ht="14.4">
      <c r="O161" s="20"/>
      <c r="P161" s="210"/>
      <c r="Q161" s="211"/>
      <c r="R161" s="210"/>
      <c r="S161" s="20"/>
      <c r="T161" s="210"/>
    </row>
    <row r="162" spans="15:20" ht="14.4">
      <c r="O162" s="20"/>
      <c r="P162" s="210"/>
      <c r="Q162" s="211"/>
      <c r="R162" s="210"/>
      <c r="S162" s="20"/>
      <c r="T162" s="210"/>
    </row>
    <row r="163" spans="15:20" ht="14.4">
      <c r="O163" s="20"/>
      <c r="P163" s="210"/>
      <c r="Q163" s="211"/>
      <c r="R163" s="210"/>
      <c r="S163" s="20"/>
      <c r="T163" s="210"/>
    </row>
    <row r="164" spans="15:20" ht="14.4">
      <c r="O164" s="20"/>
      <c r="P164" s="210"/>
      <c r="Q164" s="211"/>
      <c r="R164" s="210"/>
      <c r="S164" s="20"/>
      <c r="T164" s="210"/>
    </row>
    <row r="165" spans="15:20" ht="14.4">
      <c r="O165" s="20"/>
      <c r="P165" s="210"/>
      <c r="Q165" s="20"/>
      <c r="R165" s="210"/>
      <c r="S165" s="20"/>
      <c r="T165" s="210"/>
    </row>
  </sheetData>
  <mergeCells count="12">
    <mergeCell ref="AR2:AS2"/>
    <mergeCell ref="AT2:AU2"/>
    <mergeCell ref="J6:K6"/>
    <mergeCell ref="L6:M6"/>
    <mergeCell ref="P6:Q6"/>
    <mergeCell ref="R6:S6"/>
    <mergeCell ref="O117:P117"/>
    <mergeCell ref="Q117:R117"/>
    <mergeCell ref="S117:T117"/>
    <mergeCell ref="T60:AB60"/>
    <mergeCell ref="W63:X63"/>
    <mergeCell ref="U63:V63"/>
  </mergeCells>
  <phoneticPr fontId="23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</sheetPr>
  <dimension ref="A1"/>
  <sheetViews>
    <sheetView workbookViewId="0"/>
  </sheetViews>
  <sheetFormatPr defaultColWidth="11.44140625" defaultRowHeight="13.2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4">
    <tabColor rgb="FFFF0000"/>
  </sheetPr>
  <dimension ref="A2:AS88"/>
  <sheetViews>
    <sheetView topLeftCell="J1" zoomScale="95" zoomScaleNormal="95" workbookViewId="0">
      <selection activeCell="AS37" sqref="AS37"/>
    </sheetView>
  </sheetViews>
  <sheetFormatPr defaultColWidth="11.44140625" defaultRowHeight="13.2"/>
  <cols>
    <col min="1" max="7" width="11.44140625" style="1"/>
    <col min="8" max="8" width="40" style="1" customWidth="1"/>
    <col min="9" max="19" width="11.44140625" style="1"/>
    <col min="20" max="20" width="8.44140625" style="1" customWidth="1"/>
    <col min="21" max="21" width="8.109375" style="1" customWidth="1"/>
    <col min="22" max="22" width="10.44140625" style="1" bestFit="1" customWidth="1"/>
    <col min="23" max="23" width="11" style="1" bestFit="1" customWidth="1"/>
    <col min="24" max="16384" width="11.44140625" style="1"/>
  </cols>
  <sheetData>
    <row r="2" spans="1:45" ht="27.6">
      <c r="A2" s="124"/>
    </row>
    <row r="3" spans="1:45">
      <c r="A3" s="1" t="s">
        <v>530</v>
      </c>
      <c r="N3" s="1" t="s">
        <v>531</v>
      </c>
    </row>
    <row r="4" spans="1:45">
      <c r="M4" t="s">
        <v>520</v>
      </c>
      <c r="N4"/>
      <c r="O4"/>
      <c r="P4"/>
      <c r="Q4"/>
      <c r="R4"/>
      <c r="S4"/>
      <c r="T4"/>
      <c r="U4"/>
      <c r="V4"/>
      <c r="AF4" s="1" t="s">
        <v>531</v>
      </c>
    </row>
    <row r="5" spans="1:45" ht="15" thickBot="1">
      <c r="D5" s="1134"/>
      <c r="E5" s="1134" t="s">
        <v>161</v>
      </c>
      <c r="F5" s="1134" t="s">
        <v>159</v>
      </c>
      <c r="M5"/>
      <c r="N5"/>
      <c r="O5"/>
      <c r="P5" s="534">
        <v>43282</v>
      </c>
      <c r="Q5"/>
      <c r="R5"/>
      <c r="S5"/>
      <c r="T5"/>
      <c r="U5"/>
      <c r="V5"/>
      <c r="W5" t="s">
        <v>520</v>
      </c>
      <c r="X5"/>
      <c r="Y5"/>
      <c r="Z5"/>
      <c r="AA5"/>
      <c r="AB5"/>
      <c r="AC5"/>
      <c r="AE5" t="s">
        <v>532</v>
      </c>
      <c r="AF5"/>
      <c r="AG5"/>
      <c r="AH5"/>
      <c r="AI5"/>
      <c r="AJ5"/>
      <c r="AK5"/>
    </row>
    <row r="6" spans="1:45" ht="15" thickBot="1">
      <c r="D6" s="1134">
        <v>7</v>
      </c>
      <c r="E6" s="1134">
        <v>0</v>
      </c>
      <c r="F6" s="1134">
        <v>0</v>
      </c>
      <c r="M6"/>
      <c r="N6" s="502" t="s">
        <v>159</v>
      </c>
      <c r="O6" s="503"/>
      <c r="P6" s="502" t="s">
        <v>160</v>
      </c>
      <c r="Q6" s="504"/>
      <c r="R6" s="502" t="s">
        <v>161</v>
      </c>
      <c r="S6" s="504"/>
      <c r="T6"/>
      <c r="U6"/>
      <c r="V6"/>
      <c r="W6"/>
      <c r="X6" s="534">
        <v>43160</v>
      </c>
      <c r="Y6"/>
      <c r="Z6"/>
      <c r="AA6"/>
      <c r="AB6"/>
      <c r="AC6"/>
      <c r="AE6"/>
      <c r="AF6"/>
      <c r="AG6"/>
      <c r="AH6" s="534"/>
      <c r="AI6" s="22">
        <v>2019</v>
      </c>
      <c r="AJ6"/>
      <c r="AK6"/>
      <c r="AM6"/>
      <c r="AN6"/>
      <c r="AO6"/>
      <c r="AP6"/>
      <c r="AQ6"/>
      <c r="AR6"/>
      <c r="AS6"/>
    </row>
    <row r="7" spans="1:45" ht="15" thickBot="1">
      <c r="D7" s="1134">
        <v>8</v>
      </c>
      <c r="E7" s="1134">
        <v>0</v>
      </c>
      <c r="F7" s="1134">
        <v>7</v>
      </c>
      <c r="M7" t="s">
        <v>533</v>
      </c>
      <c r="N7" s="537" t="s">
        <v>484</v>
      </c>
      <c r="O7" t="s">
        <v>534</v>
      </c>
      <c r="P7" s="537" t="s">
        <v>484</v>
      </c>
      <c r="Q7" s="538" t="s">
        <v>534</v>
      </c>
      <c r="R7" s="537" t="s">
        <v>484</v>
      </c>
      <c r="S7" s="538" t="s">
        <v>534</v>
      </c>
      <c r="T7"/>
      <c r="U7"/>
      <c r="V7"/>
      <c r="W7" s="505"/>
      <c r="X7" s="535" t="s">
        <v>159</v>
      </c>
      <c r="Y7" s="536"/>
      <c r="Z7" s="505" t="s">
        <v>160</v>
      </c>
      <c r="AA7" s="536"/>
      <c r="AB7" s="505" t="s">
        <v>161</v>
      </c>
      <c r="AC7" s="536"/>
      <c r="AE7"/>
      <c r="AF7" s="502" t="s">
        <v>159</v>
      </c>
      <c r="AG7" s="503"/>
      <c r="AH7" s="502" t="s">
        <v>160</v>
      </c>
      <c r="AI7" s="504"/>
      <c r="AJ7" s="502" t="s">
        <v>161</v>
      </c>
      <c r="AK7" s="504"/>
      <c r="AM7"/>
      <c r="AN7" s="534"/>
      <c r="AO7"/>
      <c r="AP7"/>
      <c r="AQ7"/>
      <c r="AR7"/>
      <c r="AS7"/>
    </row>
    <row r="8" spans="1:45">
      <c r="D8" s="1134">
        <v>9</v>
      </c>
      <c r="E8" s="1134">
        <v>4</v>
      </c>
      <c r="F8" s="1134">
        <v>22</v>
      </c>
      <c r="M8">
        <v>5</v>
      </c>
      <c r="N8" s="507">
        <v>0</v>
      </c>
      <c r="O8" s="20">
        <v>0</v>
      </c>
      <c r="P8" s="507">
        <v>0</v>
      </c>
      <c r="Q8" s="506">
        <v>0</v>
      </c>
      <c r="R8" s="507">
        <v>0</v>
      </c>
      <c r="S8" s="506">
        <v>0</v>
      </c>
      <c r="T8"/>
      <c r="U8"/>
      <c r="V8"/>
      <c r="W8" s="537" t="s">
        <v>533</v>
      </c>
      <c r="X8" t="s">
        <v>484</v>
      </c>
      <c r="Y8" s="538" t="s">
        <v>534</v>
      </c>
      <c r="Z8" s="537" t="s">
        <v>484</v>
      </c>
      <c r="AA8" s="538" t="s">
        <v>534</v>
      </c>
      <c r="AB8" s="537" t="s">
        <v>484</v>
      </c>
      <c r="AC8" s="538" t="s">
        <v>534</v>
      </c>
      <c r="AE8" t="s">
        <v>533</v>
      </c>
      <c r="AF8" s="537" t="s">
        <v>484</v>
      </c>
      <c r="AG8" t="s">
        <v>534</v>
      </c>
      <c r="AH8" s="537" t="s">
        <v>484</v>
      </c>
      <c r="AI8" s="538" t="s">
        <v>534</v>
      </c>
      <c r="AJ8" s="537" t="s">
        <v>484</v>
      </c>
      <c r="AK8" s="538" t="s">
        <v>534</v>
      </c>
      <c r="AL8"/>
      <c r="AM8"/>
      <c r="AN8"/>
      <c r="AO8"/>
      <c r="AP8"/>
      <c r="AQ8"/>
      <c r="AR8"/>
      <c r="AS8"/>
    </row>
    <row r="9" spans="1:45">
      <c r="D9" s="1134">
        <v>10</v>
      </c>
      <c r="E9" s="1134">
        <v>3</v>
      </c>
      <c r="F9" s="1134">
        <v>5</v>
      </c>
      <c r="M9">
        <v>6</v>
      </c>
      <c r="N9" s="507">
        <v>0</v>
      </c>
      <c r="O9" s="20">
        <v>0</v>
      </c>
      <c r="P9" s="507">
        <v>0</v>
      </c>
      <c r="Q9" s="506">
        <v>0</v>
      </c>
      <c r="R9" s="507">
        <v>0</v>
      </c>
      <c r="S9" s="506">
        <v>0</v>
      </c>
      <c r="T9"/>
      <c r="U9"/>
      <c r="V9"/>
      <c r="W9" s="537">
        <v>5</v>
      </c>
      <c r="X9" s="20">
        <v>0</v>
      </c>
      <c r="Y9" s="506">
        <v>0</v>
      </c>
      <c r="Z9" s="507">
        <v>0</v>
      </c>
      <c r="AA9" s="506">
        <v>0</v>
      </c>
      <c r="AB9" s="507">
        <v>0</v>
      </c>
      <c r="AC9" s="506">
        <v>0</v>
      </c>
      <c r="AE9">
        <v>5</v>
      </c>
      <c r="AF9" s="507">
        <v>0</v>
      </c>
      <c r="AG9" s="20">
        <v>0</v>
      </c>
      <c r="AH9" s="507">
        <v>0</v>
      </c>
      <c r="AI9" s="506">
        <v>0</v>
      </c>
      <c r="AJ9" s="507">
        <v>0</v>
      </c>
      <c r="AK9" s="506">
        <v>0</v>
      </c>
      <c r="AL9"/>
      <c r="AM9"/>
      <c r="AN9"/>
      <c r="AO9"/>
      <c r="AP9"/>
      <c r="AQ9"/>
      <c r="AR9"/>
      <c r="AS9"/>
    </row>
    <row r="10" spans="1:45">
      <c r="D10" s="1134">
        <v>11</v>
      </c>
      <c r="E10" s="1134">
        <v>5</v>
      </c>
      <c r="F10" s="1134">
        <v>0</v>
      </c>
      <c r="M10">
        <v>7</v>
      </c>
      <c r="N10" s="507">
        <v>0</v>
      </c>
      <c r="O10" s="20">
        <v>0</v>
      </c>
      <c r="P10" s="507">
        <v>0</v>
      </c>
      <c r="Q10" s="506">
        <v>0</v>
      </c>
      <c r="R10" s="507">
        <v>0</v>
      </c>
      <c r="S10" s="506">
        <v>0</v>
      </c>
      <c r="T10"/>
      <c r="U10"/>
      <c r="V10"/>
      <c r="W10" s="537">
        <v>6</v>
      </c>
      <c r="X10" s="20">
        <v>0</v>
      </c>
      <c r="Y10" s="506">
        <v>0</v>
      </c>
      <c r="Z10" s="507">
        <v>0</v>
      </c>
      <c r="AA10" s="506">
        <v>0</v>
      </c>
      <c r="AB10" s="507">
        <v>0</v>
      </c>
      <c r="AC10" s="506">
        <v>0</v>
      </c>
      <c r="AE10">
        <v>6</v>
      </c>
      <c r="AF10" s="507"/>
      <c r="AG10" s="20"/>
      <c r="AH10" s="507"/>
      <c r="AI10" s="506"/>
      <c r="AJ10" s="507"/>
      <c r="AK10" s="506"/>
      <c r="AL10"/>
      <c r="AM10"/>
      <c r="AN10" s="20"/>
      <c r="AO10" s="20"/>
      <c r="AP10" s="20"/>
      <c r="AQ10" s="20"/>
      <c r="AR10" s="20"/>
      <c r="AS10" s="20"/>
    </row>
    <row r="11" spans="1:45">
      <c r="D11" s="1134">
        <v>12</v>
      </c>
      <c r="E11" s="1134">
        <v>16</v>
      </c>
      <c r="F11" s="1134">
        <v>14</v>
      </c>
      <c r="M11">
        <v>8</v>
      </c>
      <c r="N11" s="507">
        <v>15.252001366372079</v>
      </c>
      <c r="O11" s="20">
        <v>8.9919699255583213E-2</v>
      </c>
      <c r="P11" s="507">
        <v>0</v>
      </c>
      <c r="Q11" s="506">
        <v>0</v>
      </c>
      <c r="R11" s="507">
        <v>13.830275943857172</v>
      </c>
      <c r="S11" s="506">
        <v>8.1537774854604339E-2</v>
      </c>
      <c r="T11"/>
      <c r="U11"/>
      <c r="V11"/>
      <c r="W11" s="537">
        <v>7</v>
      </c>
      <c r="X11" s="20">
        <v>0</v>
      </c>
      <c r="Y11" s="506">
        <v>0</v>
      </c>
      <c r="Z11" s="507">
        <v>0</v>
      </c>
      <c r="AA11" s="506">
        <v>0</v>
      </c>
      <c r="AB11" s="507">
        <v>2.1806642658602238</v>
      </c>
      <c r="AC11" s="506">
        <v>8.8316902767339046E-3</v>
      </c>
      <c r="AE11">
        <v>7</v>
      </c>
      <c r="AF11" s="507"/>
      <c r="AG11" s="20"/>
      <c r="AH11" s="507"/>
      <c r="AI11" s="506"/>
      <c r="AJ11" s="507"/>
      <c r="AK11" s="506"/>
      <c r="AL11"/>
      <c r="AM11"/>
      <c r="AN11" s="20"/>
      <c r="AO11" s="20"/>
      <c r="AP11" s="20"/>
      <c r="AQ11" s="20"/>
      <c r="AR11" s="20"/>
      <c r="AS11" s="20"/>
    </row>
    <row r="12" spans="1:45">
      <c r="D12" s="1134">
        <v>13</v>
      </c>
      <c r="E12" s="1134">
        <v>15</v>
      </c>
      <c r="F12" s="1134">
        <v>10</v>
      </c>
      <c r="M12">
        <v>9</v>
      </c>
      <c r="N12" s="507">
        <v>14.758557405249936</v>
      </c>
      <c r="O12" s="20">
        <v>0.12147473429113116</v>
      </c>
      <c r="P12" s="507">
        <v>0</v>
      </c>
      <c r="Q12" s="506">
        <v>0</v>
      </c>
      <c r="R12" s="507">
        <v>25.684798181449032</v>
      </c>
      <c r="S12" s="506">
        <v>0.21140643687187066</v>
      </c>
      <c r="T12"/>
      <c r="U12"/>
      <c r="V12"/>
      <c r="W12" s="537">
        <v>8</v>
      </c>
      <c r="X12" s="20">
        <v>0</v>
      </c>
      <c r="Y12" s="506">
        <v>0</v>
      </c>
      <c r="Z12" s="507">
        <v>0</v>
      </c>
      <c r="AA12" s="506">
        <v>0</v>
      </c>
      <c r="AB12" s="507">
        <v>4.0080441602984624</v>
      </c>
      <c r="AC12" s="506">
        <v>2.3629825151455612E-2</v>
      </c>
      <c r="AE12">
        <v>8</v>
      </c>
      <c r="AF12">
        <v>15.252001366372079</v>
      </c>
      <c r="AG12" s="20"/>
      <c r="AH12" s="507"/>
      <c r="AI12" s="506"/>
      <c r="AJ12">
        <v>13.830275943857172</v>
      </c>
      <c r="AK12" s="506"/>
      <c r="AL12"/>
      <c r="AM12"/>
      <c r="AN12" s="20"/>
      <c r="AO12" s="20"/>
      <c r="AP12" s="20"/>
      <c r="AQ12" s="20"/>
      <c r="AR12" s="20"/>
      <c r="AS12" s="20"/>
    </row>
    <row r="13" spans="1:45">
      <c r="D13" s="1134">
        <v>14</v>
      </c>
      <c r="E13" s="1134">
        <v>9</v>
      </c>
      <c r="F13" s="1134">
        <v>21</v>
      </c>
      <c r="M13">
        <v>10</v>
      </c>
      <c r="N13" s="507">
        <v>12.412095656577311</v>
      </c>
      <c r="O13" s="20">
        <v>0.13793810145067495</v>
      </c>
      <c r="P13" s="507">
        <v>0</v>
      </c>
      <c r="Q13" s="506">
        <v>0</v>
      </c>
      <c r="R13" s="507">
        <v>47.418088950367448</v>
      </c>
      <c r="S13" s="506">
        <v>0.52696670612322349</v>
      </c>
      <c r="T13"/>
      <c r="U13"/>
      <c r="V13"/>
      <c r="W13" s="537">
        <v>9</v>
      </c>
      <c r="X13" s="20">
        <v>2.9608902971715962</v>
      </c>
      <c r="Y13" s="506">
        <v>2.4370495857959969E-2</v>
      </c>
      <c r="Z13" s="507">
        <v>0</v>
      </c>
      <c r="AA13" s="506">
        <v>0</v>
      </c>
      <c r="AB13" s="507">
        <v>0</v>
      </c>
      <c r="AC13" s="506">
        <v>0</v>
      </c>
      <c r="AE13">
        <v>9</v>
      </c>
      <c r="AF13">
        <v>14.758557405249936</v>
      </c>
      <c r="AG13" s="20"/>
      <c r="AH13" s="507"/>
      <c r="AI13" s="506"/>
      <c r="AJ13">
        <v>25.684798181449032</v>
      </c>
      <c r="AK13" s="506"/>
      <c r="AL13"/>
      <c r="AM13"/>
      <c r="AN13" s="20"/>
      <c r="AO13" s="20"/>
      <c r="AP13" s="20"/>
      <c r="AQ13" s="20"/>
      <c r="AR13" s="20"/>
      <c r="AS13" s="20"/>
    </row>
    <row r="14" spans="1:45">
      <c r="D14" s="1134">
        <v>15</v>
      </c>
      <c r="E14" s="1134">
        <v>0</v>
      </c>
      <c r="F14" s="1134">
        <v>28</v>
      </c>
      <c r="M14">
        <v>11</v>
      </c>
      <c r="N14" s="507">
        <v>68.047390711506182</v>
      </c>
      <c r="O14" s="20">
        <v>0.99351912334427483</v>
      </c>
      <c r="P14" s="507">
        <v>0</v>
      </c>
      <c r="Q14" s="506">
        <v>0</v>
      </c>
      <c r="R14" s="507">
        <v>21.733290768918415</v>
      </c>
      <c r="S14" s="506">
        <v>0.31731473854251641</v>
      </c>
      <c r="T14"/>
      <c r="U14"/>
      <c r="V14"/>
      <c r="W14" s="537">
        <v>10</v>
      </c>
      <c r="X14" s="20">
        <v>0</v>
      </c>
      <c r="Y14" s="506">
        <v>0</v>
      </c>
      <c r="Z14" s="507">
        <v>0</v>
      </c>
      <c r="AA14" s="506">
        <v>0</v>
      </c>
      <c r="AB14" s="507">
        <v>0</v>
      </c>
      <c r="AC14" s="506">
        <v>0</v>
      </c>
      <c r="AE14">
        <v>10</v>
      </c>
      <c r="AF14">
        <v>12.412095656577311</v>
      </c>
      <c r="AG14" s="20"/>
      <c r="AH14" s="507"/>
      <c r="AI14" s="506"/>
      <c r="AJ14">
        <v>47.418088950367448</v>
      </c>
      <c r="AK14" s="506"/>
      <c r="AL14"/>
      <c r="AM14"/>
      <c r="AN14" s="20"/>
      <c r="AO14" s="20"/>
      <c r="AP14" s="20"/>
      <c r="AQ14" s="20"/>
      <c r="AR14" s="20"/>
      <c r="AS14" s="20"/>
    </row>
    <row r="15" spans="1:45">
      <c r="D15" s="1134">
        <v>16</v>
      </c>
      <c r="E15" s="1134">
        <v>0</v>
      </c>
      <c r="F15" s="1134">
        <v>32</v>
      </c>
      <c r="M15">
        <v>12</v>
      </c>
      <c r="N15" s="507">
        <v>56.380666863297002</v>
      </c>
      <c r="O15" s="20">
        <v>1.0571375036868187</v>
      </c>
      <c r="P15" s="507">
        <v>0</v>
      </c>
      <c r="Q15" s="506">
        <v>0</v>
      </c>
      <c r="R15" s="507">
        <v>21.733290768918415</v>
      </c>
      <c r="S15" s="506">
        <v>0.40749920191722028</v>
      </c>
      <c r="T15"/>
      <c r="U15"/>
      <c r="V15"/>
      <c r="W15" s="537">
        <v>11</v>
      </c>
      <c r="X15" s="20">
        <v>0</v>
      </c>
      <c r="Y15" s="506">
        <v>0</v>
      </c>
      <c r="Z15" s="507">
        <v>0</v>
      </c>
      <c r="AA15" s="506">
        <v>0</v>
      </c>
      <c r="AB15" s="507">
        <v>0</v>
      </c>
      <c r="AC15" s="506">
        <v>0</v>
      </c>
      <c r="AE15">
        <v>11</v>
      </c>
      <c r="AF15">
        <v>68.047390711506182</v>
      </c>
      <c r="AG15" s="20"/>
      <c r="AH15" s="507"/>
      <c r="AI15" s="506"/>
      <c r="AJ15">
        <v>21.733290768918415</v>
      </c>
      <c r="AK15" s="506"/>
      <c r="AL15"/>
      <c r="AM15"/>
      <c r="AN15" s="20"/>
      <c r="AO15" s="20"/>
      <c r="AP15" s="20"/>
      <c r="AQ15" s="20"/>
      <c r="AR15" s="20"/>
      <c r="AS15" s="20"/>
    </row>
    <row r="16" spans="1:45">
      <c r="D16" s="1134">
        <v>17</v>
      </c>
      <c r="E16" s="1134">
        <v>0</v>
      </c>
      <c r="F16" s="1134">
        <v>22</v>
      </c>
      <c r="M16">
        <v>13</v>
      </c>
      <c r="N16" s="507">
        <v>18.946412802475514</v>
      </c>
      <c r="O16" s="20">
        <v>0.44750669182935066</v>
      </c>
      <c r="P16" s="507">
        <v>0</v>
      </c>
      <c r="Q16" s="506">
        <v>0</v>
      </c>
      <c r="R16" s="507">
        <v>15.806029650122484</v>
      </c>
      <c r="S16" s="506">
        <v>0.37333209792403299</v>
      </c>
      <c r="T16"/>
      <c r="U16"/>
      <c r="V16"/>
      <c r="W16" s="537">
        <v>12</v>
      </c>
      <c r="X16" s="20">
        <v>0</v>
      </c>
      <c r="Y16" s="506">
        <v>0</v>
      </c>
      <c r="Z16" s="507">
        <v>0</v>
      </c>
      <c r="AA16" s="506">
        <v>0</v>
      </c>
      <c r="AB16" s="507">
        <v>0</v>
      </c>
      <c r="AC16" s="506">
        <v>0</v>
      </c>
      <c r="AE16">
        <v>12</v>
      </c>
      <c r="AF16">
        <v>56.380666863297002</v>
      </c>
      <c r="AG16" s="20"/>
      <c r="AH16" s="507"/>
      <c r="AI16" s="506"/>
      <c r="AJ16">
        <v>21.733290768918415</v>
      </c>
      <c r="AK16" s="506"/>
      <c r="AL16"/>
      <c r="AM16"/>
      <c r="AN16" s="20"/>
      <c r="AO16" s="20"/>
      <c r="AP16" s="20"/>
      <c r="AQ16" s="20"/>
      <c r="AR16" s="20"/>
      <c r="AS16" s="20"/>
    </row>
    <row r="17" spans="1:45">
      <c r="D17" s="1134">
        <v>18</v>
      </c>
      <c r="E17" s="1134">
        <v>0</v>
      </c>
      <c r="F17" s="1134">
        <v>55</v>
      </c>
      <c r="M17">
        <v>14</v>
      </c>
      <c r="N17" s="507">
        <v>0.67978691321417173</v>
      </c>
      <c r="O17" s="20">
        <v>1.989518763165652E-2</v>
      </c>
      <c r="P17" s="507">
        <v>0</v>
      </c>
      <c r="Q17" s="506">
        <v>0</v>
      </c>
      <c r="R17" s="507">
        <v>0</v>
      </c>
      <c r="S17" s="506">
        <v>0</v>
      </c>
      <c r="T17"/>
      <c r="U17"/>
      <c r="V17"/>
      <c r="W17" s="537">
        <v>13</v>
      </c>
      <c r="X17" s="20">
        <v>4.0063146148358983</v>
      </c>
      <c r="Y17" s="506">
        <v>9.462754867657798E-2</v>
      </c>
      <c r="Z17" s="507">
        <v>0</v>
      </c>
      <c r="AA17" s="506">
        <v>0</v>
      </c>
      <c r="AB17" s="507">
        <v>0</v>
      </c>
      <c r="AC17" s="506">
        <v>0</v>
      </c>
      <c r="AE17">
        <v>13</v>
      </c>
      <c r="AF17">
        <v>18.946412802475514</v>
      </c>
      <c r="AG17" s="20"/>
      <c r="AH17" s="507"/>
      <c r="AI17" s="506"/>
      <c r="AJ17">
        <v>15.806029650122484</v>
      </c>
      <c r="AK17" s="506"/>
      <c r="AL17"/>
      <c r="AM17"/>
      <c r="AN17" s="20"/>
      <c r="AO17" s="20"/>
      <c r="AP17" s="20"/>
      <c r="AQ17" s="20"/>
      <c r="AR17" s="20"/>
      <c r="AS17" s="20"/>
    </row>
    <row r="18" spans="1:45">
      <c r="D18" s="1134">
        <v>19</v>
      </c>
      <c r="E18" s="1134">
        <v>3</v>
      </c>
      <c r="F18" s="1134">
        <v>85</v>
      </c>
      <c r="H18" s="6"/>
      <c r="M18">
        <v>15</v>
      </c>
      <c r="N18" s="507">
        <v>5.481844328499978</v>
      </c>
      <c r="O18" s="20">
        <v>0.1959715492684114</v>
      </c>
      <c r="P18" s="507">
        <v>0</v>
      </c>
      <c r="Q18" s="506">
        <v>0</v>
      </c>
      <c r="R18" s="507">
        <v>0</v>
      </c>
      <c r="S18" s="506">
        <v>0</v>
      </c>
      <c r="T18"/>
      <c r="U18"/>
      <c r="V18"/>
      <c r="W18" s="537">
        <v>14</v>
      </c>
      <c r="X18" s="20">
        <v>34.314370472371174</v>
      </c>
      <c r="Y18" s="506">
        <v>1.0042718177407925</v>
      </c>
      <c r="Z18" s="507">
        <v>0</v>
      </c>
      <c r="AA18" s="506">
        <v>0</v>
      </c>
      <c r="AB18" s="507">
        <v>3.1375324828825888</v>
      </c>
      <c r="AC18" s="506">
        <v>9.182553567002813E-2</v>
      </c>
      <c r="AE18">
        <v>14</v>
      </c>
      <c r="AF18">
        <v>0.67978691321417173</v>
      </c>
      <c r="AG18" s="20"/>
      <c r="AH18" s="507"/>
      <c r="AI18" s="506"/>
      <c r="AJ18"/>
      <c r="AK18" s="506"/>
      <c r="AL18"/>
      <c r="AM18"/>
      <c r="AN18" s="20"/>
      <c r="AO18" s="20"/>
      <c r="AP18" s="20"/>
      <c r="AQ18" s="20"/>
      <c r="AR18" s="20"/>
      <c r="AS18" s="20"/>
    </row>
    <row r="19" spans="1:45">
      <c r="D19" s="1134">
        <v>20</v>
      </c>
      <c r="E19" s="1134">
        <v>6</v>
      </c>
      <c r="F19" s="1134">
        <v>77</v>
      </c>
      <c r="M19">
        <v>16</v>
      </c>
      <c r="N19" s="507">
        <v>6.6550752028362918</v>
      </c>
      <c r="O19" s="20">
        <v>0.28699612507719335</v>
      </c>
      <c r="P19" s="507">
        <v>0</v>
      </c>
      <c r="Q19" s="506">
        <v>0</v>
      </c>
      <c r="R19" s="507">
        <v>0</v>
      </c>
      <c r="S19" s="506">
        <v>0</v>
      </c>
      <c r="T19"/>
      <c r="U19"/>
      <c r="V19"/>
      <c r="W19" s="537">
        <v>15</v>
      </c>
      <c r="X19" s="20">
        <v>152.35125108917117</v>
      </c>
      <c r="Y19" s="506">
        <v>5.4464353454369965</v>
      </c>
      <c r="Z19" s="507">
        <v>20.031573074179487</v>
      </c>
      <c r="AA19" s="506">
        <v>0.71611271214345718</v>
      </c>
      <c r="AB19" s="507">
        <v>2.9608902971715962</v>
      </c>
      <c r="AC19" s="506">
        <v>0.10584945941164682</v>
      </c>
      <c r="AE19">
        <v>15</v>
      </c>
      <c r="AF19">
        <v>5.481844328499978</v>
      </c>
      <c r="AG19" s="20"/>
      <c r="AH19" s="507"/>
      <c r="AI19" s="506"/>
      <c r="AJ19"/>
      <c r="AK19" s="506"/>
      <c r="AL19"/>
      <c r="AM19"/>
      <c r="AN19" s="20"/>
      <c r="AO19" s="20"/>
      <c r="AP19" s="20"/>
      <c r="AQ19" s="20"/>
      <c r="AR19" s="20"/>
      <c r="AS19" s="20"/>
    </row>
    <row r="20" spans="1:45">
      <c r="B20" s="2"/>
      <c r="D20" s="1134">
        <v>21</v>
      </c>
      <c r="E20" s="1134">
        <v>9</v>
      </c>
      <c r="F20" s="1134">
        <v>23</v>
      </c>
      <c r="H20" s="6"/>
      <c r="M20">
        <v>17</v>
      </c>
      <c r="N20" s="507">
        <v>263.49693679350514</v>
      </c>
      <c r="O20" s="20">
        <v>13.55691739802584</v>
      </c>
      <c r="P20" s="507">
        <v>0</v>
      </c>
      <c r="Q20" s="506">
        <v>0</v>
      </c>
      <c r="R20" s="507">
        <v>0</v>
      </c>
      <c r="S20" s="506">
        <v>0</v>
      </c>
      <c r="T20"/>
      <c r="U20"/>
      <c r="V20"/>
      <c r="W20" s="537">
        <v>16</v>
      </c>
      <c r="X20" s="20">
        <v>289.24471017838988</v>
      </c>
      <c r="Y20" s="506">
        <v>12.473504579616957</v>
      </c>
      <c r="Z20" s="507">
        <v>60.094719222538473</v>
      </c>
      <c r="AA20" s="506">
        <v>2.5915487096404375</v>
      </c>
      <c r="AB20" s="507">
        <v>6.2750649657651776</v>
      </c>
      <c r="AC20" s="506">
        <v>0.27060841160964377</v>
      </c>
      <c r="AE20">
        <v>16</v>
      </c>
      <c r="AF20">
        <v>6.6550752028362918</v>
      </c>
      <c r="AG20" s="20"/>
      <c r="AH20" s="507"/>
      <c r="AI20" s="506"/>
      <c r="AJ20"/>
      <c r="AK20" s="506"/>
      <c r="AL20"/>
      <c r="AM20"/>
      <c r="AN20" s="20"/>
      <c r="AO20" s="20"/>
      <c r="AP20" s="20"/>
      <c r="AQ20" s="20"/>
      <c r="AR20" s="20"/>
      <c r="AS20" s="20"/>
    </row>
    <row r="21" spans="1:45">
      <c r="A21" s="13"/>
      <c r="D21" s="1134">
        <v>22</v>
      </c>
      <c r="E21" s="1134">
        <v>9</v>
      </c>
      <c r="F21" s="1134">
        <v>3</v>
      </c>
      <c r="H21" s="13"/>
      <c r="M21">
        <v>18</v>
      </c>
      <c r="N21" s="507">
        <v>701.11868601625747</v>
      </c>
      <c r="O21" s="20">
        <v>42.616517763337789</v>
      </c>
      <c r="P21" s="507">
        <v>0</v>
      </c>
      <c r="Q21" s="506">
        <v>0</v>
      </c>
      <c r="R21" s="507">
        <v>0</v>
      </c>
      <c r="S21" s="506">
        <v>0</v>
      </c>
      <c r="T21"/>
      <c r="U21"/>
      <c r="V21"/>
      <c r="W21" s="537">
        <v>17</v>
      </c>
      <c r="X21" s="20">
        <v>366.66301352829737</v>
      </c>
      <c r="Y21" s="506">
        <v>18.864812046030899</v>
      </c>
      <c r="Z21" s="507">
        <v>4.0063146148358983</v>
      </c>
      <c r="AA21" s="506">
        <v>0.20612488693330697</v>
      </c>
      <c r="AB21" s="507">
        <v>12.934128329402938</v>
      </c>
      <c r="AC21" s="506">
        <v>0.66546090254778112</v>
      </c>
      <c r="AE21">
        <v>17</v>
      </c>
      <c r="AF21">
        <v>263.49693679350514</v>
      </c>
      <c r="AG21" s="20"/>
      <c r="AH21" s="507"/>
      <c r="AI21" s="506"/>
      <c r="AJ21"/>
      <c r="AK21" s="506"/>
      <c r="AL21"/>
      <c r="AM21"/>
      <c r="AN21" s="20"/>
      <c r="AO21" s="20"/>
      <c r="AP21" s="20"/>
      <c r="AQ21" s="20"/>
      <c r="AR21" s="20"/>
      <c r="AS21" s="20"/>
    </row>
    <row r="22" spans="1:45">
      <c r="A22" s="13"/>
      <c r="D22" s="1134">
        <v>23</v>
      </c>
      <c r="E22" s="1134">
        <v>10</v>
      </c>
      <c r="F22" s="1134">
        <v>0</v>
      </c>
      <c r="H22" s="13"/>
      <c r="M22">
        <v>19</v>
      </c>
      <c r="N22" s="507">
        <v>476.69673520443416</v>
      </c>
      <c r="O22" s="20">
        <v>33.932608362710198</v>
      </c>
      <c r="P22" s="507">
        <v>0.99968663707966443</v>
      </c>
      <c r="Q22" s="506">
        <v>7.1160493949914333E-2</v>
      </c>
      <c r="R22" s="507">
        <v>0</v>
      </c>
      <c r="S22" s="506">
        <v>0</v>
      </c>
      <c r="T22"/>
      <c r="U22"/>
      <c r="V22"/>
      <c r="W22" s="537">
        <v>18</v>
      </c>
      <c r="X22" s="20">
        <v>267.10040524058348</v>
      </c>
      <c r="Y22" s="506">
        <v>16.235324191981526</v>
      </c>
      <c r="Z22" s="507">
        <v>0</v>
      </c>
      <c r="AA22" s="506">
        <v>0</v>
      </c>
      <c r="AB22" s="507">
        <v>55.478889175984392</v>
      </c>
      <c r="AC22" s="506">
        <v>3.3722066081173647</v>
      </c>
      <c r="AE22">
        <v>18</v>
      </c>
      <c r="AF22">
        <v>701.11868601625747</v>
      </c>
      <c r="AG22" s="20"/>
      <c r="AH22" s="507"/>
      <c r="AI22" s="506"/>
      <c r="AJ22"/>
      <c r="AK22" s="506"/>
      <c r="AL22"/>
      <c r="AM22"/>
      <c r="AN22" s="20"/>
      <c r="AO22" s="20"/>
      <c r="AP22" s="20"/>
      <c r="AQ22" s="20"/>
      <c r="AR22" s="20"/>
      <c r="AS22" s="20"/>
    </row>
    <row r="23" spans="1:45">
      <c r="D23" s="1134">
        <v>24</v>
      </c>
      <c r="E23" s="1134">
        <v>1</v>
      </c>
      <c r="F23" s="1134">
        <v>0</v>
      </c>
      <c r="M23">
        <v>20</v>
      </c>
      <c r="N23" s="507">
        <v>212.72898168185088</v>
      </c>
      <c r="O23" s="20">
        <v>17.593792975793811</v>
      </c>
      <c r="P23" s="507">
        <v>13.823323069360308</v>
      </c>
      <c r="Q23" s="506">
        <v>1.1432606991160581</v>
      </c>
      <c r="R23" s="507">
        <v>0</v>
      </c>
      <c r="S23" s="506">
        <v>0</v>
      </c>
      <c r="T23"/>
      <c r="U23"/>
      <c r="V23"/>
      <c r="W23" s="537">
        <v>19</v>
      </c>
      <c r="X23" s="20">
        <v>130.37433108363291</v>
      </c>
      <c r="Y23" s="506">
        <v>9.2804099346600264</v>
      </c>
      <c r="Z23" s="507">
        <v>1.0020110400746156</v>
      </c>
      <c r="AA23" s="506">
        <v>7.1325951463423354E-2</v>
      </c>
      <c r="AB23" s="507">
        <v>55.922459193510889</v>
      </c>
      <c r="AC23" s="506">
        <v>3.9807172282798478</v>
      </c>
      <c r="AE23">
        <v>19</v>
      </c>
      <c r="AF23">
        <v>476.69673520443416</v>
      </c>
      <c r="AG23" s="20"/>
      <c r="AH23">
        <v>0.99968663707966443</v>
      </c>
      <c r="AI23" s="506"/>
      <c r="AJ23"/>
      <c r="AK23" s="506"/>
      <c r="AL23"/>
      <c r="AM23"/>
      <c r="AN23" s="20"/>
      <c r="AO23" s="20"/>
      <c r="AP23" s="20"/>
      <c r="AQ23" s="20"/>
      <c r="AR23" s="20"/>
      <c r="AS23" s="20"/>
    </row>
    <row r="24" spans="1:45">
      <c r="D24" s="1134">
        <v>25</v>
      </c>
      <c r="E24" s="1134">
        <v>0</v>
      </c>
      <c r="F24" s="1134">
        <v>0</v>
      </c>
      <c r="M24">
        <v>21</v>
      </c>
      <c r="N24" s="507">
        <v>69.817288181295453</v>
      </c>
      <c r="O24" s="20">
        <v>6.6611557577163074</v>
      </c>
      <c r="P24" s="507">
        <v>1.9993732741593291</v>
      </c>
      <c r="Q24" s="506">
        <v>0.19075700509030288</v>
      </c>
      <c r="R24" s="507">
        <v>13.830275943857171</v>
      </c>
      <c r="S24" s="506">
        <v>1.3195244993619024</v>
      </c>
      <c r="T24"/>
      <c r="U24"/>
      <c r="V24"/>
      <c r="W24" s="537">
        <v>20</v>
      </c>
      <c r="X24" s="20">
        <v>66.507320593902165</v>
      </c>
      <c r="Y24" s="506">
        <v>5.5005012511827971</v>
      </c>
      <c r="Z24" s="507">
        <v>9.0146402697464119</v>
      </c>
      <c r="AA24" s="506">
        <v>0.74555762643743084</v>
      </c>
      <c r="AB24" s="507">
        <v>91.34930206361544</v>
      </c>
      <c r="AC24" s="506">
        <v>7.5550622970317258</v>
      </c>
      <c r="AE24">
        <v>20</v>
      </c>
      <c r="AF24">
        <v>212.72898168185088</v>
      </c>
      <c r="AG24" s="20"/>
      <c r="AH24">
        <v>13.823323069360308</v>
      </c>
      <c r="AI24" s="506"/>
      <c r="AJ24"/>
      <c r="AK24" s="506"/>
      <c r="AL24"/>
      <c r="AM24"/>
      <c r="AN24" s="20"/>
      <c r="AO24" s="20"/>
      <c r="AP24" s="20"/>
      <c r="AQ24" s="20"/>
      <c r="AR24" s="20"/>
      <c r="AS24" s="20"/>
    </row>
    <row r="25" spans="1:45">
      <c r="D25" s="1134">
        <v>26</v>
      </c>
      <c r="E25" s="1134">
        <v>0</v>
      </c>
      <c r="F25" s="1134">
        <v>0</v>
      </c>
      <c r="M25">
        <v>22</v>
      </c>
      <c r="N25" s="507">
        <v>27.088904919338177</v>
      </c>
      <c r="O25" s="20">
        <v>2.9621717529296294</v>
      </c>
      <c r="P25" s="507">
        <v>0</v>
      </c>
      <c r="Q25" s="506">
        <v>0</v>
      </c>
      <c r="R25" s="507">
        <v>25.684798181449032</v>
      </c>
      <c r="S25" s="506">
        <v>2.8086326811414515</v>
      </c>
      <c r="T25"/>
      <c r="U25"/>
      <c r="V25"/>
      <c r="W25" s="537">
        <v>21</v>
      </c>
      <c r="X25" s="20">
        <v>59.592906122390673</v>
      </c>
      <c r="Y25" s="506">
        <v>5.6856638244874969</v>
      </c>
      <c r="Z25" s="507">
        <v>9.0146402697464119</v>
      </c>
      <c r="AA25" s="506">
        <v>0.86007240471207347</v>
      </c>
      <c r="AB25" s="507">
        <v>111.0888919314894</v>
      </c>
      <c r="AC25" s="506">
        <v>10.598813436956313</v>
      </c>
      <c r="AE25">
        <v>21</v>
      </c>
      <c r="AF25">
        <v>69.817288181295453</v>
      </c>
      <c r="AG25" s="20"/>
      <c r="AH25">
        <v>1.9993732741593291</v>
      </c>
      <c r="AI25" s="506"/>
      <c r="AJ25">
        <v>13.830275943857171</v>
      </c>
      <c r="AK25" s="506"/>
      <c r="AL25"/>
      <c r="AM25"/>
      <c r="AN25" s="20"/>
      <c r="AO25" s="20"/>
      <c r="AP25" s="20"/>
      <c r="AQ25" s="20"/>
      <c r="AR25" s="20"/>
      <c r="AS25" s="20"/>
    </row>
    <row r="26" spans="1:45">
      <c r="D26" s="1134">
        <v>27</v>
      </c>
      <c r="E26" s="1134">
        <v>0</v>
      </c>
      <c r="F26" s="1134">
        <v>0</v>
      </c>
      <c r="M26">
        <v>23</v>
      </c>
      <c r="N26" s="507">
        <v>34.120798527299641</v>
      </c>
      <c r="O26" s="20">
        <v>4.2510283985997965</v>
      </c>
      <c r="P26" s="507">
        <v>7.1416228395644437</v>
      </c>
      <c r="Q26" s="506">
        <v>0.88975764968651905</v>
      </c>
      <c r="R26" s="507">
        <v>47.418088950367441</v>
      </c>
      <c r="S26" s="506">
        <v>5.9077058989127984</v>
      </c>
      <c r="T26"/>
      <c r="U26"/>
      <c r="V26"/>
      <c r="W26" s="537">
        <v>22</v>
      </c>
      <c r="X26" s="20">
        <v>8.9530268231503793</v>
      </c>
      <c r="Y26" s="506">
        <v>0.97901348311149383</v>
      </c>
      <c r="Z26" s="507">
        <v>12.020673389970259</v>
      </c>
      <c r="AA26" s="506">
        <v>1.3144606351932477</v>
      </c>
      <c r="AB26" s="507">
        <v>158.54001077991643</v>
      </c>
      <c r="AC26" s="506">
        <v>17.33635017878386</v>
      </c>
      <c r="AE26">
        <v>22</v>
      </c>
      <c r="AF26">
        <v>27.088904919338177</v>
      </c>
      <c r="AG26" s="20"/>
      <c r="AH26">
        <v>4.5704980568618865</v>
      </c>
      <c r="AI26" s="506"/>
      <c r="AJ26">
        <v>25.684798181449032</v>
      </c>
      <c r="AK26" s="506"/>
      <c r="AL26"/>
      <c r="AM26"/>
      <c r="AN26" s="20"/>
      <c r="AO26" s="20"/>
      <c r="AP26" s="20"/>
      <c r="AQ26" s="20"/>
      <c r="AR26" s="20"/>
      <c r="AS26" s="20"/>
    </row>
    <row r="27" spans="1:45">
      <c r="D27" s="1134">
        <v>28</v>
      </c>
      <c r="E27" s="1134">
        <v>0</v>
      </c>
      <c r="F27" s="1134">
        <v>0</v>
      </c>
      <c r="M27">
        <v>24</v>
      </c>
      <c r="N27" s="507">
        <v>19.290932150820574</v>
      </c>
      <c r="O27" s="20">
        <v>2.7234706519342673</v>
      </c>
      <c r="P27" s="507">
        <v>4.1425629283254519</v>
      </c>
      <c r="Q27" s="506">
        <v>0.58484206314547327</v>
      </c>
      <c r="R27" s="507">
        <v>0</v>
      </c>
      <c r="S27" s="506">
        <v>0</v>
      </c>
      <c r="T27"/>
      <c r="U27"/>
      <c r="V27"/>
      <c r="W27" s="537">
        <v>23</v>
      </c>
      <c r="X27" s="20">
        <v>46.442589646306516</v>
      </c>
      <c r="Y27" s="506">
        <v>5.7861707818181776</v>
      </c>
      <c r="Z27" s="507">
        <v>35.843224236499779</v>
      </c>
      <c r="AA27" s="506">
        <v>4.4656212838873399</v>
      </c>
      <c r="AB27" s="507">
        <v>102.7905516604726</v>
      </c>
      <c r="AC27" s="506">
        <v>12.806428134054295</v>
      </c>
      <c r="AE27">
        <v>23</v>
      </c>
      <c r="AF27">
        <v>34.120798527299641</v>
      </c>
      <c r="AG27" s="20"/>
      <c r="AH27">
        <v>7.1416228395644437</v>
      </c>
      <c r="AI27" s="506"/>
      <c r="AJ27">
        <v>47.418088950367441</v>
      </c>
      <c r="AK27" s="506"/>
      <c r="AL27"/>
      <c r="AM27"/>
      <c r="AN27" s="20"/>
      <c r="AO27" s="20"/>
      <c r="AP27" s="20"/>
      <c r="AQ27" s="20"/>
      <c r="AR27" s="20"/>
      <c r="AS27" s="20"/>
    </row>
    <row r="28" spans="1:45">
      <c r="D28" s="1134">
        <v>29</v>
      </c>
      <c r="E28" s="1134">
        <v>0</v>
      </c>
      <c r="F28" s="1134">
        <v>0</v>
      </c>
      <c r="M28">
        <v>25</v>
      </c>
      <c r="N28" s="507">
        <v>27.979825986165363</v>
      </c>
      <c r="O28" s="20">
        <v>4.4538622762689855</v>
      </c>
      <c r="P28" s="507">
        <v>31.49667138668233</v>
      </c>
      <c r="Q28" s="506">
        <v>5.013677947337758</v>
      </c>
      <c r="R28" s="507">
        <v>0</v>
      </c>
      <c r="S28" s="506">
        <v>0</v>
      </c>
      <c r="T28"/>
      <c r="U28"/>
      <c r="V28"/>
      <c r="W28" s="537">
        <v>24</v>
      </c>
      <c r="X28" s="20">
        <v>187.49665391215481</v>
      </c>
      <c r="Y28" s="506">
        <v>26.470552603333321</v>
      </c>
      <c r="Z28" s="507">
        <v>63.330706857375574</v>
      </c>
      <c r="AA28" s="506">
        <v>8.9409531972760536</v>
      </c>
      <c r="AB28" s="507">
        <v>46.501904743583083</v>
      </c>
      <c r="AC28" s="506">
        <v>6.5650831094133668</v>
      </c>
      <c r="AE28">
        <v>24</v>
      </c>
      <c r="AF28">
        <v>19.290932150820574</v>
      </c>
      <c r="AG28" s="20"/>
      <c r="AH28">
        <v>4.1425629283254519</v>
      </c>
      <c r="AI28" s="506"/>
      <c r="AJ28"/>
      <c r="AK28" s="506"/>
      <c r="AL28"/>
      <c r="AM28"/>
      <c r="AN28" s="20"/>
      <c r="AO28" s="20"/>
      <c r="AP28" s="20"/>
      <c r="AQ28" s="20"/>
      <c r="AR28" s="20"/>
      <c r="AS28" s="20"/>
    </row>
    <row r="29" spans="1:45">
      <c r="D29" s="1134">
        <v>30</v>
      </c>
      <c r="E29" s="1134">
        <v>0</v>
      </c>
      <c r="F29" s="1134">
        <v>0</v>
      </c>
      <c r="M29">
        <v>26</v>
      </c>
      <c r="N29" s="507">
        <v>21.70494454277226</v>
      </c>
      <c r="O29" s="20">
        <v>3.8776404344331667</v>
      </c>
      <c r="P29" s="507">
        <v>20.38462178188848</v>
      </c>
      <c r="Q29" s="506">
        <v>3.6417616044266525</v>
      </c>
      <c r="R29" s="507">
        <v>0</v>
      </c>
      <c r="S29" s="506">
        <v>0</v>
      </c>
      <c r="T29"/>
      <c r="U29"/>
      <c r="V29"/>
      <c r="W29" s="537">
        <v>25</v>
      </c>
      <c r="X29" s="20">
        <v>260.80256864022448</v>
      </c>
      <c r="Y29" s="506">
        <v>41.514865839233295</v>
      </c>
      <c r="Z29" s="507">
        <v>47.313101323722393</v>
      </c>
      <c r="AA29" s="506">
        <v>7.5313562444317181</v>
      </c>
      <c r="AB29" s="507">
        <v>22.397527253063526</v>
      </c>
      <c r="AC29" s="506">
        <v>3.5652652651753556</v>
      </c>
      <c r="AE29">
        <v>25</v>
      </c>
      <c r="AF29">
        <v>27.979825986165363</v>
      </c>
      <c r="AG29" s="20"/>
      <c r="AH29">
        <v>31.49667138668233</v>
      </c>
      <c r="AI29" s="506"/>
      <c r="AJ29"/>
      <c r="AK29" s="506"/>
      <c r="AL29"/>
      <c r="AM29"/>
      <c r="AN29" s="20"/>
      <c r="AO29" s="20"/>
      <c r="AP29" s="20"/>
      <c r="AQ29" s="20"/>
      <c r="AR29" s="20"/>
      <c r="AS29" s="20"/>
    </row>
    <row r="30" spans="1:45">
      <c r="D30" s="1134">
        <v>31</v>
      </c>
      <c r="E30" s="1134">
        <v>0</v>
      </c>
      <c r="F30" s="1134">
        <v>0</v>
      </c>
      <c r="M30">
        <v>27</v>
      </c>
      <c r="N30" s="507">
        <v>7.4949880432258889</v>
      </c>
      <c r="O30" s="20">
        <v>1.4963743628300483</v>
      </c>
      <c r="P30" s="507">
        <v>20.030722564605117</v>
      </c>
      <c r="Q30" s="506">
        <v>3.9991337600234109</v>
      </c>
      <c r="R30" s="507">
        <v>0</v>
      </c>
      <c r="S30" s="506">
        <v>0</v>
      </c>
      <c r="T30"/>
      <c r="U30"/>
      <c r="V30"/>
      <c r="W30" s="537">
        <v>26</v>
      </c>
      <c r="X30" s="20">
        <v>94.672766856238667</v>
      </c>
      <c r="Y30" s="506">
        <v>16.913517013507487</v>
      </c>
      <c r="Z30" s="507">
        <v>20.771374903253427</v>
      </c>
      <c r="AA30" s="506">
        <v>3.7108559777659917</v>
      </c>
      <c r="AB30" s="507">
        <v>8.0160883205969231</v>
      </c>
      <c r="AC30" s="506">
        <v>1.4320934170866093</v>
      </c>
      <c r="AE30">
        <v>26</v>
      </c>
      <c r="AF30">
        <v>21.70494454277226</v>
      </c>
      <c r="AG30" s="20"/>
      <c r="AH30">
        <v>20.38462178188848</v>
      </c>
      <c r="AI30" s="506"/>
      <c r="AJ30" s="507"/>
      <c r="AK30" s="506"/>
      <c r="AL30"/>
      <c r="AM30"/>
      <c r="AN30" s="20"/>
      <c r="AO30" s="20"/>
      <c r="AP30" s="20"/>
      <c r="AQ30" s="20"/>
      <c r="AR30" s="20"/>
      <c r="AS30" s="20"/>
    </row>
    <row r="31" spans="1:45">
      <c r="D31" s="1134">
        <v>32</v>
      </c>
      <c r="E31" s="1134">
        <v>0</v>
      </c>
      <c r="F31" s="1134">
        <v>0</v>
      </c>
      <c r="M31">
        <v>28</v>
      </c>
      <c r="N31" s="507">
        <v>11.599910330224805</v>
      </c>
      <c r="O31" s="20">
        <v>2.5778666325423871</v>
      </c>
      <c r="P31" s="507">
        <v>21.03040920168478</v>
      </c>
      <c r="Q31" s="506">
        <v>4.673621485545131</v>
      </c>
      <c r="R31" s="507">
        <v>0</v>
      </c>
      <c r="S31" s="506">
        <v>0</v>
      </c>
      <c r="T31"/>
      <c r="U31"/>
      <c r="V31"/>
      <c r="W31" s="537">
        <v>27</v>
      </c>
      <c r="X31" s="20">
        <v>42.090473615198505</v>
      </c>
      <c r="Y31" s="506">
        <v>8.4033630572743814</v>
      </c>
      <c r="Z31" s="507">
        <v>7.9709454975446743</v>
      </c>
      <c r="AA31" s="506">
        <v>1.591399268584794</v>
      </c>
      <c r="AB31" s="507">
        <v>3.0060331202238464</v>
      </c>
      <c r="AC31" s="506">
        <v>0.6001545124526908</v>
      </c>
      <c r="AE31">
        <v>27</v>
      </c>
      <c r="AF31">
        <v>7.4949880432258889</v>
      </c>
      <c r="AG31" s="20"/>
      <c r="AH31">
        <v>20.030722564605117</v>
      </c>
      <c r="AI31" s="506"/>
      <c r="AJ31" s="507"/>
      <c r="AK31" s="506"/>
      <c r="AL31"/>
      <c r="AM31"/>
      <c r="AN31" s="20"/>
      <c r="AO31" s="20"/>
      <c r="AP31" s="20"/>
      <c r="AQ31" s="20"/>
      <c r="AR31" s="20"/>
      <c r="AS31" s="20"/>
    </row>
    <row r="32" spans="1:45">
      <c r="D32" s="1134">
        <v>33</v>
      </c>
      <c r="E32" s="1134">
        <v>0</v>
      </c>
      <c r="F32" s="1134">
        <v>0</v>
      </c>
      <c r="M32">
        <v>29</v>
      </c>
      <c r="N32" s="507">
        <v>13.769869486618985</v>
      </c>
      <c r="O32" s="20">
        <v>3.3936504303507844</v>
      </c>
      <c r="P32" s="507">
        <v>20.030722564605114</v>
      </c>
      <c r="Q32" s="506">
        <v>4.9366677235152405</v>
      </c>
      <c r="R32" s="507">
        <v>0</v>
      </c>
      <c r="S32" s="506">
        <v>0</v>
      </c>
      <c r="T32"/>
      <c r="U32"/>
      <c r="V32"/>
      <c r="W32" s="537">
        <v>28</v>
      </c>
      <c r="X32" s="20">
        <v>29.244901386437508</v>
      </c>
      <c r="Y32" s="506">
        <v>6.4991412269502256</v>
      </c>
      <c r="Z32" s="507">
        <v>23.732265200425019</v>
      </c>
      <c r="AA32" s="506">
        <v>5.2740592671147724</v>
      </c>
      <c r="AB32" s="507">
        <v>1.0020110400746156</v>
      </c>
      <c r="AC32" s="506">
        <v>0.22267851665344593</v>
      </c>
      <c r="AE32">
        <v>28</v>
      </c>
      <c r="AF32">
        <v>11.599910330224805</v>
      </c>
      <c r="AG32" s="20"/>
      <c r="AH32">
        <v>21.03040920168478</v>
      </c>
      <c r="AI32" s="506"/>
      <c r="AJ32" s="507"/>
      <c r="AK32" s="506"/>
      <c r="AL32"/>
      <c r="AM32"/>
      <c r="AN32" s="20"/>
      <c r="AO32" s="20"/>
      <c r="AP32" s="20"/>
      <c r="AQ32" s="20"/>
      <c r="AR32" s="20"/>
      <c r="AS32" s="20"/>
    </row>
    <row r="33" spans="1:45">
      <c r="D33" s="1134">
        <v>34</v>
      </c>
      <c r="E33" s="1134">
        <v>0</v>
      </c>
      <c r="F33" s="1134">
        <v>0</v>
      </c>
      <c r="M33">
        <v>30</v>
      </c>
      <c r="N33" s="507">
        <v>9.0844538445328649</v>
      </c>
      <c r="O33" s="20">
        <v>2.4743981017030965</v>
      </c>
      <c r="P33" s="507">
        <v>0.99968663707966432</v>
      </c>
      <c r="Q33" s="506">
        <v>0.27229184708517512</v>
      </c>
      <c r="R33" s="507">
        <v>0</v>
      </c>
      <c r="S33" s="506">
        <v>0</v>
      </c>
      <c r="T33"/>
      <c r="U33"/>
      <c r="V33"/>
      <c r="W33" s="537">
        <v>29</v>
      </c>
      <c r="X33" s="20">
        <v>5.8460660557793664</v>
      </c>
      <c r="Y33" s="506">
        <v>1.4407910405638926</v>
      </c>
      <c r="Z33" s="507">
        <v>8.9278137145670406</v>
      </c>
      <c r="AA33" s="506">
        <v>2.2003025434608765</v>
      </c>
      <c r="AB33" s="507">
        <v>1.0020110400746156</v>
      </c>
      <c r="AC33" s="506">
        <v>0.24695043047938134</v>
      </c>
      <c r="AE33">
        <v>29</v>
      </c>
      <c r="AF33">
        <v>13.769869486618985</v>
      </c>
      <c r="AG33" s="20"/>
      <c r="AH33">
        <v>20.030722564605114</v>
      </c>
      <c r="AI33" s="506"/>
      <c r="AJ33" s="507"/>
      <c r="AK33" s="506"/>
      <c r="AL33"/>
      <c r="AM33"/>
      <c r="AN33" s="20"/>
      <c r="AO33" s="20"/>
      <c r="AP33" s="20"/>
      <c r="AQ33" s="20"/>
      <c r="AR33" s="20"/>
      <c r="AS33" s="20"/>
    </row>
    <row r="34" spans="1:45">
      <c r="D34" s="1134">
        <v>35</v>
      </c>
      <c r="E34" s="1134">
        <v>0</v>
      </c>
      <c r="F34" s="1134">
        <v>0</v>
      </c>
      <c r="M34">
        <v>31</v>
      </c>
      <c r="N34" s="507">
        <v>0.4804264331344219</v>
      </c>
      <c r="O34" s="20">
        <v>0.14415502599115534</v>
      </c>
      <c r="P34" s="507">
        <v>11.755000062923921</v>
      </c>
      <c r="Q34" s="506">
        <v>3.5271630008807251</v>
      </c>
      <c r="R34" s="507">
        <v>0</v>
      </c>
      <c r="S34" s="506">
        <v>0</v>
      </c>
      <c r="T34"/>
      <c r="U34"/>
      <c r="V34"/>
      <c r="W34" s="537">
        <v>30</v>
      </c>
      <c r="X34" s="20">
        <v>0</v>
      </c>
      <c r="Y34" s="506">
        <v>0</v>
      </c>
      <c r="Z34" s="507">
        <v>14.849594308910232</v>
      </c>
      <c r="AA34" s="506">
        <v>4.0446909189969036</v>
      </c>
      <c r="AB34" s="507">
        <v>1.0020110400746156</v>
      </c>
      <c r="AC34" s="506">
        <v>0.27292496146461154</v>
      </c>
      <c r="AE34">
        <v>30</v>
      </c>
      <c r="AF34">
        <v>9.0844538445328649</v>
      </c>
      <c r="AG34" s="20"/>
      <c r="AH34">
        <v>0.99968663707966432</v>
      </c>
      <c r="AI34" s="506"/>
      <c r="AJ34" s="507"/>
      <c r="AK34" s="506"/>
      <c r="AL34"/>
      <c r="AM34"/>
      <c r="AN34" s="20"/>
      <c r="AO34" s="20"/>
      <c r="AP34" s="20"/>
      <c r="AQ34" s="20"/>
      <c r="AR34" s="20"/>
      <c r="AS34" s="20"/>
    </row>
    <row r="35" spans="1:45">
      <c r="D35" s="1134">
        <v>36</v>
      </c>
      <c r="E35" s="1134">
        <v>0</v>
      </c>
      <c r="F35" s="1134">
        <v>0</v>
      </c>
      <c r="M35">
        <v>32</v>
      </c>
      <c r="N35" s="507">
        <v>3.7627516604110278</v>
      </c>
      <c r="O35" s="20">
        <v>1.240014809688454</v>
      </c>
      <c r="P35" s="507">
        <v>18.579995621853953</v>
      </c>
      <c r="Q35" s="506">
        <v>6.12303755718197</v>
      </c>
      <c r="R35" s="507">
        <v>0</v>
      </c>
      <c r="S35" s="506">
        <v>0</v>
      </c>
      <c r="T35"/>
      <c r="U35"/>
      <c r="V35"/>
      <c r="W35" s="537">
        <v>31</v>
      </c>
      <c r="X35" s="20">
        <v>0</v>
      </c>
      <c r="Y35" s="506">
        <v>0</v>
      </c>
      <c r="Z35" s="507">
        <v>19.76936386317881</v>
      </c>
      <c r="AA35" s="506">
        <v>5.9319241510755267</v>
      </c>
      <c r="AB35" s="507">
        <v>0</v>
      </c>
      <c r="AC35" s="506">
        <v>0</v>
      </c>
      <c r="AE35">
        <v>31</v>
      </c>
      <c r="AF35">
        <v>1</v>
      </c>
      <c r="AG35" s="20"/>
      <c r="AH35">
        <v>11.755000062923921</v>
      </c>
      <c r="AI35" s="506"/>
      <c r="AJ35" s="507"/>
      <c r="AK35" s="506"/>
      <c r="AL35"/>
      <c r="AM35"/>
      <c r="AN35" s="20"/>
      <c r="AO35" s="20"/>
      <c r="AP35" s="20"/>
      <c r="AQ35" s="20"/>
      <c r="AR35" s="20"/>
      <c r="AS35" s="20"/>
    </row>
    <row r="36" spans="1:45">
      <c r="D36" s="1134">
        <v>37</v>
      </c>
      <c r="E36" s="1134">
        <v>0</v>
      </c>
      <c r="F36" s="1134">
        <v>0</v>
      </c>
      <c r="M36">
        <v>33</v>
      </c>
      <c r="N36" s="507">
        <v>1.1209950106469846</v>
      </c>
      <c r="O36" s="20">
        <v>0.40458458686466281</v>
      </c>
      <c r="P36" s="507">
        <v>0</v>
      </c>
      <c r="Q36" s="506">
        <v>0</v>
      </c>
      <c r="R36" s="507">
        <v>0</v>
      </c>
      <c r="S36" s="506">
        <v>0</v>
      </c>
      <c r="T36"/>
      <c r="U36"/>
      <c r="V36"/>
      <c r="W36" s="537">
        <v>32</v>
      </c>
      <c r="X36" s="20">
        <v>0</v>
      </c>
      <c r="Y36" s="506">
        <v>0</v>
      </c>
      <c r="Z36" s="507">
        <v>2.9608902971715962</v>
      </c>
      <c r="AA36" s="506">
        <v>0.97576139743289947</v>
      </c>
      <c r="AB36" s="507">
        <v>1.0020110400746156</v>
      </c>
      <c r="AC36" s="506">
        <v>0.33021273825658953</v>
      </c>
      <c r="AE36">
        <v>32</v>
      </c>
      <c r="AF36">
        <v>3.7627516604110278</v>
      </c>
      <c r="AG36" s="20"/>
      <c r="AH36">
        <v>18.579995621853953</v>
      </c>
      <c r="AI36" s="506"/>
      <c r="AJ36" s="507"/>
      <c r="AK36" s="506"/>
      <c r="AL36"/>
      <c r="AM36"/>
      <c r="AN36" s="20"/>
      <c r="AO36" s="20"/>
      <c r="AP36" s="20"/>
      <c r="AQ36" s="20"/>
      <c r="AR36" s="20"/>
      <c r="AS36" s="20"/>
    </row>
    <row r="37" spans="1:45">
      <c r="D37" s="1134">
        <v>38</v>
      </c>
      <c r="E37" s="1134"/>
      <c r="F37" s="1134">
        <v>0</v>
      </c>
      <c r="M37">
        <v>34</v>
      </c>
      <c r="N37" s="507">
        <v>0.4804264331344219</v>
      </c>
      <c r="O37" s="20">
        <v>0.18938928854706694</v>
      </c>
      <c r="P37" s="507">
        <v>0.99968663707966432</v>
      </c>
      <c r="Q37" s="506">
        <v>0.39408726895248408</v>
      </c>
      <c r="R37" s="507">
        <v>0</v>
      </c>
      <c r="S37" s="506">
        <v>0</v>
      </c>
      <c r="T37"/>
      <c r="U37"/>
      <c r="V37"/>
      <c r="W37" s="537">
        <v>33</v>
      </c>
      <c r="X37" s="20">
        <v>0</v>
      </c>
      <c r="Y37" s="506">
        <v>0</v>
      </c>
      <c r="Z37" s="507">
        <v>0</v>
      </c>
      <c r="AA37" s="506">
        <v>0</v>
      </c>
      <c r="AB37" s="507">
        <v>0</v>
      </c>
      <c r="AC37" s="506">
        <v>0</v>
      </c>
      <c r="AE37">
        <v>33</v>
      </c>
      <c r="AF37">
        <v>1.1209950106469846</v>
      </c>
      <c r="AG37" s="20"/>
      <c r="AH37">
        <v>9.7898411294668097</v>
      </c>
      <c r="AI37" s="506"/>
      <c r="AJ37" s="507"/>
      <c r="AK37" s="506"/>
      <c r="AL37"/>
      <c r="AM37"/>
      <c r="AN37" s="20"/>
      <c r="AO37" s="20"/>
      <c r="AP37" s="20"/>
      <c r="AQ37" s="20"/>
      <c r="AR37" s="20"/>
      <c r="AS37" s="20"/>
    </row>
    <row r="38" spans="1:45">
      <c r="D38" s="1134">
        <v>39</v>
      </c>
      <c r="E38" s="1134"/>
      <c r="F38" s="1134">
        <v>0</v>
      </c>
      <c r="M38">
        <v>35</v>
      </c>
      <c r="N38" s="507">
        <v>0.4804264331344219</v>
      </c>
      <c r="O38" s="20">
        <v>0.20633988613148888</v>
      </c>
      <c r="P38" s="507">
        <v>0.99968663707966432</v>
      </c>
      <c r="Q38" s="506">
        <v>0.4293586127565836</v>
      </c>
      <c r="R38" s="507">
        <v>0</v>
      </c>
      <c r="S38" s="506">
        <v>0</v>
      </c>
      <c r="T38"/>
      <c r="U38"/>
      <c r="V38"/>
      <c r="W38" s="537">
        <v>34</v>
      </c>
      <c r="X38" s="20">
        <v>0</v>
      </c>
      <c r="Y38" s="506">
        <v>0</v>
      </c>
      <c r="Z38" s="507">
        <v>0</v>
      </c>
      <c r="AA38" s="506">
        <v>0</v>
      </c>
      <c r="AB38" s="507">
        <v>0</v>
      </c>
      <c r="AC38" s="506">
        <v>0</v>
      </c>
      <c r="AE38">
        <v>34</v>
      </c>
      <c r="AF38">
        <v>1</v>
      </c>
      <c r="AG38" s="20"/>
      <c r="AH38">
        <v>0.99968663707966432</v>
      </c>
      <c r="AI38" s="506"/>
      <c r="AJ38" s="507"/>
      <c r="AK38" s="506"/>
      <c r="AL38"/>
      <c r="AM38"/>
      <c r="AN38" s="20"/>
      <c r="AO38" s="20"/>
      <c r="AP38" s="20"/>
      <c r="AQ38" s="20"/>
      <c r="AR38" s="20"/>
      <c r="AS38" s="20"/>
    </row>
    <row r="39" spans="1:45">
      <c r="D39" s="1134">
        <v>40</v>
      </c>
      <c r="E39" s="1134"/>
      <c r="F39" s="1134"/>
      <c r="M39">
        <v>36</v>
      </c>
      <c r="N39" s="507">
        <v>0.16014214437814067</v>
      </c>
      <c r="O39" s="20">
        <v>7.4757619895461369E-2</v>
      </c>
      <c r="P39" s="507">
        <v>0.99968663707966432</v>
      </c>
      <c r="Q39" s="506">
        <v>0.46667411579618368</v>
      </c>
      <c r="R39" s="507">
        <v>0</v>
      </c>
      <c r="S39" s="506">
        <v>0</v>
      </c>
      <c r="T39"/>
      <c r="U39"/>
      <c r="V39"/>
      <c r="W39" s="537">
        <v>35</v>
      </c>
      <c r="X39" s="20">
        <v>0</v>
      </c>
      <c r="Y39" s="506">
        <v>0</v>
      </c>
      <c r="Z39" s="507">
        <v>0</v>
      </c>
      <c r="AA39" s="506">
        <v>0</v>
      </c>
      <c r="AB39" s="507">
        <v>0</v>
      </c>
      <c r="AC39" s="506">
        <v>0</v>
      </c>
      <c r="AE39">
        <v>35</v>
      </c>
      <c r="AF39">
        <v>1</v>
      </c>
      <c r="AG39" s="20"/>
      <c r="AH39">
        <v>0.99968663707966432</v>
      </c>
      <c r="AI39" s="506"/>
      <c r="AJ39" s="507"/>
      <c r="AK39" s="506"/>
      <c r="AL39"/>
      <c r="AM39"/>
      <c r="AN39" s="20"/>
      <c r="AO39" s="20"/>
      <c r="AP39" s="20"/>
      <c r="AQ39" s="20"/>
      <c r="AR39" s="20"/>
      <c r="AS39" s="20"/>
    </row>
    <row r="40" spans="1:45">
      <c r="D40" s="1134" t="s">
        <v>45</v>
      </c>
      <c r="E40" s="1134">
        <v>90</v>
      </c>
      <c r="F40" s="1134">
        <v>404</v>
      </c>
      <c r="M40">
        <v>37</v>
      </c>
      <c r="N40" s="507">
        <v>0</v>
      </c>
      <c r="O40" s="20">
        <v>0</v>
      </c>
      <c r="P40" s="507">
        <v>0</v>
      </c>
      <c r="Q40" s="506">
        <v>0</v>
      </c>
      <c r="R40" s="507">
        <v>0</v>
      </c>
      <c r="S40" s="506">
        <v>0</v>
      </c>
      <c r="T40"/>
      <c r="U40"/>
      <c r="V40"/>
      <c r="W40" s="537">
        <v>36</v>
      </c>
      <c r="X40" s="20">
        <v>0</v>
      </c>
      <c r="Y40" s="506">
        <v>0</v>
      </c>
      <c r="Z40" s="507">
        <v>0</v>
      </c>
      <c r="AA40" s="506">
        <v>0</v>
      </c>
      <c r="AB40" s="507">
        <v>0</v>
      </c>
      <c r="AC40" s="506">
        <v>0</v>
      </c>
      <c r="AE40">
        <v>36</v>
      </c>
      <c r="AF40">
        <v>1</v>
      </c>
      <c r="AG40" s="20"/>
      <c r="AH40">
        <v>0.99968663707966432</v>
      </c>
      <c r="AI40" s="506"/>
      <c r="AJ40" s="507"/>
      <c r="AK40" s="506"/>
      <c r="AL40"/>
      <c r="AM40"/>
      <c r="AN40" s="20"/>
      <c r="AO40" s="20"/>
      <c r="AP40" s="20"/>
      <c r="AQ40" s="20"/>
      <c r="AR40" s="20"/>
      <c r="AS40" s="20"/>
    </row>
    <row r="41" spans="1:45">
      <c r="D41" s="1134" t="s">
        <v>507</v>
      </c>
      <c r="E41" s="1134">
        <v>4.9210000000000003</v>
      </c>
      <c r="F41" s="1134">
        <v>16.900000000000002</v>
      </c>
      <c r="M41">
        <v>38</v>
      </c>
      <c r="N41" s="507">
        <v>0</v>
      </c>
      <c r="O41" s="20">
        <v>0</v>
      </c>
      <c r="P41" s="507">
        <v>0.99968663707966432</v>
      </c>
      <c r="Q41" s="506">
        <v>0.54766792738306835</v>
      </c>
      <c r="R41" s="507">
        <v>0</v>
      </c>
      <c r="S41" s="506">
        <v>0</v>
      </c>
      <c r="T41"/>
      <c r="U41"/>
      <c r="V41"/>
      <c r="W41" s="537">
        <v>37</v>
      </c>
      <c r="X41" s="20">
        <v>0</v>
      </c>
      <c r="Y41" s="506">
        <v>0</v>
      </c>
      <c r="Z41" s="507">
        <v>0</v>
      </c>
      <c r="AA41" s="506">
        <v>0</v>
      </c>
      <c r="AB41" s="507">
        <v>0</v>
      </c>
      <c r="AC41" s="506">
        <v>0</v>
      </c>
      <c r="AE41">
        <v>37</v>
      </c>
      <c r="AF41" s="507"/>
      <c r="AG41" s="20"/>
      <c r="AH41">
        <v>0.99968663707966432</v>
      </c>
      <c r="AI41" s="506"/>
      <c r="AJ41" s="507"/>
      <c r="AK41" s="506"/>
      <c r="AL41"/>
      <c r="AM41"/>
      <c r="AN41" s="20"/>
      <c r="AO41" s="20"/>
      <c r="AP41" s="20"/>
      <c r="AQ41" s="20"/>
      <c r="AR41" s="20"/>
      <c r="AS41" s="20"/>
    </row>
    <row r="42" spans="1:45">
      <c r="D42" s="1134"/>
      <c r="E42" s="1134"/>
      <c r="F42" s="1134"/>
      <c r="M42">
        <v>39</v>
      </c>
      <c r="N42" s="507">
        <v>0</v>
      </c>
      <c r="O42" s="20">
        <v>0</v>
      </c>
      <c r="P42" s="507">
        <v>0</v>
      </c>
      <c r="Q42" s="506">
        <v>0</v>
      </c>
      <c r="R42" s="507">
        <v>0</v>
      </c>
      <c r="S42" s="506">
        <v>0</v>
      </c>
      <c r="T42"/>
      <c r="U42"/>
      <c r="V42"/>
      <c r="W42" s="537">
        <v>38</v>
      </c>
      <c r="X42" s="20">
        <v>0</v>
      </c>
      <c r="Y42" s="506">
        <v>0</v>
      </c>
      <c r="Z42" s="507">
        <v>2.9608902971715962</v>
      </c>
      <c r="AA42" s="506">
        <v>1.6220929560463679</v>
      </c>
      <c r="AB42" s="507">
        <v>0</v>
      </c>
      <c r="AC42" s="506">
        <v>0</v>
      </c>
      <c r="AE42">
        <v>38</v>
      </c>
      <c r="AF42" s="507"/>
      <c r="AG42" s="20"/>
      <c r="AH42">
        <v>0.99968663707966432</v>
      </c>
      <c r="AI42" s="506"/>
      <c r="AJ42" s="507"/>
      <c r="AK42" s="506"/>
      <c r="AL42"/>
      <c r="AM42"/>
      <c r="AN42" s="20"/>
      <c r="AO42" s="20"/>
      <c r="AP42" s="20"/>
      <c r="AQ42" s="20"/>
      <c r="AR42" s="20"/>
      <c r="AS42" s="20"/>
    </row>
    <row r="43" spans="1:45">
      <c r="D43" s="1134"/>
      <c r="E43" s="1134"/>
      <c r="F43" s="1134"/>
      <c r="M43">
        <v>40</v>
      </c>
      <c r="N43" s="507">
        <v>0</v>
      </c>
      <c r="O43" s="20">
        <v>0</v>
      </c>
      <c r="P43" s="507">
        <v>0</v>
      </c>
      <c r="Q43" s="506">
        <v>0</v>
      </c>
      <c r="R43" s="507">
        <v>0</v>
      </c>
      <c r="S43" s="506">
        <v>0</v>
      </c>
      <c r="T43"/>
      <c r="U43"/>
      <c r="V43"/>
      <c r="W43" s="537">
        <v>39</v>
      </c>
      <c r="X43" s="20">
        <v>0</v>
      </c>
      <c r="Y43" s="506">
        <v>0</v>
      </c>
      <c r="Z43" s="507">
        <v>0</v>
      </c>
      <c r="AA43" s="506">
        <v>0</v>
      </c>
      <c r="AB43" s="507">
        <v>0.52992655713297732</v>
      </c>
      <c r="AC43" s="506">
        <v>0.31352935176274321</v>
      </c>
      <c r="AE43">
        <v>39</v>
      </c>
      <c r="AF43" s="507"/>
      <c r="AG43" s="20"/>
      <c r="AH43"/>
      <c r="AI43" s="506"/>
      <c r="AJ43" s="507"/>
      <c r="AK43" s="506"/>
      <c r="AL43"/>
      <c r="AM43"/>
      <c r="AN43" s="20"/>
      <c r="AO43" s="20"/>
      <c r="AP43" s="20"/>
      <c r="AQ43" s="20"/>
      <c r="AR43" s="20"/>
      <c r="AS43" s="20"/>
    </row>
    <row r="44" spans="1:45">
      <c r="M44">
        <v>41</v>
      </c>
      <c r="N44" s="507">
        <v>0</v>
      </c>
      <c r="O44" s="20">
        <v>0</v>
      </c>
      <c r="P44" s="507">
        <v>0</v>
      </c>
      <c r="Q44" s="506">
        <v>0</v>
      </c>
      <c r="R44" s="507">
        <v>0</v>
      </c>
      <c r="S44" s="506">
        <v>0</v>
      </c>
      <c r="T44"/>
      <c r="U44"/>
      <c r="V44"/>
      <c r="W44" s="537">
        <v>40</v>
      </c>
      <c r="X44" s="20">
        <v>0</v>
      </c>
      <c r="Y44" s="506">
        <v>0</v>
      </c>
      <c r="Z44" s="507">
        <v>0</v>
      </c>
      <c r="AA44" s="506">
        <v>0</v>
      </c>
      <c r="AB44" s="507">
        <v>0</v>
      </c>
      <c r="AC44" s="506">
        <v>0</v>
      </c>
      <c r="AE44">
        <v>40</v>
      </c>
      <c r="AF44" s="507"/>
      <c r="AG44" s="20"/>
      <c r="AH44" s="507"/>
      <c r="AI44" s="506"/>
      <c r="AJ44" s="507"/>
      <c r="AK44" s="506"/>
      <c r="AL44"/>
      <c r="AM44"/>
      <c r="AN44" s="20"/>
      <c r="AO44" s="20"/>
      <c r="AP44" s="20"/>
      <c r="AQ44" s="20"/>
      <c r="AR44" s="20"/>
      <c r="AS44" s="20"/>
    </row>
    <row r="45" spans="1:45">
      <c r="A45" s="6" t="s">
        <v>535</v>
      </c>
      <c r="M45">
        <v>42</v>
      </c>
      <c r="N45" s="507">
        <v>0</v>
      </c>
      <c r="O45" s="20">
        <v>0</v>
      </c>
      <c r="P45" s="507">
        <v>0</v>
      </c>
      <c r="Q45" s="506">
        <v>0</v>
      </c>
      <c r="R45" s="507">
        <v>0</v>
      </c>
      <c r="S45" s="506">
        <v>0</v>
      </c>
      <c r="T45"/>
      <c r="U45"/>
      <c r="V45"/>
      <c r="W45" s="537">
        <v>41</v>
      </c>
      <c r="X45" s="20">
        <v>0</v>
      </c>
      <c r="Y45" s="506">
        <v>0</v>
      </c>
      <c r="Z45" s="507">
        <v>0</v>
      </c>
      <c r="AA45" s="506">
        <v>0</v>
      </c>
      <c r="AB45" s="507">
        <v>0</v>
      </c>
      <c r="AC45" s="506">
        <v>0</v>
      </c>
      <c r="AE45">
        <v>41</v>
      </c>
      <c r="AF45" s="507"/>
      <c r="AG45" s="20"/>
      <c r="AH45" s="507"/>
      <c r="AI45" s="506"/>
      <c r="AJ45" s="507"/>
      <c r="AK45" s="506"/>
      <c r="AL45"/>
      <c r="AM45"/>
      <c r="AN45" s="20"/>
      <c r="AO45" s="20"/>
      <c r="AP45" s="20"/>
      <c r="AQ45" s="20"/>
      <c r="AR45" s="20"/>
      <c r="AS45" s="20"/>
    </row>
    <row r="46" spans="1:45">
      <c r="B46" s="1" t="s">
        <v>536</v>
      </c>
      <c r="M46">
        <v>43</v>
      </c>
      <c r="N46" s="507">
        <v>0</v>
      </c>
      <c r="O46" s="20">
        <v>0</v>
      </c>
      <c r="P46" s="507">
        <v>0</v>
      </c>
      <c r="Q46" s="506">
        <v>0</v>
      </c>
      <c r="R46" s="507">
        <v>0</v>
      </c>
      <c r="S46" s="506">
        <v>0</v>
      </c>
      <c r="T46"/>
      <c r="U46"/>
      <c r="V46"/>
      <c r="W46" s="537">
        <v>42</v>
      </c>
      <c r="X46" s="20">
        <v>0</v>
      </c>
      <c r="Y46" s="506">
        <v>0</v>
      </c>
      <c r="Z46" s="507">
        <v>0</v>
      </c>
      <c r="AA46" s="506">
        <v>0</v>
      </c>
      <c r="AB46" s="507">
        <v>0</v>
      </c>
      <c r="AC46" s="506">
        <v>0</v>
      </c>
      <c r="AE46">
        <v>42</v>
      </c>
      <c r="AF46" s="507"/>
      <c r="AG46" s="20"/>
      <c r="AH46" s="507"/>
      <c r="AI46" s="506"/>
      <c r="AJ46" s="507"/>
      <c r="AK46" s="506"/>
      <c r="AL46"/>
      <c r="AM46"/>
      <c r="AN46" s="20"/>
      <c r="AO46" s="20"/>
      <c r="AP46" s="20"/>
      <c r="AQ46" s="20"/>
      <c r="AR46" s="20"/>
      <c r="AS46" s="20"/>
    </row>
    <row r="47" spans="1:45">
      <c r="B47" s="1" t="s">
        <v>537</v>
      </c>
      <c r="M47">
        <v>44</v>
      </c>
      <c r="N47" s="507">
        <v>0</v>
      </c>
      <c r="O47" s="20">
        <v>0</v>
      </c>
      <c r="P47" s="507">
        <v>0</v>
      </c>
      <c r="Q47" s="506">
        <v>0</v>
      </c>
      <c r="R47" s="507">
        <v>0</v>
      </c>
      <c r="S47" s="506">
        <v>0</v>
      </c>
      <c r="T47"/>
      <c r="U47"/>
      <c r="V47"/>
      <c r="W47" s="537">
        <v>43</v>
      </c>
      <c r="X47" s="20">
        <v>0</v>
      </c>
      <c r="Y47" s="506">
        <v>0</v>
      </c>
      <c r="Z47" s="507">
        <v>0</v>
      </c>
      <c r="AA47" s="506">
        <v>0</v>
      </c>
      <c r="AB47" s="507">
        <v>0</v>
      </c>
      <c r="AC47" s="506">
        <v>0</v>
      </c>
      <c r="AE47">
        <v>43</v>
      </c>
      <c r="AF47" s="507"/>
      <c r="AG47" s="20"/>
      <c r="AH47" s="507"/>
      <c r="AI47" s="506"/>
      <c r="AJ47" s="507"/>
      <c r="AK47" s="506"/>
      <c r="AL47"/>
      <c r="AM47"/>
      <c r="AN47" s="20"/>
      <c r="AO47" s="20"/>
      <c r="AP47" s="20"/>
      <c r="AQ47" s="20"/>
      <c r="AR47" s="20"/>
      <c r="AS47" s="20"/>
    </row>
    <row r="48" spans="1:45">
      <c r="M48">
        <v>45</v>
      </c>
      <c r="N48" s="507">
        <v>6.5646504545532114</v>
      </c>
      <c r="O48" s="20">
        <v>5.936316249225742</v>
      </c>
      <c r="P48" s="507">
        <v>0</v>
      </c>
      <c r="Q48" s="506">
        <v>0</v>
      </c>
      <c r="R48" s="507">
        <v>0</v>
      </c>
      <c r="S48" s="506">
        <v>0</v>
      </c>
      <c r="T48"/>
      <c r="U48"/>
      <c r="V48"/>
      <c r="W48" s="537">
        <v>44</v>
      </c>
      <c r="X48" s="20">
        <v>0</v>
      </c>
      <c r="Y48" s="506">
        <v>0</v>
      </c>
      <c r="Z48" s="507">
        <v>0</v>
      </c>
      <c r="AA48" s="506">
        <v>0</v>
      </c>
      <c r="AB48" s="507">
        <v>0</v>
      </c>
      <c r="AC48" s="506">
        <v>0</v>
      </c>
      <c r="AE48">
        <v>44</v>
      </c>
      <c r="AF48" s="507"/>
      <c r="AG48" s="20"/>
      <c r="AH48" s="507"/>
      <c r="AI48" s="506"/>
      <c r="AJ48" s="507"/>
      <c r="AK48" s="506"/>
      <c r="AL48"/>
      <c r="AM48"/>
      <c r="AN48" s="20"/>
      <c r="AO48" s="20"/>
      <c r="AP48" s="20"/>
      <c r="AQ48" s="20"/>
      <c r="AR48" s="20"/>
      <c r="AS48" s="20"/>
    </row>
    <row r="49" spans="2:45">
      <c r="M49">
        <v>46</v>
      </c>
      <c r="N49" s="507">
        <v>3.2823252272766057</v>
      </c>
      <c r="O49" s="20">
        <v>3.168193527403834</v>
      </c>
      <c r="P49" s="507">
        <v>0</v>
      </c>
      <c r="Q49" s="506">
        <v>0</v>
      </c>
      <c r="R49" s="507">
        <v>0</v>
      </c>
      <c r="S49" s="506">
        <v>0</v>
      </c>
      <c r="T49"/>
      <c r="U49"/>
      <c r="V49"/>
      <c r="W49" s="537">
        <v>45</v>
      </c>
      <c r="X49" s="20">
        <v>0</v>
      </c>
      <c r="Y49" s="506">
        <v>0</v>
      </c>
      <c r="Z49" s="507">
        <v>0</v>
      </c>
      <c r="AA49" s="506">
        <v>0</v>
      </c>
      <c r="AB49" s="507">
        <v>0</v>
      </c>
      <c r="AC49" s="506">
        <v>0</v>
      </c>
      <c r="AE49">
        <v>45</v>
      </c>
      <c r="AF49" s="507"/>
      <c r="AG49" s="20"/>
      <c r="AH49" s="507"/>
      <c r="AI49" s="506"/>
      <c r="AJ49" s="507"/>
      <c r="AK49" s="506"/>
      <c r="AL49"/>
      <c r="AM49"/>
      <c r="AN49" s="20"/>
      <c r="AO49" s="20"/>
      <c r="AP49" s="20"/>
      <c r="AQ49" s="20"/>
      <c r="AR49" s="20"/>
      <c r="AS49" s="20"/>
    </row>
    <row r="50" spans="2:45">
      <c r="M50">
        <v>47</v>
      </c>
      <c r="N50" s="507">
        <v>6.5646504545532114</v>
      </c>
      <c r="O50" s="20">
        <v>6.7540406201670713</v>
      </c>
      <c r="P50" s="507">
        <v>0</v>
      </c>
      <c r="Q50" s="506">
        <v>0</v>
      </c>
      <c r="R50" s="507">
        <v>0</v>
      </c>
      <c r="S50" s="506">
        <v>0</v>
      </c>
      <c r="T50"/>
      <c r="U50"/>
      <c r="V50"/>
      <c r="W50" s="537">
        <v>46</v>
      </c>
      <c r="X50" s="20">
        <v>0</v>
      </c>
      <c r="Y50" s="506">
        <v>0</v>
      </c>
      <c r="Z50" s="507">
        <v>0</v>
      </c>
      <c r="AA50" s="506">
        <v>0</v>
      </c>
      <c r="AB50" s="507">
        <v>0</v>
      </c>
      <c r="AC50" s="506">
        <v>0</v>
      </c>
      <c r="AE50">
        <v>46</v>
      </c>
      <c r="AF50" s="507"/>
      <c r="AG50" s="20"/>
      <c r="AH50" s="507"/>
      <c r="AI50" s="506"/>
      <c r="AJ50" s="507"/>
      <c r="AK50" s="506"/>
      <c r="AL50"/>
      <c r="AM50"/>
      <c r="AN50" s="20"/>
      <c r="AO50" s="20"/>
      <c r="AP50" s="20"/>
      <c r="AQ50" s="20"/>
      <c r="AR50" s="20"/>
      <c r="AS50" s="20"/>
    </row>
    <row r="51" spans="2:45">
      <c r="M51">
        <v>48</v>
      </c>
      <c r="N51" s="507">
        <v>49.23487840914909</v>
      </c>
      <c r="O51" s="20">
        <v>53.922413018775984</v>
      </c>
      <c r="P51" s="507">
        <v>0</v>
      </c>
      <c r="Q51" s="506">
        <v>0</v>
      </c>
      <c r="R51" s="507">
        <v>0</v>
      </c>
      <c r="S51" s="506">
        <v>0</v>
      </c>
      <c r="T51"/>
      <c r="U51"/>
      <c r="V51"/>
      <c r="W51" s="537">
        <v>47</v>
      </c>
      <c r="X51" s="20">
        <v>0</v>
      </c>
      <c r="Y51" s="506">
        <v>0</v>
      </c>
      <c r="Z51" s="507">
        <v>0</v>
      </c>
      <c r="AA51" s="506">
        <v>0</v>
      </c>
      <c r="AB51" s="507">
        <v>0</v>
      </c>
      <c r="AC51" s="506">
        <v>0</v>
      </c>
      <c r="AE51">
        <v>47</v>
      </c>
      <c r="AF51" s="507"/>
      <c r="AG51" s="20"/>
      <c r="AH51" s="507"/>
      <c r="AI51" s="506"/>
      <c r="AJ51" s="507"/>
      <c r="AK51" s="506"/>
      <c r="AL51"/>
      <c r="AM51"/>
      <c r="AN51" s="20"/>
      <c r="AO51" s="20"/>
      <c r="AP51" s="20"/>
      <c r="AQ51" s="20"/>
      <c r="AR51" s="20"/>
      <c r="AS51" s="20"/>
    </row>
    <row r="52" spans="2:45">
      <c r="M52">
        <v>49</v>
      </c>
      <c r="N52" s="507">
        <v>26.258601818212846</v>
      </c>
      <c r="O52" s="20">
        <v>30.574434102732127</v>
      </c>
      <c r="P52" s="507">
        <v>0</v>
      </c>
      <c r="Q52" s="506">
        <v>0</v>
      </c>
      <c r="R52" s="507">
        <v>0</v>
      </c>
      <c r="S52" s="506">
        <v>0</v>
      </c>
      <c r="T52"/>
      <c r="U52"/>
      <c r="V52"/>
      <c r="W52" s="537">
        <v>48</v>
      </c>
      <c r="X52" s="20">
        <v>0</v>
      </c>
      <c r="Y52" s="506">
        <v>0</v>
      </c>
      <c r="Z52" s="507">
        <v>0</v>
      </c>
      <c r="AA52" s="506">
        <v>0</v>
      </c>
      <c r="AB52" s="507">
        <v>0</v>
      </c>
      <c r="AC52" s="506">
        <v>0</v>
      </c>
      <c r="AE52">
        <v>48</v>
      </c>
      <c r="AF52" s="507"/>
      <c r="AG52" s="20"/>
      <c r="AH52" s="507"/>
      <c r="AI52" s="506"/>
      <c r="AJ52" s="507"/>
      <c r="AK52" s="506"/>
      <c r="AL52"/>
      <c r="AM52"/>
      <c r="AN52" s="20"/>
      <c r="AO52" s="20"/>
      <c r="AP52" s="20"/>
      <c r="AQ52" s="20"/>
      <c r="AR52" s="20"/>
      <c r="AS52" s="20"/>
    </row>
    <row r="53" spans="2:45">
      <c r="M53">
        <v>50</v>
      </c>
      <c r="N53" s="507">
        <v>19.693951363659639</v>
      </c>
      <c r="O53" s="20">
        <v>24.348837340715864</v>
      </c>
      <c r="P53" s="507">
        <v>0</v>
      </c>
      <c r="Q53" s="506">
        <v>0</v>
      </c>
      <c r="R53" s="507">
        <v>0</v>
      </c>
      <c r="S53" s="506">
        <v>0</v>
      </c>
      <c r="T53"/>
      <c r="U53"/>
      <c r="V53"/>
      <c r="W53" s="537">
        <v>49</v>
      </c>
      <c r="X53" s="20">
        <v>0</v>
      </c>
      <c r="Y53" s="506">
        <v>0</v>
      </c>
      <c r="Z53" s="507">
        <v>0</v>
      </c>
      <c r="AA53" s="506">
        <v>0</v>
      </c>
      <c r="AB53" s="507">
        <v>0</v>
      </c>
      <c r="AC53" s="506">
        <v>0</v>
      </c>
      <c r="AE53">
        <v>49</v>
      </c>
      <c r="AF53" s="507"/>
      <c r="AG53" s="20"/>
      <c r="AH53" s="507"/>
      <c r="AI53" s="506"/>
      <c r="AJ53" s="507"/>
      <c r="AK53" s="506"/>
      <c r="AL53"/>
      <c r="AM53"/>
      <c r="AN53" s="20"/>
      <c r="AO53" s="20"/>
      <c r="AP53" s="20"/>
      <c r="AQ53" s="20"/>
      <c r="AR53" s="20"/>
      <c r="AS53" s="20"/>
    </row>
    <row r="54" spans="2:45">
      <c r="B54" s="6"/>
      <c r="M54" s="1134"/>
      <c r="N54" s="1199">
        <v>2212.691312800614</v>
      </c>
      <c r="O54" s="1199"/>
      <c r="P54" s="1199">
        <v>176.41314511813118</v>
      </c>
      <c r="Q54" s="1199"/>
      <c r="R54" s="1199">
        <v>233.13893733930661</v>
      </c>
      <c r="S54" s="1199"/>
      <c r="T54"/>
      <c r="U54"/>
      <c r="V54"/>
      <c r="W54" s="537">
        <v>50</v>
      </c>
      <c r="X54" s="20">
        <v>0</v>
      </c>
      <c r="Y54" s="506">
        <v>0</v>
      </c>
      <c r="Z54" s="507">
        <v>0</v>
      </c>
      <c r="AA54" s="506">
        <v>0</v>
      </c>
      <c r="AB54" s="507">
        <v>0</v>
      </c>
      <c r="AC54" s="506">
        <v>0</v>
      </c>
      <c r="AE54">
        <v>50</v>
      </c>
      <c r="AF54" s="507"/>
      <c r="AG54" s="20"/>
      <c r="AH54" s="507"/>
      <c r="AI54" s="506"/>
      <c r="AJ54" s="507"/>
      <c r="AK54" s="506"/>
      <c r="AL54"/>
      <c r="AM54"/>
      <c r="AN54" s="20"/>
      <c r="AO54" s="20"/>
      <c r="AP54" s="20"/>
      <c r="AQ54" s="20"/>
      <c r="AR54" s="20"/>
      <c r="AS54" s="20"/>
    </row>
    <row r="55" spans="2:45">
      <c r="M55" s="1134"/>
      <c r="N55" s="1199"/>
      <c r="O55" s="1199">
        <v>272.88529009115013</v>
      </c>
      <c r="P55" s="1199"/>
      <c r="Q55" s="1199">
        <v>36.904920761872638</v>
      </c>
      <c r="R55" s="1199"/>
      <c r="S55" s="1199">
        <v>11.95392003564962</v>
      </c>
      <c r="T55"/>
      <c r="U55"/>
      <c r="V55" t="s">
        <v>157</v>
      </c>
      <c r="W55" s="537"/>
      <c r="X55" s="20">
        <v>2048.6645601562368</v>
      </c>
      <c r="Y55" s="506"/>
      <c r="Z55" s="507">
        <v>363.61474238091171</v>
      </c>
      <c r="AA55" s="506"/>
      <c r="AB55" s="507">
        <v>691.12595346126909</v>
      </c>
      <c r="AC55" s="506"/>
      <c r="AE55" s="1134"/>
      <c r="AF55" s="1199">
        <f>SUM(AF12:AF48)</f>
        <v>2103.4908336294284</v>
      </c>
      <c r="AG55" s="1199" t="s">
        <v>18</v>
      </c>
      <c r="AH55" s="1199">
        <f>SUM(AH12:AH48)</f>
        <v>191.77317094153958</v>
      </c>
      <c r="AI55" s="1199" t="s">
        <v>18</v>
      </c>
      <c r="AJ55" s="1199">
        <f>SUM(AJ12:AJ48)</f>
        <v>233.13893733930661</v>
      </c>
      <c r="AK55" s="1199" t="s">
        <v>18</v>
      </c>
      <c r="AL55">
        <f>AJ55/(AF55+AJ55)*100</f>
        <v>9.977572837422608</v>
      </c>
      <c r="AM55"/>
      <c r="AN55" s="20"/>
      <c r="AO55" s="20"/>
      <c r="AP55" s="20"/>
      <c r="AQ55" s="20"/>
      <c r="AR55" s="20"/>
      <c r="AS55" s="20"/>
    </row>
    <row r="56" spans="2:45">
      <c r="M56" s="1134"/>
      <c r="N56" s="1199" t="s">
        <v>538</v>
      </c>
      <c r="O56" s="1199">
        <v>2622.2433952580518</v>
      </c>
      <c r="P56" s="1199" t="s">
        <v>539</v>
      </c>
      <c r="Q56" s="1199">
        <v>321.74413088867237</v>
      </c>
      <c r="R56" s="1199"/>
      <c r="S56" s="1199"/>
      <c r="T56"/>
      <c r="U56"/>
      <c r="V56" t="s">
        <v>540</v>
      </c>
      <c r="W56" s="537"/>
      <c r="X56" s="20"/>
      <c r="Y56" s="506">
        <v>182.61733608146429</v>
      </c>
      <c r="Z56" s="507"/>
      <c r="AA56" s="506">
        <v>52.794220132596621</v>
      </c>
      <c r="AB56" s="507"/>
      <c r="AC56" s="506">
        <v>70.364676010635478</v>
      </c>
      <c r="AE56" s="1134"/>
      <c r="AF56" s="1199"/>
      <c r="AG56" s="1199" t="s">
        <v>18</v>
      </c>
      <c r="AH56" s="1199"/>
      <c r="AI56" s="1199" t="s">
        <v>18</v>
      </c>
      <c r="AJ56" s="1199"/>
      <c r="AK56" s="1199" t="s">
        <v>18</v>
      </c>
      <c r="AL56"/>
      <c r="AM56"/>
      <c r="AN56" s="20"/>
      <c r="AO56" s="20"/>
      <c r="AP56" s="20"/>
      <c r="AQ56" s="20"/>
      <c r="AR56" s="20"/>
      <c r="AS56" s="20"/>
    </row>
    <row r="57" spans="2:45" ht="13.8" thickBot="1">
      <c r="M57"/>
      <c r="N57"/>
      <c r="O57"/>
      <c r="P57"/>
      <c r="Q57"/>
      <c r="R57"/>
      <c r="S57"/>
      <c r="T57"/>
      <c r="U57"/>
      <c r="V57" t="s">
        <v>45</v>
      </c>
      <c r="W57" s="539"/>
      <c r="X57" s="540" t="s">
        <v>538</v>
      </c>
      <c r="Y57" s="541">
        <v>3103.4052559984175</v>
      </c>
      <c r="Z57" s="542" t="s">
        <v>539</v>
      </c>
      <c r="AA57" s="541">
        <v>305.7762322246964</v>
      </c>
      <c r="AB57" s="542"/>
      <c r="AC57" s="541"/>
      <c r="AE57" s="1134"/>
      <c r="AF57" s="1199" t="s">
        <v>538</v>
      </c>
      <c r="AG57" s="1199" t="s">
        <v>18</v>
      </c>
      <c r="AH57" s="1199" t="s">
        <v>539</v>
      </c>
      <c r="AI57" s="1199" t="s">
        <v>18</v>
      </c>
      <c r="AJ57" s="1199"/>
      <c r="AK57" s="1199"/>
      <c r="AL57"/>
      <c r="AM57"/>
      <c r="AN57" s="6" t="s">
        <v>541</v>
      </c>
    </row>
    <row r="58" spans="2:45"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E58"/>
      <c r="AF58"/>
      <c r="AG58"/>
      <c r="AH58"/>
      <c r="AI58"/>
      <c r="AJ58"/>
      <c r="AK58"/>
      <c r="AL58" t="s">
        <v>157</v>
      </c>
      <c r="AM58"/>
      <c r="AO58" s="1" t="s">
        <v>536</v>
      </c>
    </row>
    <row r="59" spans="2:45"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L59" t="s">
        <v>540</v>
      </c>
      <c r="AO59" s="1" t="s">
        <v>537</v>
      </c>
    </row>
    <row r="60" spans="2:45"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 t="s">
        <v>45</v>
      </c>
    </row>
    <row r="61" spans="2:45"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</row>
    <row r="62" spans="2:45"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</row>
    <row r="63" spans="2:45"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</row>
    <row r="64" spans="2:45"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</row>
    <row r="65" spans="13:31"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</row>
    <row r="66" spans="13:31"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</row>
    <row r="67" spans="13:31"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</row>
    <row r="68" spans="13:31"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</row>
    <row r="69" spans="13:31"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</row>
    <row r="70" spans="13:31"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</row>
    <row r="71" spans="13:31"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</row>
    <row r="72" spans="13:31"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</row>
    <row r="73" spans="13:31"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</row>
    <row r="74" spans="13:31"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</row>
    <row r="75" spans="13:31"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</row>
    <row r="76" spans="13:31"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</row>
    <row r="77" spans="13:31"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</row>
    <row r="78" spans="13:31"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</row>
    <row r="79" spans="13:31"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</row>
    <row r="80" spans="13:31"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</row>
    <row r="81" spans="13:31"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</row>
    <row r="82" spans="13:31"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</row>
    <row r="83" spans="13:31"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</row>
    <row r="84" spans="13:31"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</row>
    <row r="85" spans="13:31"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</row>
    <row r="86" spans="13:31"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</row>
    <row r="87" spans="13:31"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</row>
    <row r="88" spans="13:31"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</row>
  </sheetData>
  <phoneticPr fontId="23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"/>
  <sheetViews>
    <sheetView workbookViewId="0"/>
  </sheetViews>
  <sheetFormatPr defaultColWidth="11.44140625" defaultRowHeight="13.2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A1"/>
  <sheetViews>
    <sheetView workbookViewId="0"/>
  </sheetViews>
  <sheetFormatPr defaultColWidth="11.44140625" defaultRowHeight="13.2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"/>
  <sheetViews>
    <sheetView workbookViewId="0"/>
  </sheetViews>
  <sheetFormatPr defaultColWidth="11.44140625" defaultRowHeight="13.2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</sheetPr>
  <dimension ref="A1"/>
  <sheetViews>
    <sheetView workbookViewId="0"/>
  </sheetViews>
  <sheetFormatPr defaultColWidth="11.44140625" defaultRowHeight="13.2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</sheetPr>
  <dimension ref="A1"/>
  <sheetViews>
    <sheetView workbookViewId="0"/>
  </sheetViews>
  <sheetFormatPr defaultColWidth="11.44140625" defaultRowHeight="13.2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0000"/>
  </sheetPr>
  <dimension ref="A1"/>
  <sheetViews>
    <sheetView workbookViewId="0"/>
  </sheetViews>
  <sheetFormatPr defaultColWidth="11.44140625" defaultRowHeight="13.2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A1"/>
  <sheetViews>
    <sheetView workbookViewId="0"/>
  </sheetViews>
  <sheetFormatPr defaultColWidth="11.44140625" defaultRowHeight="13.2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A1"/>
  <sheetViews>
    <sheetView workbookViewId="0"/>
  </sheetViews>
  <sheetFormatPr defaultColWidth="11.44140625" defaultRowHeight="13.2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A1"/>
  <sheetViews>
    <sheetView workbookViewId="0"/>
  </sheetViews>
  <sheetFormatPr defaultColWidth="11.44140625" defaultRowHeight="13.2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5">
    <tabColor rgb="FFFF0000"/>
  </sheetPr>
  <dimension ref="A1:N43"/>
  <sheetViews>
    <sheetView zoomScale="60" zoomScaleNormal="60" workbookViewId="0">
      <selection sqref="A1:M35"/>
    </sheetView>
  </sheetViews>
  <sheetFormatPr defaultColWidth="11.44140625" defaultRowHeight="13.2"/>
  <cols>
    <col min="1" max="11" width="9.6640625" style="1" customWidth="1"/>
    <col min="12" max="16384" width="11.44140625" style="1"/>
  </cols>
  <sheetData>
    <row r="1" spans="1:13">
      <c r="A1" s="117" t="s">
        <v>542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13" ht="13.8" thickBot="1">
      <c r="A2" s="9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</row>
    <row r="3" spans="1:13" ht="13.8" thickTop="1">
      <c r="A3" s="623"/>
      <c r="B3" s="2105" t="s">
        <v>543</v>
      </c>
      <c r="C3" s="2105"/>
      <c r="D3" s="624"/>
      <c r="E3" s="624"/>
      <c r="F3" s="624"/>
      <c r="G3" s="624"/>
      <c r="H3" s="624"/>
      <c r="I3" s="624"/>
      <c r="J3" s="624"/>
      <c r="K3" s="625"/>
      <c r="L3" s="75"/>
      <c r="M3" s="75"/>
    </row>
    <row r="4" spans="1:13">
      <c r="A4" s="732"/>
      <c r="B4" s="2106" t="s">
        <v>544</v>
      </c>
      <c r="C4" s="2106"/>
      <c r="D4" s="2106"/>
      <c r="E4" s="2106"/>
      <c r="F4" s="2106"/>
      <c r="G4" s="2106" t="s">
        <v>545</v>
      </c>
      <c r="H4" s="2106"/>
      <c r="I4" s="2106"/>
      <c r="J4" s="2106"/>
      <c r="K4" s="2107"/>
      <c r="L4" s="75"/>
      <c r="M4" s="75"/>
    </row>
    <row r="5" spans="1:13">
      <c r="A5" s="801" t="s">
        <v>521</v>
      </c>
      <c r="B5" s="1814" t="s">
        <v>546</v>
      </c>
      <c r="C5" s="1814" t="s">
        <v>547</v>
      </c>
      <c r="D5" s="1814" t="s">
        <v>548</v>
      </c>
      <c r="E5" s="1814" t="s">
        <v>549</v>
      </c>
      <c r="F5" s="1814" t="s">
        <v>550</v>
      </c>
      <c r="G5" s="1814" t="s">
        <v>546</v>
      </c>
      <c r="H5" s="1814" t="s">
        <v>547</v>
      </c>
      <c r="I5" s="1814" t="s">
        <v>548</v>
      </c>
      <c r="J5" s="1814" t="s">
        <v>549</v>
      </c>
      <c r="K5" s="802" t="s">
        <v>550</v>
      </c>
      <c r="L5" s="75"/>
      <c r="M5" s="75"/>
    </row>
    <row r="6" spans="1:13">
      <c r="A6" s="801" t="s">
        <v>522</v>
      </c>
      <c r="B6" s="1814"/>
      <c r="C6" s="1814"/>
      <c r="D6" s="1814"/>
      <c r="E6" s="1814" t="s">
        <v>551</v>
      </c>
      <c r="F6" s="1290"/>
      <c r="G6" s="1814"/>
      <c r="H6" s="1814"/>
      <c r="I6" s="1814"/>
      <c r="J6" s="1814" t="s">
        <v>551</v>
      </c>
      <c r="K6" s="803"/>
      <c r="L6" s="75"/>
      <c r="M6" s="75"/>
    </row>
    <row r="7" spans="1:13">
      <c r="A7" s="801">
        <v>5</v>
      </c>
      <c r="B7" s="1290"/>
      <c r="C7" s="1290"/>
      <c r="D7" s="1290"/>
      <c r="E7" s="1290"/>
      <c r="F7" s="1290"/>
      <c r="G7" s="1290"/>
      <c r="H7" s="1290"/>
      <c r="I7" s="1290"/>
      <c r="J7" s="1290"/>
      <c r="K7" s="803"/>
      <c r="L7" s="75"/>
      <c r="M7" s="75"/>
    </row>
    <row r="8" spans="1:13">
      <c r="A8" s="801">
        <v>6</v>
      </c>
      <c r="B8" s="1290"/>
      <c r="C8" s="1290"/>
      <c r="D8" s="1290"/>
      <c r="E8" s="1290"/>
      <c r="F8" s="1290"/>
      <c r="G8" s="1290"/>
      <c r="H8" s="1290"/>
      <c r="I8" s="1290"/>
      <c r="J8" s="1290"/>
      <c r="K8" s="803"/>
      <c r="L8" s="75"/>
      <c r="M8" s="75"/>
    </row>
    <row r="9" spans="1:13">
      <c r="A9" s="801">
        <v>7</v>
      </c>
      <c r="B9" s="1290"/>
      <c r="C9" s="1290"/>
      <c r="D9" s="1290"/>
      <c r="E9" s="1290"/>
      <c r="F9" s="1290"/>
      <c r="G9" s="1290"/>
      <c r="H9" s="1290"/>
      <c r="I9" s="1290"/>
      <c r="J9" s="1290"/>
      <c r="K9" s="803"/>
      <c r="L9" s="75"/>
      <c r="M9" s="75"/>
    </row>
    <row r="10" spans="1:13">
      <c r="A10" s="801">
        <v>8</v>
      </c>
      <c r="B10" s="1290"/>
      <c r="C10" s="1290"/>
      <c r="D10" s="1290"/>
      <c r="E10" s="1290"/>
      <c r="F10" s="1290"/>
      <c r="G10" s="1290"/>
      <c r="H10" s="1290"/>
      <c r="I10" s="1290"/>
      <c r="J10" s="1290"/>
      <c r="K10" s="803"/>
      <c r="L10" s="75"/>
      <c r="M10" s="75"/>
    </row>
    <row r="11" spans="1:13">
      <c r="A11" s="801">
        <v>9</v>
      </c>
      <c r="B11" s="1834">
        <v>1598</v>
      </c>
      <c r="C11" s="1290"/>
      <c r="D11" s="1290"/>
      <c r="E11" s="1290"/>
      <c r="F11" s="1835">
        <f>SUM(B11:E11)</f>
        <v>1598</v>
      </c>
      <c r="G11" s="1836">
        <v>13</v>
      </c>
      <c r="H11" s="1837"/>
      <c r="I11" s="1290"/>
      <c r="J11" s="1290"/>
      <c r="K11" s="804">
        <f>SUM(G11:J11)</f>
        <v>13</v>
      </c>
      <c r="L11" s="75"/>
      <c r="M11" s="75"/>
    </row>
    <row r="12" spans="1:13">
      <c r="A12" s="801">
        <v>10</v>
      </c>
      <c r="B12" s="1834">
        <v>18644</v>
      </c>
      <c r="C12" s="1290"/>
      <c r="D12" s="1290"/>
      <c r="E12" s="1290"/>
      <c r="F12" s="1835">
        <f t="shared" ref="F12:F37" si="0">SUM(B12:E12)</f>
        <v>18644</v>
      </c>
      <c r="G12" s="1836">
        <v>207</v>
      </c>
      <c r="H12" s="1837"/>
      <c r="I12" s="1290"/>
      <c r="J12" s="1290"/>
      <c r="K12" s="804">
        <f t="shared" ref="K12:K37" si="1">SUM(G12:J12)</f>
        <v>207</v>
      </c>
      <c r="L12" s="75"/>
      <c r="M12" s="75"/>
    </row>
    <row r="13" spans="1:13">
      <c r="A13" s="801">
        <v>11</v>
      </c>
      <c r="B13" s="1834">
        <v>3013</v>
      </c>
      <c r="C13" s="1290"/>
      <c r="D13" s="1290"/>
      <c r="E13" s="1290"/>
      <c r="F13" s="1835">
        <f t="shared" si="0"/>
        <v>3013</v>
      </c>
      <c r="G13" s="1836">
        <v>44</v>
      </c>
      <c r="H13" s="1837"/>
      <c r="I13" s="1290"/>
      <c r="J13" s="1290"/>
      <c r="K13" s="804">
        <f t="shared" si="1"/>
        <v>44</v>
      </c>
      <c r="L13" s="75"/>
      <c r="M13" s="75"/>
    </row>
    <row r="14" spans="1:13">
      <c r="A14" s="801">
        <v>12</v>
      </c>
      <c r="B14" s="1834">
        <v>11562</v>
      </c>
      <c r="C14" s="1835"/>
      <c r="D14" s="1835"/>
      <c r="E14" s="1671"/>
      <c r="F14" s="1835">
        <f t="shared" si="0"/>
        <v>11562</v>
      </c>
      <c r="G14" s="1836">
        <v>217</v>
      </c>
      <c r="H14" s="1837"/>
      <c r="I14" s="1671"/>
      <c r="J14" s="1671"/>
      <c r="K14" s="804">
        <f t="shared" si="1"/>
        <v>217</v>
      </c>
      <c r="L14" s="75"/>
      <c r="M14" s="75"/>
    </row>
    <row r="15" spans="1:13">
      <c r="A15" s="801">
        <v>13</v>
      </c>
      <c r="B15" s="1834">
        <v>2096</v>
      </c>
      <c r="C15" s="1835"/>
      <c r="D15" s="1835"/>
      <c r="E15" s="1671"/>
      <c r="F15" s="1835">
        <f t="shared" si="0"/>
        <v>2096</v>
      </c>
      <c r="G15" s="1836">
        <v>50</v>
      </c>
      <c r="H15" s="1837"/>
      <c r="I15" s="1671"/>
      <c r="J15" s="1671"/>
      <c r="K15" s="804">
        <f t="shared" si="1"/>
        <v>50</v>
      </c>
      <c r="L15" s="75"/>
      <c r="M15" s="75"/>
    </row>
    <row r="16" spans="1:13">
      <c r="A16" s="801">
        <v>14</v>
      </c>
      <c r="B16" s="1834">
        <v>2903</v>
      </c>
      <c r="C16" s="1835"/>
      <c r="D16" s="1290"/>
      <c r="E16" s="1290"/>
      <c r="F16" s="1835">
        <f t="shared" si="0"/>
        <v>2903</v>
      </c>
      <c r="G16" s="1836">
        <v>85</v>
      </c>
      <c r="H16" s="1837"/>
      <c r="I16" s="1290"/>
      <c r="J16" s="1290"/>
      <c r="K16" s="804">
        <f t="shared" si="1"/>
        <v>85</v>
      </c>
      <c r="L16" s="75"/>
      <c r="M16" s="75"/>
    </row>
    <row r="17" spans="1:14">
      <c r="A17" s="801">
        <v>15</v>
      </c>
      <c r="B17" s="1834">
        <v>7992</v>
      </c>
      <c r="C17" s="1290"/>
      <c r="D17" s="1835"/>
      <c r="E17" s="1835"/>
      <c r="F17" s="1835">
        <f t="shared" si="0"/>
        <v>7992</v>
      </c>
      <c r="G17" s="1836">
        <v>286</v>
      </c>
      <c r="H17" s="1837"/>
      <c r="I17" s="1671"/>
      <c r="J17" s="1671"/>
      <c r="K17" s="804">
        <f t="shared" si="1"/>
        <v>286</v>
      </c>
      <c r="L17" s="75"/>
      <c r="M17" s="75"/>
    </row>
    <row r="18" spans="1:14">
      <c r="A18" s="801">
        <v>16</v>
      </c>
      <c r="B18" s="1834">
        <v>10108</v>
      </c>
      <c r="C18" s="1290"/>
      <c r="D18" s="1835"/>
      <c r="E18" s="1835"/>
      <c r="F18" s="1835">
        <f t="shared" si="0"/>
        <v>10108</v>
      </c>
      <c r="G18" s="1836">
        <v>436</v>
      </c>
      <c r="H18" s="1837"/>
      <c r="I18" s="1671"/>
      <c r="J18" s="1671"/>
      <c r="K18" s="804">
        <f t="shared" si="1"/>
        <v>436</v>
      </c>
      <c r="L18" s="75"/>
      <c r="M18" s="75"/>
    </row>
    <row r="19" spans="1:14">
      <c r="A19" s="801">
        <v>17</v>
      </c>
      <c r="B19" s="1834">
        <v>6988</v>
      </c>
      <c r="C19" s="1834">
        <v>13506</v>
      </c>
      <c r="D19" s="1835"/>
      <c r="E19" s="1834">
        <v>3218</v>
      </c>
      <c r="F19" s="1835">
        <f t="shared" si="0"/>
        <v>23712</v>
      </c>
      <c r="G19" s="1836">
        <v>360</v>
      </c>
      <c r="H19" s="1836">
        <v>695</v>
      </c>
      <c r="I19" s="1671"/>
      <c r="J19" s="1836">
        <v>166</v>
      </c>
      <c r="K19" s="804">
        <f t="shared" si="1"/>
        <v>1221</v>
      </c>
      <c r="L19" s="75"/>
      <c r="M19" s="75"/>
    </row>
    <row r="20" spans="1:14">
      <c r="A20" s="801">
        <v>18</v>
      </c>
      <c r="B20" s="1834">
        <v>4193</v>
      </c>
      <c r="C20" s="1834">
        <v>35452</v>
      </c>
      <c r="D20" s="1835"/>
      <c r="E20" s="1837"/>
      <c r="F20" s="1835">
        <f t="shared" si="0"/>
        <v>39645</v>
      </c>
      <c r="G20" s="1836">
        <v>255</v>
      </c>
      <c r="H20" s="1834">
        <v>2155</v>
      </c>
      <c r="I20" s="1671"/>
      <c r="J20" s="1837"/>
      <c r="K20" s="804">
        <f t="shared" si="1"/>
        <v>2410</v>
      </c>
      <c r="L20" s="75"/>
      <c r="M20" s="75"/>
    </row>
    <row r="21" spans="1:14">
      <c r="A21" s="801">
        <v>19</v>
      </c>
      <c r="B21" s="1834">
        <v>1861</v>
      </c>
      <c r="C21" s="1834">
        <v>33764</v>
      </c>
      <c r="D21" s="1835"/>
      <c r="E21" s="1837"/>
      <c r="F21" s="1835">
        <f t="shared" si="0"/>
        <v>35625</v>
      </c>
      <c r="G21" s="1836">
        <v>132</v>
      </c>
      <c r="H21" s="1834">
        <v>2403</v>
      </c>
      <c r="I21" s="1671"/>
      <c r="J21" s="1837"/>
      <c r="K21" s="804">
        <f t="shared" si="1"/>
        <v>2535</v>
      </c>
      <c r="L21" s="75"/>
      <c r="M21" s="75"/>
    </row>
    <row r="22" spans="1:14" ht="13.8">
      <c r="A22" s="801">
        <v>20</v>
      </c>
      <c r="B22" s="1834">
        <v>2786</v>
      </c>
      <c r="C22" s="1834">
        <v>11817</v>
      </c>
      <c r="D22" s="1835"/>
      <c r="E22" s="1837"/>
      <c r="F22" s="1835">
        <f t="shared" si="0"/>
        <v>14603</v>
      </c>
      <c r="G22" s="1836">
        <v>230</v>
      </c>
      <c r="H22" s="1836">
        <v>977</v>
      </c>
      <c r="I22" s="1671"/>
      <c r="J22" s="1837"/>
      <c r="K22" s="804">
        <f t="shared" si="1"/>
        <v>1207</v>
      </c>
      <c r="L22" s="75"/>
      <c r="M22" s="95" t="s">
        <v>552</v>
      </c>
      <c r="N22" s="2"/>
    </row>
    <row r="23" spans="1:14">
      <c r="A23" s="801">
        <v>21</v>
      </c>
      <c r="B23" s="1834">
        <v>1625</v>
      </c>
      <c r="C23" s="1834">
        <v>37141</v>
      </c>
      <c r="D23" s="1835"/>
      <c r="E23" s="1837"/>
      <c r="F23" s="1835">
        <f t="shared" si="0"/>
        <v>38766</v>
      </c>
      <c r="G23" s="1836">
        <v>155</v>
      </c>
      <c r="H23" s="1834">
        <v>3544</v>
      </c>
      <c r="I23" s="1835"/>
      <c r="J23" s="1837"/>
      <c r="K23" s="804">
        <f t="shared" si="1"/>
        <v>3699</v>
      </c>
      <c r="L23" s="75"/>
      <c r="M23" s="117"/>
      <c r="N23" s="1" t="s">
        <v>553</v>
      </c>
    </row>
    <row r="24" spans="1:14">
      <c r="A24" s="801">
        <v>22</v>
      </c>
      <c r="B24" s="1834">
        <v>5085</v>
      </c>
      <c r="C24" s="1834">
        <v>38829</v>
      </c>
      <c r="D24" s="1835"/>
      <c r="E24" s="1837"/>
      <c r="F24" s="1835">
        <f t="shared" si="0"/>
        <v>43914</v>
      </c>
      <c r="G24" s="1836">
        <v>556</v>
      </c>
      <c r="H24" s="1834">
        <v>4246</v>
      </c>
      <c r="I24" s="1835"/>
      <c r="J24" s="1837"/>
      <c r="K24" s="804">
        <f t="shared" si="1"/>
        <v>4802</v>
      </c>
      <c r="L24" s="75"/>
      <c r="M24" s="117"/>
      <c r="N24" s="1" t="s">
        <v>554</v>
      </c>
    </row>
    <row r="25" spans="1:14">
      <c r="A25" s="801">
        <v>23</v>
      </c>
      <c r="B25" s="1834">
        <v>4736</v>
      </c>
      <c r="C25" s="1834">
        <v>35452</v>
      </c>
      <c r="D25" s="1835"/>
      <c r="E25" s="1837"/>
      <c r="F25" s="1835">
        <f t="shared" si="0"/>
        <v>40188</v>
      </c>
      <c r="G25" s="1836">
        <v>590</v>
      </c>
      <c r="H25" s="1834">
        <v>4417</v>
      </c>
      <c r="I25" s="1835"/>
      <c r="J25" s="1837"/>
      <c r="K25" s="804">
        <f t="shared" si="1"/>
        <v>5007</v>
      </c>
      <c r="L25" s="75"/>
      <c r="M25" s="75"/>
    </row>
    <row r="26" spans="1:14">
      <c r="A26" s="801">
        <v>24</v>
      </c>
      <c r="B26" s="1834">
        <v>2924</v>
      </c>
      <c r="C26" s="1834">
        <v>3376</v>
      </c>
      <c r="D26" s="1835"/>
      <c r="E26" s="1837"/>
      <c r="F26" s="1835">
        <f t="shared" si="0"/>
        <v>6300</v>
      </c>
      <c r="G26" s="1836">
        <v>413</v>
      </c>
      <c r="H26" s="1836">
        <v>477</v>
      </c>
      <c r="I26" s="1835"/>
      <c r="J26" s="1837"/>
      <c r="K26" s="804">
        <f t="shared" si="1"/>
        <v>890</v>
      </c>
      <c r="L26" s="75"/>
      <c r="M26" s="75"/>
    </row>
    <row r="27" spans="1:14">
      <c r="A27" s="801">
        <v>25</v>
      </c>
      <c r="B27" s="1834">
        <v>8581</v>
      </c>
      <c r="C27" s="1290"/>
      <c r="D27" s="1835"/>
      <c r="E27" s="1837"/>
      <c r="F27" s="1835">
        <f t="shared" si="0"/>
        <v>8581</v>
      </c>
      <c r="G27" s="1834">
        <v>1366</v>
      </c>
      <c r="H27" s="1837"/>
      <c r="I27" s="1835"/>
      <c r="J27" s="1837"/>
      <c r="K27" s="804">
        <f t="shared" si="1"/>
        <v>1366</v>
      </c>
      <c r="L27" s="75"/>
      <c r="M27" s="75"/>
    </row>
    <row r="28" spans="1:14">
      <c r="A28" s="801">
        <v>26</v>
      </c>
      <c r="B28" s="1834">
        <v>10279</v>
      </c>
      <c r="C28" s="1835"/>
      <c r="D28" s="1835"/>
      <c r="E28" s="1837"/>
      <c r="F28" s="1835">
        <f t="shared" si="0"/>
        <v>10279</v>
      </c>
      <c r="G28" s="1834">
        <v>1836</v>
      </c>
      <c r="H28" s="1835"/>
      <c r="I28" s="1835"/>
      <c r="J28" s="1837"/>
      <c r="K28" s="804">
        <f t="shared" si="1"/>
        <v>1836</v>
      </c>
      <c r="L28" s="75"/>
      <c r="M28" s="75"/>
    </row>
    <row r="29" spans="1:14" ht="15.6">
      <c r="A29" s="801">
        <v>27</v>
      </c>
      <c r="B29" s="1834">
        <v>3515</v>
      </c>
      <c r="C29" s="1835"/>
      <c r="D29" s="1835"/>
      <c r="E29" s="1837"/>
      <c r="F29" s="1835">
        <f t="shared" si="0"/>
        <v>3515</v>
      </c>
      <c r="G29" s="1836">
        <v>702</v>
      </c>
      <c r="H29" s="1835"/>
      <c r="I29" s="1835"/>
      <c r="J29" s="1837"/>
      <c r="K29" s="804">
        <f t="shared" si="1"/>
        <v>702</v>
      </c>
      <c r="L29" s="75"/>
      <c r="M29" s="626" t="s">
        <v>555</v>
      </c>
    </row>
    <row r="30" spans="1:14">
      <c r="A30" s="801">
        <v>28</v>
      </c>
      <c r="B30" s="1834">
        <v>2288</v>
      </c>
      <c r="C30" s="1835"/>
      <c r="D30" s="1835"/>
      <c r="E30" s="1837"/>
      <c r="F30" s="1835">
        <f t="shared" si="0"/>
        <v>2288</v>
      </c>
      <c r="G30" s="1836">
        <v>509</v>
      </c>
      <c r="H30" s="1835"/>
      <c r="I30" s="1835"/>
      <c r="J30" s="1837"/>
      <c r="K30" s="804">
        <f t="shared" si="1"/>
        <v>509</v>
      </c>
      <c r="L30" s="75"/>
      <c r="M30" s="75"/>
    </row>
    <row r="31" spans="1:14" ht="15.6">
      <c r="A31" s="801">
        <v>29</v>
      </c>
      <c r="B31" s="1834">
        <v>6304</v>
      </c>
      <c r="C31" s="1835"/>
      <c r="D31" s="1835"/>
      <c r="E31" s="1834">
        <v>3218</v>
      </c>
      <c r="F31" s="1835">
        <f t="shared" si="0"/>
        <v>9522</v>
      </c>
      <c r="G31" s="1834">
        <v>1554</v>
      </c>
      <c r="H31" s="1835"/>
      <c r="I31" s="1835"/>
      <c r="J31" s="1836">
        <v>793</v>
      </c>
      <c r="K31" s="804">
        <f t="shared" si="1"/>
        <v>2347</v>
      </c>
      <c r="L31" s="75"/>
      <c r="M31" s="626" t="s">
        <v>556</v>
      </c>
    </row>
    <row r="32" spans="1:14">
      <c r="A32" s="801">
        <v>30</v>
      </c>
      <c r="B32" s="1834">
        <v>5492</v>
      </c>
      <c r="C32" s="1835"/>
      <c r="D32" s="1290"/>
      <c r="E32" s="1834">
        <v>6436</v>
      </c>
      <c r="F32" s="1835">
        <f t="shared" si="0"/>
        <v>11928</v>
      </c>
      <c r="G32" s="1834">
        <v>1496</v>
      </c>
      <c r="H32" s="1835"/>
      <c r="I32" s="1290"/>
      <c r="J32" s="1834">
        <v>1753</v>
      </c>
      <c r="K32" s="804">
        <f t="shared" si="1"/>
        <v>3249</v>
      </c>
      <c r="L32" s="75"/>
      <c r="M32" s="75"/>
    </row>
    <row r="33" spans="1:13">
      <c r="A33" s="801">
        <v>31</v>
      </c>
      <c r="B33" s="1834">
        <v>4577</v>
      </c>
      <c r="C33" s="1835"/>
      <c r="D33" s="1835"/>
      <c r="E33" s="1834">
        <v>3218</v>
      </c>
      <c r="F33" s="1835">
        <f t="shared" si="0"/>
        <v>7795</v>
      </c>
      <c r="G33" s="1834">
        <v>1373</v>
      </c>
      <c r="H33" s="1835"/>
      <c r="I33" s="1671"/>
      <c r="J33" s="1836">
        <v>966</v>
      </c>
      <c r="K33" s="804">
        <f t="shared" si="1"/>
        <v>2339</v>
      </c>
      <c r="L33" s="75"/>
      <c r="M33" s="75"/>
    </row>
    <row r="34" spans="1:13" ht="15.6">
      <c r="A34" s="801">
        <v>32</v>
      </c>
      <c r="B34" s="1834">
        <v>5949</v>
      </c>
      <c r="C34" s="1290"/>
      <c r="D34" s="1290"/>
      <c r="E34" s="1834">
        <v>3218</v>
      </c>
      <c r="F34" s="1835">
        <f t="shared" si="0"/>
        <v>9167</v>
      </c>
      <c r="G34" s="1834">
        <v>1961</v>
      </c>
      <c r="H34" s="1290"/>
      <c r="I34" s="1290"/>
      <c r="J34" s="1834">
        <v>1060</v>
      </c>
      <c r="K34" s="804">
        <f t="shared" si="1"/>
        <v>3021</v>
      </c>
      <c r="L34" s="75"/>
      <c r="M34" s="626" t="s">
        <v>557</v>
      </c>
    </row>
    <row r="35" spans="1:13">
      <c r="A35" s="801">
        <v>33</v>
      </c>
      <c r="B35" s="1834">
        <v>1373</v>
      </c>
      <c r="C35" s="1290"/>
      <c r="D35" s="1290"/>
      <c r="E35" s="1834">
        <v>9653</v>
      </c>
      <c r="F35" s="1835">
        <f t="shared" si="0"/>
        <v>11026</v>
      </c>
      <c r="G35" s="1836">
        <v>496</v>
      </c>
      <c r="H35" s="1290"/>
      <c r="I35" s="1290"/>
      <c r="J35" s="1834">
        <v>3484</v>
      </c>
      <c r="K35" s="804">
        <f t="shared" si="1"/>
        <v>3980</v>
      </c>
      <c r="L35" s="75"/>
      <c r="M35" s="75"/>
    </row>
    <row r="36" spans="1:13">
      <c r="A36" s="689">
        <v>34</v>
      </c>
      <c r="B36" s="1119"/>
      <c r="C36" s="1119"/>
      <c r="D36" s="1838"/>
      <c r="E36" s="1839"/>
      <c r="F36" s="1838">
        <f t="shared" si="0"/>
        <v>0</v>
      </c>
      <c r="G36" s="1839"/>
      <c r="H36" s="1119"/>
      <c r="I36" s="1838"/>
      <c r="J36" s="1839"/>
      <c r="K36" s="805">
        <f t="shared" si="1"/>
        <v>0</v>
      </c>
    </row>
    <row r="37" spans="1:13">
      <c r="A37" s="689">
        <v>35</v>
      </c>
      <c r="B37" s="1119"/>
      <c r="C37" s="1119"/>
      <c r="D37" s="1119"/>
      <c r="E37" s="1840">
        <v>3218</v>
      </c>
      <c r="F37" s="1838">
        <f t="shared" si="0"/>
        <v>3218</v>
      </c>
      <c r="G37" s="1119"/>
      <c r="H37" s="1119"/>
      <c r="I37" s="1119"/>
      <c r="J37" s="1840">
        <v>1382</v>
      </c>
      <c r="K37" s="805">
        <f t="shared" si="1"/>
        <v>1382</v>
      </c>
    </row>
    <row r="38" spans="1:13" ht="13.8" thickBot="1">
      <c r="A38" s="69" t="s">
        <v>550</v>
      </c>
      <c r="B38" s="70">
        <f>SUM(B6:B37)</f>
        <v>136472</v>
      </c>
      <c r="C38" s="70">
        <f>SUM(C6:C37)</f>
        <v>209337</v>
      </c>
      <c r="D38" s="70">
        <f>SUM(D6:D37)</f>
        <v>0</v>
      </c>
      <c r="E38" s="70">
        <f>SUM(E6:E37)</f>
        <v>32179</v>
      </c>
      <c r="F38" s="70">
        <f t="shared" ref="F38:K38" si="2">SUM(F6:F37)</f>
        <v>377988</v>
      </c>
      <c r="G38" s="70">
        <f t="shared" si="2"/>
        <v>15322</v>
      </c>
      <c r="H38" s="70">
        <f t="shared" si="2"/>
        <v>18914</v>
      </c>
      <c r="I38" s="70">
        <f t="shared" si="2"/>
        <v>0</v>
      </c>
      <c r="J38" s="70">
        <f t="shared" si="2"/>
        <v>9604</v>
      </c>
      <c r="K38" s="71">
        <f t="shared" si="2"/>
        <v>43840</v>
      </c>
    </row>
    <row r="39" spans="1:13" ht="13.8" thickTop="1"/>
    <row r="43" spans="1:13" ht="12" customHeight="1"/>
  </sheetData>
  <mergeCells count="3">
    <mergeCell ref="B3:C3"/>
    <mergeCell ref="G4:K4"/>
    <mergeCell ref="B4:F4"/>
  </mergeCells>
  <phoneticPr fontId="23" type="noConversion"/>
  <pageMargins left="0.78740157499999996" right="0.78740157499999996" top="0.984251969" bottom="0.984251969" header="0.4921259845" footer="0.4921259845"/>
  <pageSetup paperSize="9" orientation="portrait" horizontalDpi="4294967295" verticalDpi="0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"/>
  <sheetViews>
    <sheetView workbookViewId="0"/>
  </sheetViews>
  <sheetFormatPr defaultColWidth="11.44140625" defaultRowHeight="13.2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16">
    <tabColor rgb="FFFFFF00"/>
  </sheetPr>
  <dimension ref="A1:NW171"/>
  <sheetViews>
    <sheetView topLeftCell="MT11" zoomScaleNormal="100" workbookViewId="0">
      <selection activeCell="MV54" sqref="MV54"/>
    </sheetView>
  </sheetViews>
  <sheetFormatPr defaultColWidth="7" defaultRowHeight="13.2"/>
  <cols>
    <col min="1" max="1" width="14.6640625" style="1" customWidth="1"/>
    <col min="2" max="2" width="13.109375" style="1" customWidth="1"/>
    <col min="3" max="3" width="14.6640625" style="1" customWidth="1"/>
    <col min="4" max="4" width="15.109375" style="1" customWidth="1"/>
    <col min="5" max="5" width="17.109375" style="1" customWidth="1"/>
    <col min="6" max="6" width="14" style="1" customWidth="1"/>
    <col min="7" max="7" width="6.6640625" style="1" customWidth="1"/>
    <col min="8" max="13" width="5.44140625" style="1" customWidth="1"/>
    <col min="14" max="14" width="7.109375" style="1" customWidth="1"/>
    <col min="15" max="15" width="6.88671875" style="1" customWidth="1"/>
    <col min="16" max="16" width="13.109375" style="1" customWidth="1"/>
    <col min="17" max="19" width="8.109375" style="1" customWidth="1"/>
    <col min="20" max="20" width="15" style="1" customWidth="1"/>
    <col min="21" max="24" width="12" style="1" bestFit="1" customWidth="1"/>
    <col min="25" max="25" width="10.6640625" style="1" customWidth="1"/>
    <col min="26" max="26" width="10.88671875" style="1" customWidth="1"/>
    <col min="27" max="27" width="12.109375" style="1" customWidth="1"/>
    <col min="28" max="32" width="10.109375" style="1" customWidth="1"/>
    <col min="33" max="33" width="15.88671875" style="1" bestFit="1" customWidth="1"/>
    <col min="34" max="34" width="12.88671875" style="1" customWidth="1"/>
    <col min="35" max="35" width="13.44140625" style="1" customWidth="1"/>
    <col min="36" max="36" width="15.44140625" style="1" customWidth="1"/>
    <col min="37" max="37" width="18.44140625" style="1" bestFit="1" customWidth="1"/>
    <col min="38" max="38" width="18.44140625" style="1" customWidth="1"/>
    <col min="39" max="39" width="17.44140625" style="1" bestFit="1" customWidth="1"/>
    <col min="40" max="42" width="16.33203125" style="1" bestFit="1" customWidth="1"/>
    <col min="43" max="43" width="15.109375" style="75" bestFit="1" customWidth="1"/>
    <col min="44" max="44" width="11" style="75" customWidth="1"/>
    <col min="45" max="49" width="15.109375" style="75" customWidth="1"/>
    <col min="50" max="50" width="14.109375" style="1" bestFit="1" customWidth="1"/>
    <col min="51" max="51" width="13" style="1" bestFit="1" customWidth="1"/>
    <col min="52" max="62" width="7" style="1"/>
    <col min="63" max="63" width="7.44140625" style="1" customWidth="1"/>
    <col min="64" max="64" width="11.109375" style="1" customWidth="1"/>
    <col min="65" max="65" width="9.88671875" style="1" bestFit="1" customWidth="1"/>
    <col min="66" max="68" width="10.88671875" style="1" bestFit="1" customWidth="1"/>
    <col min="69" max="69" width="9.88671875" style="1" bestFit="1" customWidth="1"/>
    <col min="70" max="70" width="8.5546875" style="1" customWidth="1"/>
    <col min="71" max="71" width="8.88671875" style="1" customWidth="1"/>
    <col min="72" max="72" width="10.33203125" style="1" customWidth="1"/>
    <col min="73" max="74" width="7" style="1"/>
    <col min="75" max="85" width="12" style="1" customWidth="1"/>
    <col min="86" max="87" width="7" style="1"/>
    <col min="88" max="88" width="13" style="1" bestFit="1" customWidth="1"/>
    <col min="89" max="89" width="12" style="1" bestFit="1" customWidth="1"/>
    <col min="90" max="92" width="7" style="1"/>
    <col min="93" max="93" width="8.44140625" style="1" customWidth="1"/>
    <col min="94" max="94" width="10.44140625" style="1" bestFit="1" customWidth="1"/>
    <col min="95" max="95" width="10.6640625" style="1" customWidth="1"/>
    <col min="96" max="96" width="16.88671875" style="1" customWidth="1"/>
    <col min="97" max="97" width="10" style="1" customWidth="1"/>
    <col min="98" max="122" width="7" style="1"/>
    <col min="123" max="123" width="9.5546875" style="1" customWidth="1"/>
    <col min="124" max="124" width="10" style="1" bestFit="1" customWidth="1"/>
    <col min="125" max="128" width="8" style="1" bestFit="1" customWidth="1"/>
    <col min="129" max="129" width="7.88671875" style="1" bestFit="1" customWidth="1"/>
    <col min="130" max="134" width="7.33203125" style="1" bestFit="1" customWidth="1"/>
    <col min="135" max="135" width="10.33203125" style="1" customWidth="1"/>
    <col min="136" max="137" width="7" style="1"/>
    <col min="138" max="138" width="8.109375" style="1" customWidth="1"/>
    <col min="139" max="139" width="9.6640625" style="1" bestFit="1" customWidth="1"/>
    <col min="140" max="150" width="7.109375" style="1" bestFit="1" customWidth="1"/>
    <col min="151" max="151" width="10.6640625" style="1" customWidth="1"/>
    <col min="152" max="152" width="11.44140625" style="1" customWidth="1"/>
    <col min="153" max="154" width="11" style="1" bestFit="1" customWidth="1"/>
    <col min="155" max="155" width="11.6640625" style="1" bestFit="1" customWidth="1"/>
    <col min="156" max="158" width="12.33203125" style="1" bestFit="1" customWidth="1"/>
    <col min="159" max="159" width="9" style="1" customWidth="1"/>
    <col min="160" max="160" width="12.33203125" style="1" bestFit="1" customWidth="1"/>
    <col min="161" max="161" width="9.88671875" style="1" customWidth="1"/>
    <col min="162" max="162" width="11.33203125" style="1" bestFit="1" customWidth="1"/>
    <col min="163" max="163" width="7" style="1" customWidth="1"/>
    <col min="164" max="164" width="11.33203125" style="1" bestFit="1" customWidth="1"/>
    <col min="165" max="166" width="10.44140625" style="1" bestFit="1" customWidth="1"/>
    <col min="167" max="185" width="7" style="1"/>
    <col min="186" max="186" width="10" style="1" bestFit="1" customWidth="1"/>
    <col min="187" max="203" width="7" style="1"/>
    <col min="204" max="204" width="7" style="75"/>
    <col min="205" max="205" width="10.6640625" style="1" customWidth="1"/>
    <col min="206" max="206" width="11" style="1" customWidth="1"/>
    <col min="207" max="207" width="12.6640625" style="1" customWidth="1"/>
    <col min="208" max="214" width="7" style="1" customWidth="1"/>
    <col min="215" max="216" width="7" style="1"/>
    <col min="217" max="217" width="7" style="1" customWidth="1"/>
    <col min="218" max="221" width="7" style="1"/>
    <col min="222" max="222" width="9.109375" style="1" customWidth="1"/>
    <col min="223" max="223" width="8.44140625" style="1" customWidth="1"/>
    <col min="224" max="224" width="10" style="1" customWidth="1"/>
    <col min="225" max="225" width="8.88671875" style="1" customWidth="1"/>
    <col min="226" max="226" width="9.109375" style="1" customWidth="1"/>
    <col min="227" max="227" width="8.44140625" style="1" customWidth="1"/>
    <col min="228" max="229" width="8.88671875" style="1" customWidth="1"/>
    <col min="230" max="230" width="7" style="1" customWidth="1"/>
    <col min="231" max="236" width="7" style="1"/>
    <col min="237" max="237" width="7" style="75"/>
    <col min="238" max="238" width="7" style="1"/>
    <col min="239" max="239" width="13.5546875" style="1" customWidth="1"/>
    <col min="240" max="266" width="7" style="1"/>
    <col min="267" max="267" width="11.88671875" style="1" customWidth="1"/>
    <col min="268" max="295" width="7" style="1"/>
    <col min="296" max="296" width="9.109375" style="1" bestFit="1" customWidth="1"/>
    <col min="297" max="299" width="9.88671875" style="1" bestFit="1" customWidth="1"/>
    <col min="300" max="300" width="9.44140625" style="1" bestFit="1" customWidth="1"/>
    <col min="301" max="301" width="9.109375" style="1" bestFit="1" customWidth="1"/>
    <col min="302" max="302" width="8.6640625" style="1" bestFit="1" customWidth="1"/>
    <col min="303" max="303" width="8" style="1" bestFit="1" customWidth="1"/>
    <col min="304" max="304" width="7.6640625" style="1" bestFit="1" customWidth="1"/>
    <col min="305" max="306" width="7.109375" style="1" bestFit="1" customWidth="1"/>
    <col min="307" max="307" width="7" style="75"/>
    <col min="308" max="308" width="14.88671875" style="1" customWidth="1"/>
    <col min="309" max="309" width="14.5546875" style="1" customWidth="1"/>
    <col min="310" max="321" width="7" style="1"/>
    <col min="322" max="322" width="10.6640625" style="1" customWidth="1"/>
    <col min="323" max="323" width="8.5546875" style="1" customWidth="1"/>
    <col min="324" max="324" width="8.109375" style="1" customWidth="1"/>
    <col min="325" max="325" width="8.5546875" style="1" customWidth="1"/>
    <col min="326" max="326" width="7.44140625" style="1" customWidth="1"/>
    <col min="327" max="327" width="7.6640625" style="1" customWidth="1"/>
    <col min="328" max="328" width="7.44140625" style="1" customWidth="1"/>
    <col min="329" max="329" width="7.6640625" style="1" customWidth="1"/>
    <col min="330" max="333" width="7" style="1"/>
    <col min="334" max="334" width="12.5546875" style="1" customWidth="1"/>
    <col min="335" max="338" width="7" style="1"/>
    <col min="339" max="344" width="7" style="1" customWidth="1"/>
    <col min="345" max="345" width="8.5546875" style="1" customWidth="1"/>
    <col min="346" max="346" width="11" style="1" customWidth="1"/>
    <col min="347" max="347" width="8.88671875" style="1" customWidth="1"/>
    <col min="348" max="348" width="8.5546875" style="1" customWidth="1"/>
    <col min="349" max="349" width="8.33203125" style="1" customWidth="1"/>
    <col min="350" max="350" width="8.109375" style="1" customWidth="1"/>
    <col min="351" max="351" width="7.5546875" style="1" customWidth="1"/>
    <col min="352" max="352" width="8.88671875" style="1" customWidth="1"/>
    <col min="353" max="353" width="9" style="1" customWidth="1"/>
    <col min="354" max="357" width="7" style="1"/>
    <col min="358" max="358" width="7" style="75"/>
    <col min="359" max="359" width="7" style="1"/>
    <col min="360" max="360" width="11.5546875" style="1" customWidth="1"/>
    <col min="361" max="16384" width="7" style="1"/>
  </cols>
  <sheetData>
    <row r="1" spans="1:387" ht="17.399999999999999">
      <c r="A1" s="22" t="s">
        <v>299</v>
      </c>
      <c r="L1" s="94" t="s">
        <v>558</v>
      </c>
      <c r="AQ1" s="1"/>
      <c r="AR1" s="1"/>
      <c r="AS1" s="1"/>
      <c r="AT1" s="1"/>
      <c r="AU1" s="1"/>
      <c r="AV1" s="1"/>
      <c r="AW1" s="1"/>
      <c r="CM1" s="638"/>
      <c r="CN1" s="638"/>
      <c r="CO1" s="638"/>
      <c r="CP1" s="638"/>
      <c r="CQ1" s="638"/>
      <c r="CR1" s="638"/>
      <c r="CS1" s="638"/>
      <c r="CT1" s="638"/>
      <c r="CU1" s="638"/>
      <c r="CV1" s="638"/>
      <c r="CW1" s="638"/>
      <c r="CX1" s="638"/>
      <c r="CY1" s="638"/>
      <c r="CZ1" s="638"/>
      <c r="DA1" s="638"/>
      <c r="DB1" s="638"/>
      <c r="DC1" s="638"/>
      <c r="DD1" s="638"/>
      <c r="DE1" s="638"/>
      <c r="DF1" s="638"/>
      <c r="DG1" s="638"/>
      <c r="DH1" s="638"/>
      <c r="DI1" s="638"/>
      <c r="DJ1" s="638"/>
      <c r="DK1" s="638"/>
      <c r="DL1" s="638"/>
      <c r="DM1" s="638"/>
      <c r="DN1" s="638"/>
      <c r="DO1" s="638"/>
      <c r="DP1" s="638"/>
      <c r="DQ1" s="638"/>
      <c r="DR1" s="638"/>
      <c r="DS1" s="638"/>
      <c r="DT1" s="638"/>
      <c r="DU1" s="638"/>
      <c r="DV1" s="638"/>
      <c r="DW1" s="638"/>
      <c r="DX1" s="638"/>
      <c r="DY1" s="638"/>
      <c r="DZ1" s="638"/>
      <c r="EA1" s="638"/>
      <c r="EB1" s="638"/>
      <c r="EC1" s="638"/>
      <c r="ED1" s="638"/>
      <c r="EE1" s="638"/>
      <c r="GZ1" s="1026" t="s">
        <v>559</v>
      </c>
      <c r="HA1" s="1026"/>
      <c r="HB1" s="1026"/>
      <c r="HC1" s="1026"/>
      <c r="HD1" s="1026"/>
      <c r="HE1" s="1026"/>
      <c r="HF1" s="1026"/>
      <c r="HG1" s="1026"/>
      <c r="HH1" s="1026"/>
      <c r="HI1" s="1026"/>
      <c r="HJ1" s="1026"/>
      <c r="HK1" s="1026"/>
      <c r="HL1" s="1026"/>
      <c r="HM1" s="1026"/>
    </row>
    <row r="2" spans="1:387">
      <c r="AQ2" s="1"/>
      <c r="AR2" s="1"/>
      <c r="AS2" s="1"/>
      <c r="AT2" s="1"/>
      <c r="AU2" s="1"/>
      <c r="AV2" s="1"/>
      <c r="AW2" s="1"/>
      <c r="CM2" s="638"/>
      <c r="CN2" s="638"/>
      <c r="CO2" s="638"/>
      <c r="CP2" s="638"/>
      <c r="CQ2" s="638"/>
      <c r="CR2" s="638"/>
      <c r="CS2" s="638"/>
      <c r="CT2" s="638"/>
      <c r="CU2" s="638"/>
      <c r="CV2" s="638"/>
      <c r="CW2" s="638"/>
      <c r="CX2" s="638"/>
      <c r="CY2" s="638"/>
      <c r="CZ2" s="638"/>
      <c r="DA2" s="638"/>
      <c r="DB2" s="638"/>
      <c r="DC2" s="638"/>
      <c r="DD2" s="638"/>
      <c r="DE2" s="638"/>
      <c r="DF2" s="638"/>
      <c r="DG2" s="638"/>
      <c r="DH2" s="638"/>
      <c r="DI2" s="638"/>
      <c r="DJ2" s="638"/>
      <c r="DK2" s="638"/>
      <c r="DL2" s="638"/>
      <c r="DM2" s="638"/>
      <c r="DN2" s="638"/>
      <c r="DO2" s="638"/>
      <c r="DP2" s="638"/>
      <c r="DQ2" s="638"/>
      <c r="DR2" s="638"/>
      <c r="DS2" s="638"/>
      <c r="DT2" s="638"/>
      <c r="DU2" s="638"/>
      <c r="DV2" s="638"/>
      <c r="DW2" s="638"/>
      <c r="DX2" s="638"/>
      <c r="DY2" s="638"/>
      <c r="DZ2" s="638"/>
      <c r="EA2" s="638"/>
      <c r="EB2" s="638"/>
      <c r="EC2" s="638"/>
      <c r="ED2" s="638"/>
      <c r="EE2" s="638"/>
      <c r="FM2" s="1017" t="s">
        <v>560</v>
      </c>
      <c r="FN2"/>
      <c r="FO2"/>
      <c r="FP2"/>
      <c r="FQ2"/>
      <c r="FR2"/>
      <c r="GZ2" s="1026"/>
      <c r="HA2" s="1026"/>
      <c r="HB2" s="1026"/>
      <c r="HC2" s="1026"/>
      <c r="HD2" s="1026"/>
      <c r="HE2" s="1026"/>
      <c r="HF2" s="1026"/>
      <c r="HG2" s="1026"/>
      <c r="HH2" s="1026"/>
      <c r="HI2" s="1026"/>
      <c r="HJ2" s="1026"/>
      <c r="HK2" s="1026"/>
      <c r="HL2" s="1026"/>
      <c r="HM2" s="1026"/>
    </row>
    <row r="3" spans="1:387" ht="17.399999999999999">
      <c r="AG3" s="94" t="s">
        <v>561</v>
      </c>
      <c r="AR3" s="544" t="s">
        <v>562</v>
      </c>
      <c r="AS3" s="1"/>
      <c r="AT3" s="1"/>
      <c r="AU3" s="1"/>
      <c r="AV3" s="1"/>
      <c r="AW3" s="1"/>
      <c r="BX3" s="94" t="s">
        <v>563</v>
      </c>
      <c r="CH3" s="75"/>
      <c r="CM3" s="638"/>
      <c r="CN3" s="638"/>
      <c r="CO3" s="638"/>
      <c r="CP3" s="638"/>
      <c r="CQ3" s="638"/>
      <c r="CR3" s="638"/>
      <c r="CS3" s="638"/>
      <c r="CT3" s="638"/>
      <c r="CU3" s="638"/>
      <c r="CV3" s="638"/>
      <c r="CW3" s="638"/>
      <c r="CX3" s="638"/>
      <c r="CY3" s="638"/>
      <c r="CZ3" s="638"/>
      <c r="DA3" s="638"/>
      <c r="DB3" s="638"/>
      <c r="DC3" s="638"/>
      <c r="DD3" s="638"/>
      <c r="DE3" s="638"/>
      <c r="DF3" s="638"/>
      <c r="DG3" s="638"/>
      <c r="DH3" s="638"/>
      <c r="DI3" s="638"/>
      <c r="DJ3" s="638"/>
      <c r="DK3" s="638"/>
      <c r="DL3" s="638"/>
      <c r="DM3" s="638"/>
      <c r="DN3" s="638"/>
      <c r="DO3" s="638"/>
      <c r="DP3" s="638"/>
      <c r="DQ3" s="638"/>
      <c r="DR3" s="638"/>
      <c r="DS3" s="638"/>
      <c r="DT3" s="638"/>
      <c r="DU3" s="638"/>
      <c r="DV3" s="638"/>
      <c r="DW3" s="638"/>
      <c r="DX3" s="638"/>
      <c r="DY3" s="638"/>
      <c r="DZ3" s="638"/>
      <c r="EA3" s="638"/>
      <c r="EB3" s="638"/>
      <c r="EC3" s="638"/>
      <c r="ED3" s="638"/>
      <c r="EE3" s="638"/>
      <c r="EH3" s="965" t="s">
        <v>560</v>
      </c>
      <c r="EI3" s="233"/>
      <c r="EJ3" s="233"/>
      <c r="EK3" s="233"/>
      <c r="EL3" s="233"/>
      <c r="EM3" s="233"/>
      <c r="EN3" s="233"/>
      <c r="EO3" s="233"/>
      <c r="EP3" s="233"/>
      <c r="EQ3" s="233"/>
      <c r="ER3" s="233"/>
      <c r="ES3" s="233"/>
      <c r="ET3" s="233"/>
      <c r="FM3" s="1017" t="s">
        <v>564</v>
      </c>
      <c r="FN3" s="1018" t="s">
        <v>29</v>
      </c>
      <c r="FO3"/>
      <c r="FP3"/>
      <c r="FQ3"/>
      <c r="FR3"/>
      <c r="GX3" s="1027"/>
      <c r="GZ3" s="1025" t="s">
        <v>560</v>
      </c>
      <c r="HA3" s="1026"/>
      <c r="HB3" s="1026"/>
      <c r="HC3" s="1026"/>
      <c r="HD3" s="1026"/>
      <c r="HE3" s="1026"/>
      <c r="HF3" s="1026"/>
      <c r="HG3" s="1026"/>
      <c r="HH3" s="1026"/>
      <c r="HI3" s="1026"/>
      <c r="HJ3" s="1026"/>
      <c r="HK3" s="1026"/>
      <c r="HL3" s="1026"/>
      <c r="HM3" s="1026"/>
    </row>
    <row r="4" spans="1:387" ht="13.8">
      <c r="B4"/>
      <c r="C4"/>
      <c r="D4"/>
      <c r="E4"/>
      <c r="G4" s="32" t="s">
        <v>494</v>
      </c>
      <c r="U4" s="32" t="s">
        <v>102</v>
      </c>
      <c r="AR4" s="1"/>
      <c r="AS4"/>
      <c r="AT4"/>
      <c r="AU4"/>
      <c r="AV4"/>
      <c r="AW4" s="1"/>
      <c r="AX4" s="32" t="s">
        <v>494</v>
      </c>
      <c r="BL4" s="32" t="s">
        <v>102</v>
      </c>
      <c r="CH4" s="75"/>
      <c r="CM4" s="638"/>
      <c r="CN4" s="638"/>
      <c r="CO4" s="638"/>
      <c r="CP4" s="638"/>
      <c r="CQ4" s="638"/>
      <c r="CR4" s="638"/>
      <c r="CS4" s="638"/>
      <c r="CT4" s="638"/>
      <c r="CU4" s="638"/>
      <c r="CV4" s="638"/>
      <c r="CW4" s="638"/>
      <c r="CX4" s="638"/>
      <c r="CY4" s="638"/>
      <c r="CZ4" s="638"/>
      <c r="DA4" s="638"/>
      <c r="DB4" s="638"/>
      <c r="DC4" s="638"/>
      <c r="DD4" s="638"/>
      <c r="DE4" s="638"/>
      <c r="DF4" s="638"/>
      <c r="DG4" s="638"/>
      <c r="DH4" s="638"/>
      <c r="DI4" s="638"/>
      <c r="DJ4" s="638"/>
      <c r="DK4" s="638"/>
      <c r="DL4" s="638"/>
      <c r="DM4" s="638"/>
      <c r="DN4" s="638"/>
      <c r="DO4" s="638"/>
      <c r="DP4" s="638"/>
      <c r="DQ4" s="638"/>
      <c r="DR4" s="638"/>
      <c r="DS4" s="638"/>
      <c r="DT4" s="638"/>
      <c r="DU4" s="638"/>
      <c r="DV4" s="638"/>
      <c r="DW4" s="638"/>
      <c r="DX4" s="638"/>
      <c r="DY4" s="638"/>
      <c r="DZ4" s="638"/>
      <c r="EA4" s="638"/>
      <c r="EB4" s="638"/>
      <c r="EC4" s="638"/>
      <c r="ED4" s="638"/>
      <c r="EE4" s="638"/>
      <c r="EH4" s="965" t="s">
        <v>564</v>
      </c>
      <c r="EI4" s="309" t="s">
        <v>131</v>
      </c>
      <c r="EJ4" s="233"/>
      <c r="EK4" s="233"/>
      <c r="EL4" s="233"/>
      <c r="EM4" s="233"/>
      <c r="EN4" s="233"/>
      <c r="EO4" s="233"/>
      <c r="EP4" s="233"/>
      <c r="EQ4" s="233"/>
      <c r="ER4" s="233"/>
      <c r="ES4" s="233"/>
      <c r="ET4" s="233"/>
      <c r="FM4" s="1017" t="s">
        <v>565</v>
      </c>
      <c r="FN4"/>
      <c r="FO4" s="153">
        <v>2021</v>
      </c>
      <c r="FP4" s="359"/>
      <c r="FQ4" s="153" t="s">
        <v>566</v>
      </c>
      <c r="FR4" s="1018" t="s">
        <v>567</v>
      </c>
      <c r="GX4" s="1027"/>
      <c r="GZ4" s="1025" t="s">
        <v>564</v>
      </c>
      <c r="HA4" s="1030" t="s">
        <v>29</v>
      </c>
      <c r="HB4" s="1026"/>
      <c r="HC4" s="1026"/>
      <c r="HD4" s="1026"/>
      <c r="HE4" s="1026"/>
      <c r="HF4" s="1026"/>
      <c r="HG4" s="1026"/>
      <c r="HH4" s="1026"/>
      <c r="HI4" s="1026"/>
      <c r="HJ4" s="1026"/>
      <c r="HK4" s="1026"/>
      <c r="HL4" s="1026"/>
      <c r="HM4" s="1026"/>
    </row>
    <row r="5" spans="1:387" ht="18" thickBot="1">
      <c r="A5" s="118" t="s">
        <v>568</v>
      </c>
      <c r="B5" t="s">
        <v>416</v>
      </c>
      <c r="C5" s="73" t="s">
        <v>333</v>
      </c>
      <c r="D5" s="73" t="s">
        <v>569</v>
      </c>
      <c r="E5" s="115" t="s">
        <v>570</v>
      </c>
      <c r="F5" s="1" t="s">
        <v>318</v>
      </c>
      <c r="G5" t="s">
        <v>571</v>
      </c>
      <c r="H5" t="s">
        <v>572</v>
      </c>
      <c r="I5" t="s">
        <v>573</v>
      </c>
      <c r="J5" t="s">
        <v>574</v>
      </c>
      <c r="K5" t="s">
        <v>575</v>
      </c>
      <c r="L5" t="s">
        <v>576</v>
      </c>
      <c r="M5" t="s">
        <v>577</v>
      </c>
      <c r="N5" t="s">
        <v>578</v>
      </c>
      <c r="O5" t="s">
        <v>579</v>
      </c>
      <c r="P5" t="s">
        <v>580</v>
      </c>
      <c r="Q5"/>
      <c r="R5"/>
      <c r="S5"/>
      <c r="T5" s="118" t="s">
        <v>568</v>
      </c>
      <c r="U5" t="s">
        <v>571</v>
      </c>
      <c r="V5" t="s">
        <v>572</v>
      </c>
      <c r="W5" t="s">
        <v>573</v>
      </c>
      <c r="X5" t="s">
        <v>574</v>
      </c>
      <c r="Y5" t="s">
        <v>575</v>
      </c>
      <c r="Z5" t="s">
        <v>576</v>
      </c>
      <c r="AA5" t="s">
        <v>577</v>
      </c>
      <c r="AB5" t="s">
        <v>578</v>
      </c>
      <c r="AC5" t="s">
        <v>579</v>
      </c>
      <c r="AD5" t="s">
        <v>580</v>
      </c>
      <c r="AE5" t="s">
        <v>581</v>
      </c>
      <c r="AF5" s="1841" t="s">
        <v>568</v>
      </c>
      <c r="AG5" s="1842" t="s">
        <v>571</v>
      </c>
      <c r="AH5" s="1842" t="s">
        <v>572</v>
      </c>
      <c r="AI5" s="1842" t="s">
        <v>573</v>
      </c>
      <c r="AJ5" s="1842" t="s">
        <v>574</v>
      </c>
      <c r="AK5" s="1842" t="s">
        <v>575</v>
      </c>
      <c r="AL5" s="1842" t="s">
        <v>576</v>
      </c>
      <c r="AM5" s="1842" t="s">
        <v>577</v>
      </c>
      <c r="AN5" s="1842" t="s">
        <v>578</v>
      </c>
      <c r="AO5" s="1842" t="s">
        <v>579</v>
      </c>
      <c r="AP5" s="1842" t="s">
        <v>580</v>
      </c>
      <c r="AQ5" s="130"/>
      <c r="AR5" s="118" t="s">
        <v>568</v>
      </c>
      <c r="AS5" t="s">
        <v>416</v>
      </c>
      <c r="AT5" s="73" t="s">
        <v>333</v>
      </c>
      <c r="AU5" s="73" t="s">
        <v>569</v>
      </c>
      <c r="AV5" s="115" t="s">
        <v>570</v>
      </c>
      <c r="AW5" s="1" t="s">
        <v>318</v>
      </c>
      <c r="AX5" t="s">
        <v>571</v>
      </c>
      <c r="AY5" t="s">
        <v>572</v>
      </c>
      <c r="AZ5" t="s">
        <v>573</v>
      </c>
      <c r="BA5" t="s">
        <v>574</v>
      </c>
      <c r="BB5" t="s">
        <v>575</v>
      </c>
      <c r="BC5" t="s">
        <v>576</v>
      </c>
      <c r="BD5" t="s">
        <v>577</v>
      </c>
      <c r="BE5" t="s">
        <v>578</v>
      </c>
      <c r="BF5" t="s">
        <v>579</v>
      </c>
      <c r="BG5" t="s">
        <v>580</v>
      </c>
      <c r="BH5"/>
      <c r="BI5"/>
      <c r="BJ5"/>
      <c r="BK5" s="118" t="s">
        <v>568</v>
      </c>
      <c r="BL5" t="s">
        <v>571</v>
      </c>
      <c r="BM5" t="s">
        <v>572</v>
      </c>
      <c r="BN5" t="s">
        <v>573</v>
      </c>
      <c r="BO5" t="s">
        <v>574</v>
      </c>
      <c r="BP5" t="s">
        <v>575</v>
      </c>
      <c r="BQ5" t="s">
        <v>576</v>
      </c>
      <c r="BR5" t="s">
        <v>577</v>
      </c>
      <c r="BS5" t="s">
        <v>578</v>
      </c>
      <c r="BT5" t="s">
        <v>579</v>
      </c>
      <c r="BU5" t="s">
        <v>580</v>
      </c>
      <c r="BV5" t="s">
        <v>581</v>
      </c>
      <c r="BW5" s="1841" t="s">
        <v>568</v>
      </c>
      <c r="BX5" s="1842" t="s">
        <v>571</v>
      </c>
      <c r="BY5" s="1842" t="s">
        <v>572</v>
      </c>
      <c r="BZ5" s="1842" t="s">
        <v>573</v>
      </c>
      <c r="CA5" s="1842" t="s">
        <v>574</v>
      </c>
      <c r="CB5" s="1842" t="s">
        <v>575</v>
      </c>
      <c r="CC5" s="1842" t="s">
        <v>576</v>
      </c>
      <c r="CD5" s="1842" t="s">
        <v>577</v>
      </c>
      <c r="CE5" s="1842" t="s">
        <v>578</v>
      </c>
      <c r="CF5" s="1842" t="s">
        <v>579</v>
      </c>
      <c r="CG5" s="1842" t="s">
        <v>580</v>
      </c>
      <c r="CH5" s="130"/>
      <c r="CM5" s="638"/>
      <c r="CN5" s="639" t="s">
        <v>582</v>
      </c>
      <c r="CO5" s="638"/>
      <c r="CP5" s="638"/>
      <c r="CQ5" s="638"/>
      <c r="CR5" s="638"/>
      <c r="CS5" s="638"/>
      <c r="CT5" s="638"/>
      <c r="CU5" s="638"/>
      <c r="CV5" s="638"/>
      <c r="CW5" s="638"/>
      <c r="CX5" s="638"/>
      <c r="CY5" s="638"/>
      <c r="CZ5" s="638"/>
      <c r="DA5" s="638"/>
      <c r="DB5" s="638"/>
      <c r="DC5" s="638"/>
      <c r="DD5" s="638"/>
      <c r="DE5" s="638"/>
      <c r="DF5" s="638"/>
      <c r="DG5" s="638"/>
      <c r="DH5" s="638"/>
      <c r="DI5" s="638"/>
      <c r="DJ5" s="638"/>
      <c r="DK5" s="638"/>
      <c r="DL5" s="638"/>
      <c r="DM5" s="638"/>
      <c r="DN5" s="638"/>
      <c r="DO5" s="638"/>
      <c r="DP5" s="638"/>
      <c r="DQ5" s="638"/>
      <c r="DR5" s="638"/>
      <c r="DS5" s="638"/>
      <c r="DT5" s="640" t="s">
        <v>583</v>
      </c>
      <c r="DU5" s="638"/>
      <c r="DV5" s="638"/>
      <c r="DW5" s="638"/>
      <c r="DX5" s="638"/>
      <c r="DY5" s="638"/>
      <c r="DZ5" s="638"/>
      <c r="EA5" s="638"/>
      <c r="EB5" s="638"/>
      <c r="EC5" s="638"/>
      <c r="ED5" s="638"/>
      <c r="EE5" s="638"/>
      <c r="EH5" s="965" t="s">
        <v>565</v>
      </c>
      <c r="EI5" s="233"/>
      <c r="EJ5" s="967">
        <v>2021</v>
      </c>
      <c r="EK5" s="309" t="s">
        <v>584</v>
      </c>
      <c r="EL5" s="965">
        <v>4</v>
      </c>
      <c r="EM5" s="965" t="s">
        <v>585</v>
      </c>
      <c r="EN5" s="233"/>
      <c r="EO5" s="965"/>
      <c r="EP5" s="233"/>
      <c r="EQ5" s="233"/>
      <c r="ER5" s="233"/>
      <c r="ES5" s="233"/>
      <c r="EX5" s="233"/>
      <c r="FC5" s="640" t="s">
        <v>586</v>
      </c>
      <c r="FD5" s="638"/>
      <c r="FE5" s="638"/>
      <c r="FF5" s="638"/>
      <c r="FG5" s="638"/>
      <c r="FH5" s="638"/>
      <c r="FI5" s="638"/>
      <c r="FM5" s="1017" t="s">
        <v>587</v>
      </c>
      <c r="FN5"/>
      <c r="FO5" s="1017" t="s">
        <v>113</v>
      </c>
      <c r="FP5"/>
      <c r="FQ5"/>
      <c r="FR5"/>
      <c r="FU5" s="640" t="s">
        <v>588</v>
      </c>
      <c r="FV5" s="638"/>
      <c r="FW5" s="638"/>
      <c r="FX5" s="638"/>
      <c r="FY5" s="638"/>
      <c r="FZ5" s="638"/>
      <c r="GA5" s="638"/>
      <c r="GX5" s="1027"/>
      <c r="GZ5" s="1025" t="s">
        <v>565</v>
      </c>
      <c r="HA5" s="1026"/>
      <c r="HB5" s="1029">
        <v>2022</v>
      </c>
      <c r="HC5" s="1028"/>
      <c r="HD5" s="1029" t="s">
        <v>589</v>
      </c>
      <c r="HE5" s="1030" t="s">
        <v>590</v>
      </c>
      <c r="HF5" s="1026"/>
      <c r="HG5" s="1025"/>
      <c r="HH5" s="1026"/>
      <c r="HI5" s="1026"/>
      <c r="HJ5" s="1026"/>
      <c r="HK5" s="640" t="s">
        <v>591</v>
      </c>
      <c r="HL5" s="638"/>
      <c r="HM5" s="638"/>
      <c r="HN5" s="638"/>
      <c r="HO5" s="638"/>
      <c r="HP5" s="638"/>
      <c r="HQ5" s="638"/>
      <c r="IF5" s="640" t="s">
        <v>592</v>
      </c>
      <c r="JL5" s="640" t="s">
        <v>593</v>
      </c>
      <c r="KV5" s="2108" t="s">
        <v>594</v>
      </c>
      <c r="KW5" s="2108"/>
      <c r="KX5" s="2108"/>
      <c r="KY5" s="2108"/>
      <c r="KZ5" s="2108"/>
      <c r="LA5" s="2108"/>
      <c r="LB5" s="2108"/>
      <c r="LC5" s="2108"/>
      <c r="LD5" s="2108"/>
      <c r="LE5" s="2108"/>
      <c r="LF5" s="2108"/>
      <c r="LG5" s="2108"/>
      <c r="LH5" s="2108"/>
      <c r="LI5" s="2108"/>
      <c r="LJ5" s="2108"/>
      <c r="LK5" s="2108"/>
      <c r="LL5" s="2108"/>
      <c r="LM5" s="2108"/>
      <c r="LN5" s="2108"/>
      <c r="LO5" s="2108"/>
      <c r="LP5" s="2108"/>
      <c r="LQ5" s="2108"/>
      <c r="LR5" s="2108"/>
      <c r="LS5" s="2108"/>
      <c r="LT5" s="2108"/>
      <c r="LV5" s="2109" t="s">
        <v>595</v>
      </c>
      <c r="LW5" s="2109"/>
      <c r="LX5" s="2109"/>
      <c r="LY5" s="2109"/>
      <c r="LZ5" s="2109"/>
      <c r="MA5" s="2109"/>
      <c r="MB5" s="2109"/>
      <c r="MC5" s="2109"/>
      <c r="MD5" s="2109"/>
      <c r="ME5" s="2109"/>
      <c r="MF5" s="2109"/>
      <c r="MG5" s="2109"/>
      <c r="MH5" s="2109"/>
      <c r="MI5" s="2109"/>
      <c r="MJ5" s="2109"/>
      <c r="MK5" s="2109"/>
      <c r="ML5" s="2109"/>
      <c r="MM5" s="2109"/>
      <c r="MN5" s="2109"/>
      <c r="MO5" s="2109"/>
      <c r="MP5" s="2109"/>
      <c r="MQ5" s="2109"/>
      <c r="MR5" s="2109"/>
      <c r="MS5" s="2109"/>
      <c r="MY5" s="2108" t="s">
        <v>596</v>
      </c>
      <c r="MZ5" s="2108"/>
      <c r="NA5" s="2108"/>
      <c r="NB5" s="2108"/>
      <c r="NC5" s="2108"/>
      <c r="ND5" s="2108"/>
      <c r="NE5" s="2108"/>
      <c r="NF5" s="2108"/>
      <c r="NG5" s="2108"/>
      <c r="NH5" s="2108"/>
      <c r="NI5" s="2108"/>
      <c r="NJ5" s="2108"/>
      <c r="NK5" s="2108"/>
      <c r="NL5" s="2108"/>
      <c r="NM5" s="2108"/>
      <c r="NN5" s="2108"/>
      <c r="NO5" s="2108"/>
      <c r="NP5" s="2108"/>
      <c r="NQ5" s="2108"/>
      <c r="NR5" s="2108"/>
      <c r="NS5" s="2108"/>
      <c r="NT5" s="2108"/>
      <c r="NU5" s="2108"/>
      <c r="NV5" s="2108"/>
      <c r="NW5" s="2108"/>
    </row>
    <row r="6" spans="1:387" ht="15" thickTop="1" thickBot="1">
      <c r="A6" s="1822">
        <v>5</v>
      </c>
      <c r="B6" s="1134"/>
      <c r="C6" s="1134"/>
      <c r="D6" s="1199"/>
      <c r="E6" s="20"/>
      <c r="F6" s="1843">
        <f>C6+D6</f>
        <v>0</v>
      </c>
      <c r="G6" s="951">
        <v>100</v>
      </c>
      <c r="H6"/>
      <c r="I6"/>
      <c r="J6"/>
      <c r="K6"/>
      <c r="L6"/>
      <c r="M6"/>
      <c r="N6"/>
      <c r="S6" s="2"/>
      <c r="T6" s="114">
        <v>5</v>
      </c>
      <c r="U6" s="2">
        <f>G6*F6/100</f>
        <v>0</v>
      </c>
      <c r="V6" s="2">
        <f t="shared" ref="V6:AE6" si="0">$F6*H6/100</f>
        <v>0</v>
      </c>
      <c r="W6" s="2">
        <f t="shared" si="0"/>
        <v>0</v>
      </c>
      <c r="X6" s="2">
        <f t="shared" si="0"/>
        <v>0</v>
      </c>
      <c r="Y6" s="2">
        <f t="shared" si="0"/>
        <v>0</v>
      </c>
      <c r="Z6" s="2">
        <f t="shared" si="0"/>
        <v>0</v>
      </c>
      <c r="AA6" s="2">
        <f t="shared" si="0"/>
        <v>0</v>
      </c>
      <c r="AB6" s="2">
        <f t="shared" si="0"/>
        <v>0</v>
      </c>
      <c r="AC6" s="2">
        <f t="shared" si="0"/>
        <v>0</v>
      </c>
      <c r="AD6" s="2">
        <f t="shared" si="0"/>
        <v>0</v>
      </c>
      <c r="AE6" s="2">
        <f t="shared" si="0"/>
        <v>0</v>
      </c>
      <c r="AF6" s="1844">
        <v>5</v>
      </c>
      <c r="AG6" s="1724">
        <f>$T6*U6</f>
        <v>0</v>
      </c>
      <c r="AH6" s="1724">
        <f t="shared" ref="AH6:AP6" si="1">$T6*V6</f>
        <v>0</v>
      </c>
      <c r="AI6" s="1724">
        <f t="shared" si="1"/>
        <v>0</v>
      </c>
      <c r="AJ6" s="1724">
        <f t="shared" si="1"/>
        <v>0</v>
      </c>
      <c r="AK6" s="1724">
        <f t="shared" si="1"/>
        <v>0</v>
      </c>
      <c r="AL6" s="1724">
        <f t="shared" si="1"/>
        <v>0</v>
      </c>
      <c r="AM6" s="1724">
        <f t="shared" si="1"/>
        <v>0</v>
      </c>
      <c r="AN6" s="1724">
        <f t="shared" si="1"/>
        <v>0</v>
      </c>
      <c r="AO6" s="1724">
        <f t="shared" si="1"/>
        <v>0</v>
      </c>
      <c r="AP6" s="1724">
        <f t="shared" si="1"/>
        <v>0</v>
      </c>
      <c r="AR6" s="1822">
        <v>5</v>
      </c>
      <c r="AS6" s="1134"/>
      <c r="AT6" s="1">
        <v>0</v>
      </c>
      <c r="AU6" s="1">
        <v>0</v>
      </c>
      <c r="AV6" s="20"/>
      <c r="AW6" s="1843">
        <f>AT6+AU6</f>
        <v>0</v>
      </c>
      <c r="AX6" s="951">
        <v>100</v>
      </c>
      <c r="AY6"/>
      <c r="AZ6"/>
      <c r="BA6"/>
      <c r="BB6"/>
      <c r="BC6"/>
      <c r="BD6"/>
      <c r="BE6"/>
      <c r="BJ6" s="2"/>
      <c r="BK6" s="114">
        <v>5</v>
      </c>
      <c r="BL6" s="2">
        <f>AX6*AW6/100</f>
        <v>0</v>
      </c>
      <c r="BM6" s="2">
        <f t="shared" ref="BM6:BV10" si="2">$F6*AY6/100</f>
        <v>0</v>
      </c>
      <c r="BN6" s="2">
        <f t="shared" si="2"/>
        <v>0</v>
      </c>
      <c r="BO6" s="2">
        <f t="shared" si="2"/>
        <v>0</v>
      </c>
      <c r="BP6" s="2">
        <f t="shared" si="2"/>
        <v>0</v>
      </c>
      <c r="BQ6" s="2">
        <f t="shared" si="2"/>
        <v>0</v>
      </c>
      <c r="BR6" s="2">
        <f t="shared" si="2"/>
        <v>0</v>
      </c>
      <c r="BS6" s="2">
        <f t="shared" si="2"/>
        <v>0</v>
      </c>
      <c r="BT6" s="2">
        <f t="shared" si="2"/>
        <v>0</v>
      </c>
      <c r="BU6" s="2">
        <f t="shared" si="2"/>
        <v>0</v>
      </c>
      <c r="BV6" s="2">
        <f t="shared" si="2"/>
        <v>0</v>
      </c>
      <c r="BW6" s="1844">
        <v>5</v>
      </c>
      <c r="BX6" s="1724">
        <f>$T6*BL6</f>
        <v>0</v>
      </c>
      <c r="BY6" s="1724">
        <f t="shared" ref="BY6:BY44" si="3">$T6*BM6</f>
        <v>0</v>
      </c>
      <c r="BZ6" s="1724">
        <f t="shared" ref="BZ6:BZ44" si="4">$T6*BN6</f>
        <v>0</v>
      </c>
      <c r="CA6" s="1724">
        <f t="shared" ref="CA6:CA44" si="5">$T6*BO6</f>
        <v>0</v>
      </c>
      <c r="CB6" s="1724">
        <f t="shared" ref="CB6:CB44" si="6">$T6*BP6</f>
        <v>0</v>
      </c>
      <c r="CC6" s="1724">
        <f t="shared" ref="CC6:CC44" si="7">$T6*BQ6</f>
        <v>0</v>
      </c>
      <c r="CD6" s="1724">
        <f t="shared" ref="CD6:CD44" si="8">$T6*BR6</f>
        <v>0</v>
      </c>
      <c r="CE6" s="1724">
        <f t="shared" ref="CE6:CE44" si="9">$T6*BS6</f>
        <v>0</v>
      </c>
      <c r="CF6" s="1724">
        <f t="shared" ref="CF6:CF44" si="10">$T6*BT6</f>
        <v>0</v>
      </c>
      <c r="CG6" s="1724">
        <f t="shared" ref="CG6:CG44" si="11">$T6*BU6</f>
        <v>0</v>
      </c>
      <c r="CH6" s="75"/>
      <c r="CM6" s="638"/>
      <c r="CN6" s="638"/>
      <c r="CO6" s="641"/>
      <c r="CP6" s="641"/>
      <c r="CQ6" s="641"/>
      <c r="CR6" s="641"/>
      <c r="CS6" s="638"/>
      <c r="CT6" s="642" t="s">
        <v>494</v>
      </c>
      <c r="CU6" s="638"/>
      <c r="CV6" s="638"/>
      <c r="CW6" s="638"/>
      <c r="CX6" s="638"/>
      <c r="CY6" s="638"/>
      <c r="CZ6" s="638"/>
      <c r="DA6" s="638"/>
      <c r="DB6" s="638"/>
      <c r="DC6" s="638"/>
      <c r="DD6" s="638"/>
      <c r="DE6" s="638"/>
      <c r="DF6" s="638"/>
      <c r="DG6" s="638"/>
      <c r="DH6" s="642" t="s">
        <v>102</v>
      </c>
      <c r="DI6" s="638"/>
      <c r="DJ6" s="638"/>
      <c r="DK6" s="638"/>
      <c r="DL6" s="638"/>
      <c r="DM6" s="638"/>
      <c r="DN6" s="638"/>
      <c r="DO6" s="638"/>
      <c r="DP6" s="638"/>
      <c r="DQ6" s="638"/>
      <c r="DR6" s="638"/>
      <c r="DS6" s="638"/>
      <c r="DT6" s="638"/>
      <c r="DU6" s="638"/>
      <c r="DV6" s="638"/>
      <c r="DW6" s="638"/>
      <c r="DX6" s="638"/>
      <c r="DY6" s="638"/>
      <c r="DZ6" s="638"/>
      <c r="EA6" s="638"/>
      <c r="EB6" s="638"/>
      <c r="EC6" s="638"/>
      <c r="ED6" s="638"/>
      <c r="EE6" s="638"/>
      <c r="EH6" s="965" t="s">
        <v>587</v>
      </c>
      <c r="EI6" s="233"/>
      <c r="EJ6" s="965" t="s">
        <v>113</v>
      </c>
      <c r="EK6" s="233"/>
      <c r="EL6" s="233"/>
      <c r="EM6" s="233"/>
      <c r="EN6" s="233"/>
      <c r="EO6" s="233"/>
      <c r="EP6" s="233"/>
      <c r="EQ6" s="233"/>
      <c r="ER6" s="233"/>
      <c r="ES6" s="233"/>
      <c r="EX6" s="233"/>
      <c r="EY6" s="966"/>
      <c r="EZ6" s="966"/>
      <c r="FA6" s="966"/>
      <c r="FB6" s="966"/>
      <c r="FC6" s="638"/>
      <c r="FD6" s="638"/>
      <c r="FE6" s="638"/>
      <c r="FF6" s="638"/>
      <c r="FG6" s="638"/>
      <c r="FH6" s="638"/>
      <c r="FI6" s="638"/>
      <c r="FJ6" s="966"/>
      <c r="FM6" s="1017" t="s">
        <v>597</v>
      </c>
      <c r="FN6" s="359" t="s">
        <v>147</v>
      </c>
      <c r="FO6" s="359"/>
      <c r="FU6" s="638"/>
      <c r="FV6" s="638"/>
      <c r="FW6" s="638"/>
      <c r="FX6" s="638"/>
      <c r="FY6" s="638"/>
      <c r="FZ6" s="638"/>
      <c r="GA6" s="638"/>
      <c r="GX6" s="1027"/>
      <c r="GZ6" s="1025" t="s">
        <v>587</v>
      </c>
      <c r="HA6" s="1026"/>
      <c r="HB6" s="1025" t="s">
        <v>113</v>
      </c>
      <c r="HC6" s="1026"/>
      <c r="HD6" s="1026"/>
      <c r="HE6" s="1026"/>
      <c r="HF6" s="1026"/>
      <c r="HG6" s="1026"/>
      <c r="HH6" s="1026"/>
      <c r="HI6" s="1026"/>
      <c r="HJ6" s="1026"/>
      <c r="HK6" s="1017" t="s">
        <v>597</v>
      </c>
      <c r="HL6" s="359" t="s">
        <v>147</v>
      </c>
      <c r="HM6" s="359"/>
      <c r="HN6" s="638"/>
      <c r="HO6" s="638"/>
      <c r="HP6" s="638"/>
      <c r="HQ6" s="638"/>
      <c r="IF6" s="1017" t="s">
        <v>597</v>
      </c>
      <c r="IG6" s="359" t="s">
        <v>147</v>
      </c>
      <c r="IH6" s="359"/>
      <c r="JL6" s="1017" t="s">
        <v>597</v>
      </c>
      <c r="JM6" s="359" t="s">
        <v>147</v>
      </c>
      <c r="JN6" s="359"/>
      <c r="LD6" s="1017" t="s">
        <v>597</v>
      </c>
      <c r="LE6" s="359" t="s">
        <v>147</v>
      </c>
      <c r="LF6" s="359"/>
      <c r="ME6" s="1017" t="s">
        <v>597</v>
      </c>
      <c r="MF6" s="359" t="s">
        <v>147</v>
      </c>
      <c r="MG6" s="359"/>
      <c r="NG6" s="1017" t="s">
        <v>597</v>
      </c>
      <c r="NH6" s="359" t="s">
        <v>147</v>
      </c>
      <c r="NI6" s="359"/>
    </row>
    <row r="7" spans="1:387" ht="14.4" thickTop="1" thickBot="1">
      <c r="A7" s="1822">
        <v>6</v>
      </c>
      <c r="B7" s="1134"/>
      <c r="C7" s="1134"/>
      <c r="D7" s="1199"/>
      <c r="E7" s="20"/>
      <c r="F7" s="1843">
        <f t="shared" ref="F7:F54" si="12">C7+D7</f>
        <v>0</v>
      </c>
      <c r="G7" s="951">
        <v>100</v>
      </c>
      <c r="H7"/>
      <c r="I7"/>
      <c r="J7"/>
      <c r="K7"/>
      <c r="L7"/>
      <c r="M7"/>
      <c r="N7"/>
      <c r="S7" s="2"/>
      <c r="T7" s="114">
        <v>6</v>
      </c>
      <c r="U7" s="2">
        <f>G7*F7/100</f>
        <v>0</v>
      </c>
      <c r="V7" s="2">
        <f t="shared" ref="V7:V44" si="13">$F7*H7/100</f>
        <v>0</v>
      </c>
      <c r="W7" s="2">
        <f t="shared" ref="W7:W44" si="14">$F7*I7/100</f>
        <v>0</v>
      </c>
      <c r="X7" s="2">
        <f t="shared" ref="X7:X44" si="15">$F7*J7/100</f>
        <v>0</v>
      </c>
      <c r="Y7" s="2">
        <f t="shared" ref="Y7:Y44" si="16">$F7*K7/100</f>
        <v>0</v>
      </c>
      <c r="Z7" s="2">
        <f t="shared" ref="Z7:Z44" si="17">$F7*L7/100</f>
        <v>0</v>
      </c>
      <c r="AA7" s="2">
        <f t="shared" ref="AA7:AA44" si="18">$F7*M7/100</f>
        <v>0</v>
      </c>
      <c r="AB7" s="2">
        <f t="shared" ref="AB7:AB44" si="19">$F7*N7/100</f>
        <v>0</v>
      </c>
      <c r="AC7" s="2">
        <f t="shared" ref="AC7:AC44" si="20">$F7*O7/100</f>
        <v>0</v>
      </c>
      <c r="AD7" s="2">
        <f t="shared" ref="AD7:AD44" si="21">$F7*P7/100</f>
        <v>0</v>
      </c>
      <c r="AE7" s="2">
        <f t="shared" ref="AE7:AE44" si="22">$F7*Q7/100</f>
        <v>0</v>
      </c>
      <c r="AF7" s="1844">
        <v>6</v>
      </c>
      <c r="AG7" s="1724">
        <f t="shared" ref="AG7:AG44" si="23">$T7*U7</f>
        <v>0</v>
      </c>
      <c r="AH7" s="1724">
        <f t="shared" ref="AH7:AH44" si="24">$T7*V7</f>
        <v>0</v>
      </c>
      <c r="AI7" s="1724">
        <f t="shared" ref="AI7:AI44" si="25">$T7*W7</f>
        <v>0</v>
      </c>
      <c r="AJ7" s="1724">
        <f t="shared" ref="AJ7:AJ44" si="26">$T7*X7</f>
        <v>0</v>
      </c>
      <c r="AK7" s="1724">
        <f t="shared" ref="AK7:AK44" si="27">$T7*Y7</f>
        <v>0</v>
      </c>
      <c r="AL7" s="1724">
        <f t="shared" ref="AL7:AL44" si="28">$T7*Z7</f>
        <v>0</v>
      </c>
      <c r="AM7" s="1724">
        <f t="shared" ref="AM7:AM44" si="29">$T7*AA7</f>
        <v>0</v>
      </c>
      <c r="AN7" s="1724">
        <f t="shared" ref="AN7:AN44" si="30">$T7*AB7</f>
        <v>0</v>
      </c>
      <c r="AO7" s="1724">
        <f t="shared" ref="AO7:AO44" si="31">$T7*AC7</f>
        <v>0</v>
      </c>
      <c r="AP7" s="1724">
        <f t="shared" ref="AP7:AP44" si="32">$T7*AD7</f>
        <v>0</v>
      </c>
      <c r="AR7" s="1822">
        <v>6</v>
      </c>
      <c r="AS7" s="1134"/>
      <c r="AT7" s="1">
        <v>0</v>
      </c>
      <c r="AU7" s="1">
        <v>0</v>
      </c>
      <c r="AV7" s="20"/>
      <c r="AW7" s="1843">
        <f t="shared" ref="AW7:AW52" si="33">AT7+AU7</f>
        <v>0</v>
      </c>
      <c r="AX7" s="951">
        <v>100</v>
      </c>
      <c r="AY7"/>
      <c r="AZ7"/>
      <c r="BA7"/>
      <c r="BB7"/>
      <c r="BC7"/>
      <c r="BD7"/>
      <c r="BE7"/>
      <c r="BJ7" s="2"/>
      <c r="BK7" s="114">
        <v>6</v>
      </c>
      <c r="BL7" s="2">
        <f>AX7*AW7/100</f>
        <v>0</v>
      </c>
      <c r="BM7" s="2">
        <f t="shared" si="2"/>
        <v>0</v>
      </c>
      <c r="BN7" s="2">
        <f t="shared" si="2"/>
        <v>0</v>
      </c>
      <c r="BO7" s="2">
        <f t="shared" si="2"/>
        <v>0</v>
      </c>
      <c r="BP7" s="2">
        <f t="shared" si="2"/>
        <v>0</v>
      </c>
      <c r="BQ7" s="2">
        <f t="shared" si="2"/>
        <v>0</v>
      </c>
      <c r="BR7" s="2">
        <f t="shared" si="2"/>
        <v>0</v>
      </c>
      <c r="BS7" s="2">
        <f t="shared" si="2"/>
        <v>0</v>
      </c>
      <c r="BT7" s="2">
        <f t="shared" si="2"/>
        <v>0</v>
      </c>
      <c r="BU7" s="2">
        <f t="shared" si="2"/>
        <v>0</v>
      </c>
      <c r="BV7" s="2">
        <f t="shared" si="2"/>
        <v>0</v>
      </c>
      <c r="BW7" s="1844">
        <v>6</v>
      </c>
      <c r="BX7" s="1724">
        <f>$T7*BL7</f>
        <v>0</v>
      </c>
      <c r="BY7" s="1724">
        <f t="shared" si="3"/>
        <v>0</v>
      </c>
      <c r="BZ7" s="1724">
        <f t="shared" si="4"/>
        <v>0</v>
      </c>
      <c r="CA7" s="1724">
        <f t="shared" si="5"/>
        <v>0</v>
      </c>
      <c r="CB7" s="1724">
        <f t="shared" si="6"/>
        <v>0</v>
      </c>
      <c r="CC7" s="1724">
        <f t="shared" si="7"/>
        <v>0</v>
      </c>
      <c r="CD7" s="1724">
        <f t="shared" si="8"/>
        <v>0</v>
      </c>
      <c r="CE7" s="1724">
        <f t="shared" si="9"/>
        <v>0</v>
      </c>
      <c r="CF7" s="1724">
        <f t="shared" si="10"/>
        <v>0</v>
      </c>
      <c r="CG7" s="1724">
        <f t="shared" si="11"/>
        <v>0</v>
      </c>
      <c r="CH7" s="75"/>
      <c r="CM7" s="638"/>
      <c r="CN7" s="643" t="s">
        <v>568</v>
      </c>
      <c r="CO7" s="641" t="s">
        <v>416</v>
      </c>
      <c r="CP7" s="644" t="s">
        <v>333</v>
      </c>
      <c r="CQ7" s="644" t="s">
        <v>569</v>
      </c>
      <c r="CR7" s="645" t="s">
        <v>570</v>
      </c>
      <c r="CS7" s="638" t="s">
        <v>318</v>
      </c>
      <c r="CT7" s="641" t="s">
        <v>571</v>
      </c>
      <c r="CU7" s="641" t="s">
        <v>572</v>
      </c>
      <c r="CV7" s="641" t="s">
        <v>573</v>
      </c>
      <c r="CW7" s="641" t="s">
        <v>574</v>
      </c>
      <c r="CX7" s="641" t="s">
        <v>575</v>
      </c>
      <c r="CY7" s="641" t="s">
        <v>576</v>
      </c>
      <c r="CZ7" s="641" t="s">
        <v>577</v>
      </c>
      <c r="DA7" s="641" t="s">
        <v>578</v>
      </c>
      <c r="DB7" s="641" t="s">
        <v>579</v>
      </c>
      <c r="DC7" s="641" t="s">
        <v>580</v>
      </c>
      <c r="DD7" s="641"/>
      <c r="DE7" s="641"/>
      <c r="DF7" s="641"/>
      <c r="DG7" s="643" t="s">
        <v>568</v>
      </c>
      <c r="DH7" s="641" t="s">
        <v>571</v>
      </c>
      <c r="DI7" s="641" t="s">
        <v>572</v>
      </c>
      <c r="DJ7" s="641" t="s">
        <v>573</v>
      </c>
      <c r="DK7" s="641" t="s">
        <v>574</v>
      </c>
      <c r="DL7" s="641" t="s">
        <v>575</v>
      </c>
      <c r="DM7" s="641" t="s">
        <v>576</v>
      </c>
      <c r="DN7" s="641" t="s">
        <v>577</v>
      </c>
      <c r="DO7" s="641" t="s">
        <v>578</v>
      </c>
      <c r="DP7" s="641" t="s">
        <v>579</v>
      </c>
      <c r="DQ7" s="641" t="s">
        <v>580</v>
      </c>
      <c r="DR7" s="641" t="s">
        <v>581</v>
      </c>
      <c r="DS7" s="1845" t="s">
        <v>568</v>
      </c>
      <c r="DT7" s="1846" t="s">
        <v>571</v>
      </c>
      <c r="DU7" s="1846" t="s">
        <v>572</v>
      </c>
      <c r="DV7" s="1846" t="s">
        <v>573</v>
      </c>
      <c r="DW7" s="1846" t="s">
        <v>574</v>
      </c>
      <c r="DX7" s="1846" t="s">
        <v>575</v>
      </c>
      <c r="DY7" s="1846" t="s">
        <v>576</v>
      </c>
      <c r="DZ7" s="1846" t="s">
        <v>577</v>
      </c>
      <c r="EA7" s="1846" t="s">
        <v>578</v>
      </c>
      <c r="EB7" s="1846" t="s">
        <v>579</v>
      </c>
      <c r="EC7" s="1846" t="s">
        <v>580</v>
      </c>
      <c r="ED7" s="1846" t="s">
        <v>598</v>
      </c>
      <c r="EE7" s="638" t="s">
        <v>45</v>
      </c>
      <c r="EH7" s="233"/>
      <c r="EI7" s="233"/>
      <c r="EJ7" s="233"/>
      <c r="EK7" s="233"/>
      <c r="EL7" s="233"/>
      <c r="EM7" s="233"/>
      <c r="EN7" s="233"/>
      <c r="EO7" s="233"/>
      <c r="EP7" s="233"/>
      <c r="EQ7" s="233"/>
      <c r="ER7" s="233"/>
      <c r="ES7" s="233"/>
      <c r="EX7" s="233"/>
      <c r="EY7" s="966"/>
      <c r="EZ7" s="966"/>
      <c r="FA7" s="966"/>
      <c r="FB7" s="966"/>
      <c r="FC7" s="966"/>
      <c r="FD7" s="966"/>
      <c r="FE7" s="966"/>
      <c r="FF7" s="966"/>
      <c r="FG7" s="966"/>
      <c r="FH7" s="966"/>
      <c r="FI7" s="966"/>
      <c r="FJ7" s="966"/>
      <c r="GX7" s="1027"/>
      <c r="GZ7" s="1026"/>
      <c r="HA7" s="1026"/>
      <c r="HB7" s="1026"/>
      <c r="HC7" s="1026"/>
      <c r="HD7" s="1026"/>
      <c r="HE7" s="1026"/>
      <c r="HF7" s="1026"/>
      <c r="HG7" s="1026"/>
      <c r="HH7" s="1026"/>
      <c r="HI7" s="1026"/>
      <c r="HJ7" s="1026"/>
      <c r="HK7" s="1026"/>
      <c r="HL7" s="1037"/>
      <c r="HM7" s="1026"/>
    </row>
    <row r="8" spans="1:387" ht="14.4" thickTop="1" thickBot="1">
      <c r="A8" s="1822">
        <v>7</v>
      </c>
      <c r="B8" s="1134"/>
      <c r="C8" s="1134"/>
      <c r="D8" s="1199"/>
      <c r="E8" s="20"/>
      <c r="F8" s="1843">
        <f t="shared" si="12"/>
        <v>0</v>
      </c>
      <c r="G8" s="951">
        <v>100</v>
      </c>
      <c r="H8"/>
      <c r="I8"/>
      <c r="J8"/>
      <c r="K8"/>
      <c r="L8"/>
      <c r="M8"/>
      <c r="N8"/>
      <c r="S8" s="2"/>
      <c r="T8" s="114">
        <v>7</v>
      </c>
      <c r="U8" s="2">
        <f>G8*F8/100</f>
        <v>0</v>
      </c>
      <c r="V8" s="2">
        <f t="shared" si="13"/>
        <v>0</v>
      </c>
      <c r="W8" s="2">
        <f t="shared" si="14"/>
        <v>0</v>
      </c>
      <c r="X8" s="2">
        <f t="shared" si="15"/>
        <v>0</v>
      </c>
      <c r="Y8" s="2">
        <f t="shared" si="16"/>
        <v>0</v>
      </c>
      <c r="Z8" s="2">
        <f t="shared" si="17"/>
        <v>0</v>
      </c>
      <c r="AA8" s="2">
        <f t="shared" si="18"/>
        <v>0</v>
      </c>
      <c r="AB8" s="2">
        <f t="shared" si="19"/>
        <v>0</v>
      </c>
      <c r="AC8" s="2">
        <f t="shared" si="20"/>
        <v>0</v>
      </c>
      <c r="AD8" s="2">
        <f t="shared" si="21"/>
        <v>0</v>
      </c>
      <c r="AE8" s="2">
        <f t="shared" si="22"/>
        <v>0</v>
      </c>
      <c r="AF8" s="1844">
        <v>7</v>
      </c>
      <c r="AG8" s="1724">
        <f t="shared" si="23"/>
        <v>0</v>
      </c>
      <c r="AH8" s="1724">
        <f t="shared" si="24"/>
        <v>0</v>
      </c>
      <c r="AI8" s="1724">
        <f t="shared" si="25"/>
        <v>0</v>
      </c>
      <c r="AJ8" s="1724">
        <f t="shared" si="26"/>
        <v>0</v>
      </c>
      <c r="AK8" s="1724">
        <f t="shared" si="27"/>
        <v>0</v>
      </c>
      <c r="AL8" s="1724">
        <f t="shared" si="28"/>
        <v>0</v>
      </c>
      <c r="AM8" s="1724">
        <f t="shared" si="29"/>
        <v>0</v>
      </c>
      <c r="AN8" s="1724">
        <f t="shared" si="30"/>
        <v>0</v>
      </c>
      <c r="AO8" s="1724">
        <f t="shared" si="31"/>
        <v>0</v>
      </c>
      <c r="AP8" s="1724">
        <f t="shared" si="32"/>
        <v>0</v>
      </c>
      <c r="AR8" s="1822">
        <v>7</v>
      </c>
      <c r="AS8" s="1134"/>
      <c r="AT8" s="1">
        <v>0</v>
      </c>
      <c r="AU8" s="1">
        <v>0</v>
      </c>
      <c r="AV8" s="20"/>
      <c r="AW8" s="1843">
        <f t="shared" si="33"/>
        <v>0</v>
      </c>
      <c r="AX8" s="951">
        <v>100</v>
      </c>
      <c r="AY8"/>
      <c r="AZ8"/>
      <c r="BA8"/>
      <c r="BB8"/>
      <c r="BC8"/>
      <c r="BD8"/>
      <c r="BE8"/>
      <c r="BJ8" s="2"/>
      <c r="BK8" s="114">
        <v>7</v>
      </c>
      <c r="BL8" s="2">
        <f>AX8*AW8/100</f>
        <v>0</v>
      </c>
      <c r="BM8" s="2">
        <f t="shared" si="2"/>
        <v>0</v>
      </c>
      <c r="BN8" s="2">
        <f t="shared" si="2"/>
        <v>0</v>
      </c>
      <c r="BO8" s="2">
        <f t="shared" si="2"/>
        <v>0</v>
      </c>
      <c r="BP8" s="2">
        <f t="shared" si="2"/>
        <v>0</v>
      </c>
      <c r="BQ8" s="2">
        <f t="shared" si="2"/>
        <v>0</v>
      </c>
      <c r="BR8" s="2">
        <f t="shared" si="2"/>
        <v>0</v>
      </c>
      <c r="BS8" s="2">
        <f t="shared" si="2"/>
        <v>0</v>
      </c>
      <c r="BT8" s="2">
        <f t="shared" si="2"/>
        <v>0</v>
      </c>
      <c r="BU8" s="2">
        <f t="shared" si="2"/>
        <v>0</v>
      </c>
      <c r="BV8" s="2">
        <f t="shared" si="2"/>
        <v>0</v>
      </c>
      <c r="BW8" s="1844">
        <v>7</v>
      </c>
      <c r="BX8" s="1724">
        <f>$T8*BL8</f>
        <v>0</v>
      </c>
      <c r="BY8" s="1724">
        <f t="shared" si="3"/>
        <v>0</v>
      </c>
      <c r="BZ8" s="1724">
        <f t="shared" si="4"/>
        <v>0</v>
      </c>
      <c r="CA8" s="1724">
        <f t="shared" si="5"/>
        <v>0</v>
      </c>
      <c r="CB8" s="1724">
        <f t="shared" si="6"/>
        <v>0</v>
      </c>
      <c r="CC8" s="1724">
        <f t="shared" si="7"/>
        <v>0</v>
      </c>
      <c r="CD8" s="1724">
        <f t="shared" si="8"/>
        <v>0</v>
      </c>
      <c r="CE8" s="1724">
        <f t="shared" si="9"/>
        <v>0</v>
      </c>
      <c r="CF8" s="1724">
        <f t="shared" si="10"/>
        <v>0</v>
      </c>
      <c r="CG8" s="1724">
        <f t="shared" si="11"/>
        <v>0</v>
      </c>
      <c r="CH8" s="75"/>
      <c r="CM8" s="638"/>
      <c r="CN8" s="1847">
        <v>5</v>
      </c>
      <c r="CO8" s="1846"/>
      <c r="CP8" s="1">
        <v>0</v>
      </c>
      <c r="CQ8" s="638"/>
      <c r="CR8" s="646"/>
      <c r="CS8" s="1141"/>
      <c r="CT8" s="952"/>
      <c r="CU8" s="641"/>
      <c r="CV8" s="641"/>
      <c r="CW8" s="641"/>
      <c r="CX8" s="641"/>
      <c r="CY8" s="641"/>
      <c r="CZ8" s="641"/>
      <c r="DA8" s="641"/>
      <c r="DB8" s="638"/>
      <c r="DC8" s="638"/>
      <c r="DD8" s="638"/>
      <c r="DE8" s="638"/>
      <c r="DF8" s="451"/>
      <c r="DG8" s="647">
        <v>5</v>
      </c>
      <c r="DH8" s="2">
        <v>100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451">
        <v>0</v>
      </c>
      <c r="DS8" s="1847">
        <v>5</v>
      </c>
      <c r="DT8" s="192">
        <f>$CR8*DH8/100</f>
        <v>0</v>
      </c>
      <c r="DU8" s="192">
        <f t="shared" ref="DU8:ED8" si="34">$CR8*DI8/100</f>
        <v>0</v>
      </c>
      <c r="DV8" s="192">
        <f t="shared" si="34"/>
        <v>0</v>
      </c>
      <c r="DW8" s="192">
        <f t="shared" si="34"/>
        <v>0</v>
      </c>
      <c r="DX8" s="192">
        <f t="shared" si="34"/>
        <v>0</v>
      </c>
      <c r="DY8" s="192">
        <f t="shared" si="34"/>
        <v>0</v>
      </c>
      <c r="DZ8" s="192">
        <f t="shared" si="34"/>
        <v>0</v>
      </c>
      <c r="EA8" s="192">
        <f t="shared" si="34"/>
        <v>0</v>
      </c>
      <c r="EB8" s="192">
        <f t="shared" si="34"/>
        <v>0</v>
      </c>
      <c r="EC8" s="192">
        <f t="shared" si="34"/>
        <v>0</v>
      </c>
      <c r="ED8" s="192">
        <f t="shared" si="34"/>
        <v>0</v>
      </c>
      <c r="EE8" s="667">
        <f>SUM(DT8:ED8)</f>
        <v>0</v>
      </c>
      <c r="EH8" s="984" t="s">
        <v>599</v>
      </c>
      <c r="EI8" s="969" t="s">
        <v>600</v>
      </c>
      <c r="EJ8" s="970" t="s">
        <v>572</v>
      </c>
      <c r="EK8" s="971" t="s">
        <v>573</v>
      </c>
      <c r="EL8" s="970" t="s">
        <v>574</v>
      </c>
      <c r="EM8" s="970" t="s">
        <v>575</v>
      </c>
      <c r="EN8" s="970" t="s">
        <v>576</v>
      </c>
      <c r="EO8" s="970" t="s">
        <v>577</v>
      </c>
      <c r="EP8" s="970" t="s">
        <v>578</v>
      </c>
      <c r="EQ8" s="970" t="s">
        <v>579</v>
      </c>
      <c r="ER8" s="970" t="s">
        <v>580</v>
      </c>
      <c r="ES8" s="972" t="s">
        <v>581</v>
      </c>
      <c r="EX8" s="968" t="s">
        <v>601</v>
      </c>
      <c r="EY8" s="968" t="s">
        <v>601</v>
      </c>
      <c r="EZ8" s="969" t="s">
        <v>600</v>
      </c>
      <c r="FA8" s="970" t="s">
        <v>572</v>
      </c>
      <c r="FB8" s="971" t="s">
        <v>573</v>
      </c>
      <c r="FC8" s="970" t="s">
        <v>574</v>
      </c>
      <c r="FD8" s="970" t="s">
        <v>575</v>
      </c>
      <c r="FE8" s="970" t="s">
        <v>576</v>
      </c>
      <c r="FF8" s="970" t="s">
        <v>577</v>
      </c>
      <c r="FG8" s="970" t="s">
        <v>578</v>
      </c>
      <c r="FH8" s="970" t="s">
        <v>579</v>
      </c>
      <c r="FI8" s="970" t="s">
        <v>580</v>
      </c>
      <c r="FJ8" s="972" t="s">
        <v>581</v>
      </c>
      <c r="FM8" s="997" t="s">
        <v>599</v>
      </c>
      <c r="FN8" s="998" t="s">
        <v>600</v>
      </c>
      <c r="FO8" s="999" t="s">
        <v>572</v>
      </c>
      <c r="FP8" s="1000" t="s">
        <v>573</v>
      </c>
      <c r="FQ8" s="999" t="s">
        <v>574</v>
      </c>
      <c r="FR8" s="999" t="s">
        <v>575</v>
      </c>
      <c r="FS8" s="999" t="s">
        <v>576</v>
      </c>
      <c r="FT8" s="999" t="s">
        <v>577</v>
      </c>
      <c r="FU8" s="999" t="s">
        <v>578</v>
      </c>
      <c r="FV8" s="999" t="s">
        <v>579</v>
      </c>
      <c r="FW8" s="999" t="s">
        <v>580</v>
      </c>
      <c r="FX8" s="1001" t="s">
        <v>581</v>
      </c>
      <c r="FY8" s="999" t="s">
        <v>602</v>
      </c>
      <c r="FZ8" s="999" t="s">
        <v>603</v>
      </c>
      <c r="GA8" s="999" t="s">
        <v>604</v>
      </c>
      <c r="GB8" s="997" t="s">
        <v>601</v>
      </c>
      <c r="GC8" s="997" t="s">
        <v>599</v>
      </c>
      <c r="GE8" s="998" t="s">
        <v>600</v>
      </c>
      <c r="GF8" s="999" t="s">
        <v>572</v>
      </c>
      <c r="GG8" s="1000" t="s">
        <v>573</v>
      </c>
      <c r="GH8" s="999" t="s">
        <v>574</v>
      </c>
      <c r="GI8" s="999" t="s">
        <v>575</v>
      </c>
      <c r="GJ8" s="999" t="s">
        <v>576</v>
      </c>
      <c r="GK8" s="999" t="s">
        <v>577</v>
      </c>
      <c r="GL8" s="999" t="s">
        <v>578</v>
      </c>
      <c r="GM8" s="999" t="s">
        <v>579</v>
      </c>
      <c r="GN8" s="999" t="s">
        <v>580</v>
      </c>
      <c r="GO8" s="1001" t="s">
        <v>581</v>
      </c>
      <c r="GP8" s="999" t="s">
        <v>602</v>
      </c>
      <c r="GQ8" s="999" t="s">
        <v>603</v>
      </c>
      <c r="GR8" s="999" t="s">
        <v>604</v>
      </c>
      <c r="GS8" s="997" t="s">
        <v>601</v>
      </c>
      <c r="GT8" s="997" t="s">
        <v>599</v>
      </c>
      <c r="GX8" s="1031" t="s">
        <v>599</v>
      </c>
      <c r="GY8" s="1031" t="s">
        <v>601</v>
      </c>
      <c r="GZ8" s="1050" t="s">
        <v>600</v>
      </c>
      <c r="HA8" s="1051" t="s">
        <v>572</v>
      </c>
      <c r="HB8" s="1052" t="s">
        <v>573</v>
      </c>
      <c r="HC8" s="1051" t="s">
        <v>574</v>
      </c>
      <c r="HD8" s="1051" t="s">
        <v>575</v>
      </c>
      <c r="HE8" s="1051" t="s">
        <v>576</v>
      </c>
      <c r="HF8" s="1051" t="s">
        <v>577</v>
      </c>
      <c r="HG8" s="1051" t="s">
        <v>578</v>
      </c>
      <c r="HH8" s="1051" t="s">
        <v>579</v>
      </c>
      <c r="HI8" s="1051" t="s">
        <v>580</v>
      </c>
      <c r="HJ8" s="1053" t="s">
        <v>581</v>
      </c>
      <c r="HK8" s="1051" t="s">
        <v>602</v>
      </c>
      <c r="HL8" s="1051" t="s">
        <v>603</v>
      </c>
      <c r="HM8" s="1049" t="s">
        <v>601</v>
      </c>
      <c r="HN8" s="1050" t="s">
        <v>600</v>
      </c>
      <c r="HO8" s="1051" t="s">
        <v>572</v>
      </c>
      <c r="HP8" s="1052" t="s">
        <v>573</v>
      </c>
      <c r="HQ8" s="1051" t="s">
        <v>574</v>
      </c>
      <c r="HR8" s="1051" t="s">
        <v>575</v>
      </c>
      <c r="HS8" s="1051" t="s">
        <v>576</v>
      </c>
      <c r="HT8" s="1051" t="s">
        <v>577</v>
      </c>
      <c r="HU8" s="1051" t="s">
        <v>578</v>
      </c>
      <c r="HV8" s="1051" t="s">
        <v>579</v>
      </c>
      <c r="HW8" s="1051" t="s">
        <v>580</v>
      </c>
      <c r="HX8" s="1053" t="s">
        <v>581</v>
      </c>
      <c r="HY8" s="1051" t="s">
        <v>602</v>
      </c>
      <c r="HZ8" s="1051" t="s">
        <v>603</v>
      </c>
      <c r="IA8" s="1049" t="s">
        <v>601</v>
      </c>
      <c r="IF8" s="997" t="s">
        <v>599</v>
      </c>
      <c r="IG8" s="998" t="s">
        <v>600</v>
      </c>
      <c r="IH8" s="999" t="s">
        <v>572</v>
      </c>
      <c r="II8" s="1000" t="s">
        <v>573</v>
      </c>
      <c r="IJ8" s="999" t="s">
        <v>574</v>
      </c>
      <c r="IK8" s="999" t="s">
        <v>575</v>
      </c>
      <c r="IL8" s="999" t="s">
        <v>576</v>
      </c>
      <c r="IM8" s="999" t="s">
        <v>577</v>
      </c>
      <c r="IN8" s="999" t="s">
        <v>578</v>
      </c>
      <c r="IO8" s="999" t="s">
        <v>579</v>
      </c>
      <c r="IP8" s="999" t="s">
        <v>580</v>
      </c>
      <c r="IQ8" s="1001" t="s">
        <v>581</v>
      </c>
      <c r="IT8" s="997" t="s">
        <v>599</v>
      </c>
      <c r="IU8" s="998" t="s">
        <v>600</v>
      </c>
      <c r="IV8" s="999" t="s">
        <v>572</v>
      </c>
      <c r="IW8" s="1000" t="s">
        <v>573</v>
      </c>
      <c r="IX8" s="999" t="s">
        <v>574</v>
      </c>
      <c r="IY8" s="999" t="s">
        <v>575</v>
      </c>
      <c r="IZ8" s="999" t="s">
        <v>576</v>
      </c>
      <c r="JA8" s="999" t="s">
        <v>577</v>
      </c>
      <c r="JB8" s="999" t="s">
        <v>578</v>
      </c>
      <c r="JC8" s="999" t="s">
        <v>579</v>
      </c>
      <c r="JD8" s="999" t="s">
        <v>580</v>
      </c>
      <c r="JE8" s="1001" t="s">
        <v>581</v>
      </c>
      <c r="JH8" s="1002">
        <v>1</v>
      </c>
      <c r="JI8" s="997" t="s">
        <v>599</v>
      </c>
      <c r="JJ8" s="998" t="s">
        <v>600</v>
      </c>
      <c r="JK8" s="999" t="s">
        <v>572</v>
      </c>
      <c r="JL8" s="1000" t="s">
        <v>573</v>
      </c>
      <c r="JM8" s="999" t="s">
        <v>574</v>
      </c>
      <c r="JN8" s="999" t="s">
        <v>575</v>
      </c>
      <c r="JO8" s="999" t="s">
        <v>576</v>
      </c>
      <c r="JP8" s="999" t="s">
        <v>577</v>
      </c>
      <c r="JQ8" s="999" t="s">
        <v>578</v>
      </c>
      <c r="JR8" s="999" t="s">
        <v>579</v>
      </c>
      <c r="JS8" s="999" t="s">
        <v>580</v>
      </c>
      <c r="JT8" s="1001" t="s">
        <v>581</v>
      </c>
      <c r="JV8" s="997" t="s">
        <v>599</v>
      </c>
      <c r="JW8" s="998" t="s">
        <v>600</v>
      </c>
      <c r="JX8" s="999" t="s">
        <v>572</v>
      </c>
      <c r="JY8" s="1000" t="s">
        <v>573</v>
      </c>
      <c r="JZ8" s="999" t="s">
        <v>574</v>
      </c>
      <c r="KA8" s="999" t="s">
        <v>575</v>
      </c>
      <c r="KB8" s="999" t="s">
        <v>576</v>
      </c>
      <c r="KC8" s="999" t="s">
        <v>577</v>
      </c>
      <c r="KD8" s="999" t="s">
        <v>578</v>
      </c>
      <c r="KE8" s="999" t="s">
        <v>579</v>
      </c>
      <c r="KF8" s="999" t="s">
        <v>580</v>
      </c>
      <c r="KG8" s="1001" t="s">
        <v>581</v>
      </c>
      <c r="KI8" s="997" t="s">
        <v>599</v>
      </c>
      <c r="KJ8" s="998" t="s">
        <v>600</v>
      </c>
      <c r="KK8" s="999" t="s">
        <v>572</v>
      </c>
      <c r="KL8" s="1000" t="s">
        <v>573</v>
      </c>
      <c r="KM8" s="999" t="s">
        <v>574</v>
      </c>
      <c r="KN8" s="999" t="s">
        <v>575</v>
      </c>
      <c r="KO8" s="999" t="s">
        <v>576</v>
      </c>
      <c r="KP8" s="999" t="s">
        <v>577</v>
      </c>
      <c r="KQ8" s="999" t="s">
        <v>578</v>
      </c>
      <c r="KR8" s="999" t="s">
        <v>579</v>
      </c>
      <c r="KS8" s="999" t="s">
        <v>580</v>
      </c>
      <c r="KT8" s="1001" t="s">
        <v>581</v>
      </c>
      <c r="KV8" s="1031" t="s">
        <v>599</v>
      </c>
      <c r="KW8" s="997" t="s">
        <v>605</v>
      </c>
      <c r="KX8" s="998" t="s">
        <v>600</v>
      </c>
      <c r="KY8" s="999" t="s">
        <v>572</v>
      </c>
      <c r="KZ8" s="1000" t="s">
        <v>573</v>
      </c>
      <c r="LA8" s="999" t="s">
        <v>574</v>
      </c>
      <c r="LB8" s="999" t="s">
        <v>575</v>
      </c>
      <c r="LC8" s="999" t="s">
        <v>576</v>
      </c>
      <c r="LD8" s="999" t="s">
        <v>577</v>
      </c>
      <c r="LE8" s="999" t="s">
        <v>578</v>
      </c>
      <c r="LF8" s="999" t="s">
        <v>579</v>
      </c>
      <c r="LG8" s="999" t="s">
        <v>580</v>
      </c>
      <c r="LH8" s="999" t="s">
        <v>581</v>
      </c>
      <c r="LJ8" s="998" t="s">
        <v>600</v>
      </c>
      <c r="LK8" s="999" t="s">
        <v>572</v>
      </c>
      <c r="LL8" s="1000" t="s">
        <v>573</v>
      </c>
      <c r="LM8" s="999" t="s">
        <v>574</v>
      </c>
      <c r="LN8" s="999" t="s">
        <v>575</v>
      </c>
      <c r="LO8" s="999" t="s">
        <v>576</v>
      </c>
      <c r="LP8" s="999" t="s">
        <v>577</v>
      </c>
      <c r="LQ8" s="999" t="s">
        <v>578</v>
      </c>
      <c r="LR8" s="999" t="s">
        <v>579</v>
      </c>
      <c r="LS8" s="999" t="s">
        <v>580</v>
      </c>
      <c r="LT8" s="999" t="s">
        <v>581</v>
      </c>
      <c r="LU8" s="75"/>
      <c r="LV8" s="997" t="s">
        <v>605</v>
      </c>
      <c r="LW8" s="998" t="s">
        <v>600</v>
      </c>
      <c r="LX8" s="999" t="s">
        <v>572</v>
      </c>
      <c r="LY8" s="1000" t="s">
        <v>573</v>
      </c>
      <c r="LZ8" s="999" t="s">
        <v>574</v>
      </c>
      <c r="MA8" s="999" t="s">
        <v>575</v>
      </c>
      <c r="MB8" s="999" t="s">
        <v>576</v>
      </c>
      <c r="MC8" s="999" t="s">
        <v>577</v>
      </c>
      <c r="MD8" s="999" t="s">
        <v>578</v>
      </c>
      <c r="ME8" s="999" t="s">
        <v>579</v>
      </c>
      <c r="MF8" s="999" t="s">
        <v>580</v>
      </c>
      <c r="MG8" s="999" t="s">
        <v>581</v>
      </c>
      <c r="MI8" s="998" t="s">
        <v>600</v>
      </c>
      <c r="MJ8" s="999" t="s">
        <v>572</v>
      </c>
      <c r="MK8" s="1000" t="s">
        <v>573</v>
      </c>
      <c r="ML8" s="999" t="s">
        <v>574</v>
      </c>
      <c r="MM8" s="999" t="s">
        <v>575</v>
      </c>
      <c r="MN8" s="999" t="s">
        <v>576</v>
      </c>
      <c r="MO8" s="999" t="s">
        <v>577</v>
      </c>
      <c r="MP8" s="999" t="s">
        <v>578</v>
      </c>
      <c r="MQ8" s="999" t="s">
        <v>579</v>
      </c>
      <c r="MR8" s="999" t="s">
        <v>580</v>
      </c>
      <c r="MS8" s="999" t="s">
        <v>581</v>
      </c>
      <c r="MU8" s="1031" t="s">
        <v>599</v>
      </c>
      <c r="MV8" s="997" t="s">
        <v>605</v>
      </c>
      <c r="MW8" s="998" t="s">
        <v>600</v>
      </c>
      <c r="MX8" s="999" t="s">
        <v>572</v>
      </c>
      <c r="MY8" s="1000" t="s">
        <v>573</v>
      </c>
      <c r="MZ8" s="999" t="s">
        <v>574</v>
      </c>
      <c r="NA8" s="999" t="s">
        <v>575</v>
      </c>
      <c r="NB8" s="999" t="s">
        <v>576</v>
      </c>
      <c r="NC8" s="999" t="s">
        <v>577</v>
      </c>
      <c r="ND8" s="999" t="s">
        <v>578</v>
      </c>
      <c r="NE8" s="999" t="s">
        <v>579</v>
      </c>
      <c r="NF8" s="999" t="s">
        <v>580</v>
      </c>
      <c r="NG8" s="999" t="s">
        <v>581</v>
      </c>
      <c r="NJ8" s="998" t="s">
        <v>600</v>
      </c>
      <c r="NK8" s="999" t="s">
        <v>572</v>
      </c>
      <c r="NL8" s="1000" t="s">
        <v>573</v>
      </c>
      <c r="NM8" s="999" t="s">
        <v>574</v>
      </c>
      <c r="NN8" s="999" t="s">
        <v>575</v>
      </c>
      <c r="NO8" s="999" t="s">
        <v>576</v>
      </c>
      <c r="NP8" s="999" t="s">
        <v>577</v>
      </c>
      <c r="NQ8" s="999" t="s">
        <v>578</v>
      </c>
      <c r="NR8" s="999" t="s">
        <v>579</v>
      </c>
      <c r="NS8" s="999" t="s">
        <v>580</v>
      </c>
      <c r="NT8" s="999" t="s">
        <v>581</v>
      </c>
    </row>
    <row r="9" spans="1:387" ht="16.8" thickTop="1" thickBot="1">
      <c r="A9" s="1822">
        <v>8</v>
      </c>
      <c r="B9" s="1134"/>
      <c r="C9" s="1134"/>
      <c r="D9" s="1199"/>
      <c r="E9" s="20"/>
      <c r="F9" s="1843">
        <f t="shared" si="12"/>
        <v>0</v>
      </c>
      <c r="G9" s="951">
        <v>100</v>
      </c>
      <c r="H9"/>
      <c r="I9"/>
      <c r="J9"/>
      <c r="K9"/>
      <c r="L9"/>
      <c r="M9"/>
      <c r="N9"/>
      <c r="S9" s="2"/>
      <c r="T9" s="114">
        <v>8</v>
      </c>
      <c r="U9" s="2">
        <f>G9*F9/100</f>
        <v>0</v>
      </c>
      <c r="V9" s="2">
        <f t="shared" si="13"/>
        <v>0</v>
      </c>
      <c r="W9" s="2">
        <f t="shared" si="14"/>
        <v>0</v>
      </c>
      <c r="X9" s="2">
        <f t="shared" si="15"/>
        <v>0</v>
      </c>
      <c r="Y9" s="2">
        <f t="shared" si="16"/>
        <v>0</v>
      </c>
      <c r="Z9" s="2">
        <f t="shared" si="17"/>
        <v>0</v>
      </c>
      <c r="AA9" s="2">
        <f t="shared" si="18"/>
        <v>0</v>
      </c>
      <c r="AB9" s="2">
        <f t="shared" si="19"/>
        <v>0</v>
      </c>
      <c r="AC9" s="2">
        <f t="shared" si="20"/>
        <v>0</v>
      </c>
      <c r="AD9" s="2">
        <f t="shared" si="21"/>
        <v>0</v>
      </c>
      <c r="AE9" s="2">
        <f t="shared" si="22"/>
        <v>0</v>
      </c>
      <c r="AF9" s="1844">
        <v>8</v>
      </c>
      <c r="AG9" s="1724">
        <f>$T9*U9</f>
        <v>0</v>
      </c>
      <c r="AH9" s="1724">
        <f t="shared" si="24"/>
        <v>0</v>
      </c>
      <c r="AI9" s="1724">
        <f t="shared" si="25"/>
        <v>0</v>
      </c>
      <c r="AJ9" s="1724">
        <f t="shared" si="26"/>
        <v>0</v>
      </c>
      <c r="AK9" s="1724">
        <f t="shared" si="27"/>
        <v>0</v>
      </c>
      <c r="AL9" s="1724">
        <f t="shared" si="28"/>
        <v>0</v>
      </c>
      <c r="AM9" s="1724">
        <f t="shared" si="29"/>
        <v>0</v>
      </c>
      <c r="AN9" s="1724">
        <f t="shared" si="30"/>
        <v>0</v>
      </c>
      <c r="AO9" s="1724">
        <f t="shared" si="31"/>
        <v>0</v>
      </c>
      <c r="AP9" s="1724">
        <f t="shared" si="32"/>
        <v>0</v>
      </c>
      <c r="AR9" s="1822">
        <v>8</v>
      </c>
      <c r="AS9" s="1134"/>
      <c r="AT9" s="1">
        <v>0</v>
      </c>
      <c r="AU9" s="1">
        <v>0</v>
      </c>
      <c r="AV9" s="20"/>
      <c r="AW9" s="1843">
        <f t="shared" si="33"/>
        <v>0</v>
      </c>
      <c r="AX9" s="951">
        <v>100</v>
      </c>
      <c r="AY9"/>
      <c r="AZ9"/>
      <c r="BA9"/>
      <c r="BB9"/>
      <c r="BC9"/>
      <c r="BD9"/>
      <c r="BE9"/>
      <c r="BJ9" s="2"/>
      <c r="BK9" s="114">
        <v>8</v>
      </c>
      <c r="BL9" s="2">
        <f>AX9*AW9/100</f>
        <v>0</v>
      </c>
      <c r="BM9" s="2">
        <f t="shared" si="2"/>
        <v>0</v>
      </c>
      <c r="BN9" s="2">
        <f t="shared" si="2"/>
        <v>0</v>
      </c>
      <c r="BO9" s="2">
        <f t="shared" si="2"/>
        <v>0</v>
      </c>
      <c r="BP9" s="2">
        <f t="shared" si="2"/>
        <v>0</v>
      </c>
      <c r="BQ9" s="2">
        <f t="shared" si="2"/>
        <v>0</v>
      </c>
      <c r="BR9" s="2">
        <f t="shared" si="2"/>
        <v>0</v>
      </c>
      <c r="BS9" s="2">
        <f t="shared" si="2"/>
        <v>0</v>
      </c>
      <c r="BT9" s="2">
        <f t="shared" si="2"/>
        <v>0</v>
      </c>
      <c r="BU9" s="2">
        <f t="shared" si="2"/>
        <v>0</v>
      </c>
      <c r="BV9" s="2">
        <f t="shared" si="2"/>
        <v>0</v>
      </c>
      <c r="BW9" s="1844">
        <v>8</v>
      </c>
      <c r="BX9" s="1724">
        <f>$T9*BL9</f>
        <v>0</v>
      </c>
      <c r="BY9" s="1724">
        <f t="shared" si="3"/>
        <v>0</v>
      </c>
      <c r="BZ9" s="1724">
        <f t="shared" si="4"/>
        <v>0</v>
      </c>
      <c r="CA9" s="1724">
        <f t="shared" si="5"/>
        <v>0</v>
      </c>
      <c r="CB9" s="1724">
        <f t="shared" si="6"/>
        <v>0</v>
      </c>
      <c r="CC9" s="1724">
        <f t="shared" si="7"/>
        <v>0</v>
      </c>
      <c r="CD9" s="1724">
        <f t="shared" si="8"/>
        <v>0</v>
      </c>
      <c r="CE9" s="1724">
        <f t="shared" si="9"/>
        <v>0</v>
      </c>
      <c r="CF9" s="1724">
        <f t="shared" si="10"/>
        <v>0</v>
      </c>
      <c r="CG9" s="1724">
        <f t="shared" si="11"/>
        <v>0</v>
      </c>
      <c r="CH9" s="75"/>
      <c r="CM9" s="638"/>
      <c r="CN9" s="1847">
        <v>6</v>
      </c>
      <c r="CO9" s="1846"/>
      <c r="CP9" s="1">
        <v>0</v>
      </c>
      <c r="CQ9" s="638"/>
      <c r="CR9" s="646">
        <f>CP9+CQ9</f>
        <v>0</v>
      </c>
      <c r="CS9" s="1141"/>
      <c r="CT9" s="952"/>
      <c r="CU9" s="641"/>
      <c r="CV9" s="641"/>
      <c r="CW9" s="641"/>
      <c r="CX9" s="641"/>
      <c r="CY9" s="641"/>
      <c r="CZ9" s="641"/>
      <c r="DA9" s="641"/>
      <c r="DB9" s="638"/>
      <c r="DC9" s="638"/>
      <c r="DD9" s="638"/>
      <c r="DE9" s="638"/>
      <c r="DF9" s="451"/>
      <c r="DG9" s="647">
        <v>6</v>
      </c>
      <c r="DH9" s="2">
        <v>100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451">
        <v>0</v>
      </c>
      <c r="DS9" s="1847">
        <v>6</v>
      </c>
      <c r="DT9" s="192">
        <f t="shared" ref="DT9:DT25" si="35">$CR9*DH9/100</f>
        <v>0</v>
      </c>
      <c r="DU9" s="192">
        <f t="shared" ref="DU9:DU25" si="36">$CR9*DI9/100</f>
        <v>0</v>
      </c>
      <c r="DV9" s="192">
        <f t="shared" ref="DV9:DV25" si="37">$CR9*DJ9/100</f>
        <v>0</v>
      </c>
      <c r="DW9" s="192">
        <f t="shared" ref="DW9:DW25" si="38">$CR9*DK9/100</f>
        <v>0</v>
      </c>
      <c r="DX9" s="192">
        <f t="shared" ref="DX9:DX25" si="39">$CR9*DL9/100</f>
        <v>0</v>
      </c>
      <c r="DY9" s="192">
        <f t="shared" ref="DY9:DY25" si="40">$CR9*DM9/100</f>
        <v>0</v>
      </c>
      <c r="DZ9" s="192">
        <f t="shared" ref="DZ9:DZ25" si="41">$CR9*DN9/100</f>
        <v>0</v>
      </c>
      <c r="EA9" s="192">
        <f t="shared" ref="EA9:EA25" si="42">$CR9*DO9/100</f>
        <v>0</v>
      </c>
      <c r="EB9" s="192">
        <f t="shared" ref="EB9:EB25" si="43">$CR9*DP9/100</f>
        <v>0</v>
      </c>
      <c r="EC9" s="192">
        <f t="shared" ref="EC9:EC25" si="44">$CR9*DQ9/100</f>
        <v>0</v>
      </c>
      <c r="ED9" s="192">
        <f t="shared" ref="ED9:ED25" si="45">$CR9*DR9/100</f>
        <v>0</v>
      </c>
      <c r="EE9" s="667">
        <f t="shared" ref="EE9:EE50" si="46">SUM(DT9:ED9)</f>
        <v>0</v>
      </c>
      <c r="EH9" s="985">
        <v>7</v>
      </c>
      <c r="EI9" s="983">
        <v>100</v>
      </c>
      <c r="EJ9" s="974"/>
      <c r="EK9" s="974"/>
      <c r="EL9" s="974"/>
      <c r="EM9" s="974"/>
      <c r="EN9" s="974"/>
      <c r="EO9" s="974"/>
      <c r="EP9" s="974"/>
      <c r="EQ9" s="974"/>
      <c r="ER9" s="974"/>
      <c r="ES9" s="974"/>
      <c r="EX9" s="994">
        <v>100</v>
      </c>
      <c r="EY9" s="989">
        <v>0</v>
      </c>
      <c r="EZ9" s="989">
        <f>(EI9*$EY9)/100</f>
        <v>0</v>
      </c>
      <c r="FA9" s="989">
        <f t="shared" ref="FA9:FA42" si="47">(EJ9*$EY9)/100</f>
        <v>0</v>
      </c>
      <c r="FB9" s="989">
        <f t="shared" ref="FB9:FB42" si="48">(EK9*$EY9)/100</f>
        <v>0</v>
      </c>
      <c r="FC9" s="989">
        <f t="shared" ref="FC9:FC42" si="49">(EL9*$EY9)/100</f>
        <v>0</v>
      </c>
      <c r="FD9" s="989">
        <f t="shared" ref="FD9:FD42" si="50">(EM9*$EY9)/100</f>
        <v>0</v>
      </c>
      <c r="FE9" s="989">
        <f t="shared" ref="FE9:FE42" si="51">(EN9*$EY9)/100</f>
        <v>0</v>
      </c>
      <c r="FF9" s="989">
        <f t="shared" ref="FF9:FF42" si="52">(EO9*$EY9)/100</f>
        <v>0</v>
      </c>
      <c r="FG9" s="989">
        <f t="shared" ref="FG9:FG42" si="53">(EP9*$EY9)/100</f>
        <v>0</v>
      </c>
      <c r="FH9" s="989">
        <f t="shared" ref="FH9:FH42" si="54">(EQ9*$EY9)/100</f>
        <v>0</v>
      </c>
      <c r="FI9" s="989">
        <f t="shared" ref="FI9:FI42" si="55">(ER9*$EY9)/100</f>
        <v>0</v>
      </c>
      <c r="FJ9" s="989">
        <f t="shared" ref="FJ9:FJ42" si="56">(ES9*$EY9)/100</f>
        <v>0</v>
      </c>
      <c r="FM9" s="1">
        <v>7</v>
      </c>
      <c r="FN9" s="1003">
        <v>100</v>
      </c>
      <c r="GC9" s="1">
        <v>7</v>
      </c>
      <c r="GD9" s="1">
        <v>0</v>
      </c>
      <c r="GE9" s="989">
        <f t="shared" ref="GE9:GE14" si="57">(FN9*$GD9)/100</f>
        <v>0</v>
      </c>
      <c r="GF9" s="989">
        <f t="shared" ref="GF9:GR9" si="58">(FO9*$GD9)/100</f>
        <v>0</v>
      </c>
      <c r="GG9" s="989">
        <f t="shared" si="58"/>
        <v>0</v>
      </c>
      <c r="GH9" s="989">
        <f t="shared" si="58"/>
        <v>0</v>
      </c>
      <c r="GI9" s="989">
        <f t="shared" si="58"/>
        <v>0</v>
      </c>
      <c r="GJ9" s="989">
        <f t="shared" si="58"/>
        <v>0</v>
      </c>
      <c r="GK9" s="989">
        <f t="shared" si="58"/>
        <v>0</v>
      </c>
      <c r="GL9" s="989">
        <f t="shared" si="58"/>
        <v>0</v>
      </c>
      <c r="GM9" s="989">
        <f t="shared" si="58"/>
        <v>0</v>
      </c>
      <c r="GN9" s="989">
        <f t="shared" si="58"/>
        <v>0</v>
      </c>
      <c r="GO9" s="989">
        <f t="shared" si="58"/>
        <v>0</v>
      </c>
      <c r="GP9" s="989">
        <f t="shared" si="58"/>
        <v>0</v>
      </c>
      <c r="GQ9" s="989">
        <f t="shared" si="58"/>
        <v>0</v>
      </c>
      <c r="GR9" s="989">
        <f t="shared" si="58"/>
        <v>0</v>
      </c>
      <c r="GX9" s="29">
        <v>7</v>
      </c>
      <c r="GY9" s="1">
        <v>6571.3057093081661</v>
      </c>
      <c r="GZ9" s="1848">
        <v>100</v>
      </c>
      <c r="HA9" s="1848"/>
      <c r="HB9" s="1848"/>
      <c r="HC9" s="1848"/>
      <c r="HD9" s="1848"/>
      <c r="HE9" s="1848"/>
      <c r="HF9" s="1848"/>
      <c r="HG9" s="1848"/>
      <c r="HH9" s="1848"/>
      <c r="HI9" s="1848"/>
      <c r="HJ9" s="1848"/>
      <c r="HK9" s="1848"/>
      <c r="HL9" s="1848"/>
      <c r="HM9" s="1848">
        <f>SUM(GZ9:HL9)</f>
        <v>100</v>
      </c>
      <c r="HN9" s="989">
        <f>$GY9*GZ9/100</f>
        <v>6571.3057093081661</v>
      </c>
      <c r="HO9" s="989">
        <f t="shared" ref="HO9:HZ9" si="59">$GY9*HA9/100</f>
        <v>0</v>
      </c>
      <c r="HP9" s="989">
        <f t="shared" si="59"/>
        <v>0</v>
      </c>
      <c r="HQ9" s="989">
        <f t="shared" si="59"/>
        <v>0</v>
      </c>
      <c r="HR9" s="989">
        <f t="shared" si="59"/>
        <v>0</v>
      </c>
      <c r="HS9" s="989">
        <f t="shared" si="59"/>
        <v>0</v>
      </c>
      <c r="HT9" s="989">
        <f t="shared" si="59"/>
        <v>0</v>
      </c>
      <c r="HU9" s="989">
        <f t="shared" si="59"/>
        <v>0</v>
      </c>
      <c r="HV9" s="989">
        <f t="shared" si="59"/>
        <v>0</v>
      </c>
      <c r="HW9" s="989">
        <f t="shared" si="59"/>
        <v>0</v>
      </c>
      <c r="HX9" s="989">
        <f t="shared" si="59"/>
        <v>0</v>
      </c>
      <c r="HY9" s="989">
        <f t="shared" si="59"/>
        <v>0</v>
      </c>
      <c r="HZ9" s="989">
        <f t="shared" si="59"/>
        <v>0</v>
      </c>
      <c r="IT9" s="989">
        <f>$IE9*IG9/100</f>
        <v>0</v>
      </c>
      <c r="IU9" s="989">
        <f t="shared" ref="IU9:JD9" si="60">$IE9*IH9/100</f>
        <v>0</v>
      </c>
      <c r="IV9" s="989">
        <f t="shared" si="60"/>
        <v>0</v>
      </c>
      <c r="IW9" s="989">
        <f t="shared" si="60"/>
        <v>0</v>
      </c>
      <c r="IX9" s="989">
        <f t="shared" si="60"/>
        <v>0</v>
      </c>
      <c r="IY9" s="989">
        <f t="shared" si="60"/>
        <v>0</v>
      </c>
      <c r="IZ9" s="989">
        <f t="shared" si="60"/>
        <v>0</v>
      </c>
      <c r="JA9" s="989">
        <f t="shared" si="60"/>
        <v>0</v>
      </c>
      <c r="JB9" s="989">
        <f t="shared" si="60"/>
        <v>0</v>
      </c>
      <c r="JC9" s="989">
        <f t="shared" si="60"/>
        <v>0</v>
      </c>
      <c r="JD9" s="989">
        <f t="shared" si="60"/>
        <v>0</v>
      </c>
      <c r="JE9" s="989">
        <f>$IE9*IR9/100</f>
        <v>0</v>
      </c>
      <c r="JH9" s="1005">
        <v>2</v>
      </c>
      <c r="JW9" s="989">
        <f>$JG9*JJ9/100</f>
        <v>0</v>
      </c>
      <c r="JX9" s="989">
        <f t="shared" ref="JX9:KG9" si="61">$JG9*JK9/100</f>
        <v>0</v>
      </c>
      <c r="JY9" s="989">
        <f t="shared" si="61"/>
        <v>0</v>
      </c>
      <c r="JZ9" s="989">
        <f t="shared" si="61"/>
        <v>0</v>
      </c>
      <c r="KA9" s="989">
        <f t="shared" si="61"/>
        <v>0</v>
      </c>
      <c r="KB9" s="989">
        <f t="shared" si="61"/>
        <v>0</v>
      </c>
      <c r="KC9" s="989">
        <f t="shared" si="61"/>
        <v>0</v>
      </c>
      <c r="KD9" s="989">
        <f t="shared" si="61"/>
        <v>0</v>
      </c>
      <c r="KE9" s="989">
        <f t="shared" si="61"/>
        <v>0</v>
      </c>
      <c r="KF9" s="989">
        <f t="shared" si="61"/>
        <v>0</v>
      </c>
      <c r="KG9" s="989">
        <f t="shared" si="61"/>
        <v>0</v>
      </c>
      <c r="KJ9" s="2">
        <f>IT9+JW9</f>
        <v>0</v>
      </c>
      <c r="KK9" s="2">
        <f t="shared" ref="KK9:KT10" si="62">IU9+JX9</f>
        <v>0</v>
      </c>
      <c r="KL9" s="2">
        <f t="shared" si="62"/>
        <v>0</v>
      </c>
      <c r="KM9" s="2">
        <f t="shared" si="62"/>
        <v>0</v>
      </c>
      <c r="KN9" s="2">
        <f t="shared" si="62"/>
        <v>0</v>
      </c>
      <c r="KO9" s="2">
        <f t="shared" si="62"/>
        <v>0</v>
      </c>
      <c r="KP9" s="2">
        <f t="shared" si="62"/>
        <v>0</v>
      </c>
      <c r="KQ9" s="2">
        <f t="shared" si="62"/>
        <v>0</v>
      </c>
      <c r="KR9" s="2">
        <f t="shared" si="62"/>
        <v>0</v>
      </c>
      <c r="KS9" s="2">
        <f t="shared" si="62"/>
        <v>0</v>
      </c>
      <c r="KT9" s="2">
        <f t="shared" si="62"/>
        <v>0</v>
      </c>
      <c r="KV9" s="29">
        <v>7</v>
      </c>
      <c r="MU9" s="29">
        <v>7</v>
      </c>
      <c r="MW9" s="1964">
        <v>100</v>
      </c>
    </row>
    <row r="10" spans="1:387" ht="16.8" thickTop="1" thickBot="1">
      <c r="A10" s="1822">
        <v>9</v>
      </c>
      <c r="B10" s="1134"/>
      <c r="C10" s="1134"/>
      <c r="D10" s="1199"/>
      <c r="E10" s="20"/>
      <c r="F10" s="1843">
        <f t="shared" si="12"/>
        <v>0</v>
      </c>
      <c r="G10" s="951">
        <v>100</v>
      </c>
      <c r="H10"/>
      <c r="I10"/>
      <c r="J10"/>
      <c r="K10"/>
      <c r="L10"/>
      <c r="M10"/>
      <c r="N10"/>
      <c r="S10" s="2"/>
      <c r="T10" s="114">
        <v>9</v>
      </c>
      <c r="U10" s="2">
        <f>G10*F10/100</f>
        <v>0</v>
      </c>
      <c r="V10" s="2">
        <f t="shared" si="13"/>
        <v>0</v>
      </c>
      <c r="W10" s="2">
        <f t="shared" si="14"/>
        <v>0</v>
      </c>
      <c r="X10" s="2">
        <f t="shared" si="15"/>
        <v>0</v>
      </c>
      <c r="Y10" s="2">
        <f t="shared" si="16"/>
        <v>0</v>
      </c>
      <c r="Z10" s="2">
        <f t="shared" si="17"/>
        <v>0</v>
      </c>
      <c r="AA10" s="2">
        <f t="shared" si="18"/>
        <v>0</v>
      </c>
      <c r="AB10" s="2">
        <f t="shared" si="19"/>
        <v>0</v>
      </c>
      <c r="AC10" s="2">
        <f t="shared" si="20"/>
        <v>0</v>
      </c>
      <c r="AD10" s="2">
        <f t="shared" si="21"/>
        <v>0</v>
      </c>
      <c r="AE10" s="2">
        <f t="shared" si="22"/>
        <v>0</v>
      </c>
      <c r="AF10" s="1844">
        <v>9</v>
      </c>
      <c r="AG10" s="1724">
        <f t="shared" si="23"/>
        <v>0</v>
      </c>
      <c r="AH10" s="1724">
        <f t="shared" si="24"/>
        <v>0</v>
      </c>
      <c r="AI10" s="1724">
        <f t="shared" si="25"/>
        <v>0</v>
      </c>
      <c r="AJ10" s="1724">
        <f t="shared" si="26"/>
        <v>0</v>
      </c>
      <c r="AK10" s="1724">
        <f t="shared" si="27"/>
        <v>0</v>
      </c>
      <c r="AL10" s="1724">
        <f t="shared" si="28"/>
        <v>0</v>
      </c>
      <c r="AM10" s="1724">
        <f t="shared" si="29"/>
        <v>0</v>
      </c>
      <c r="AN10" s="1724">
        <f t="shared" si="30"/>
        <v>0</v>
      </c>
      <c r="AO10" s="1724">
        <f t="shared" si="31"/>
        <v>0</v>
      </c>
      <c r="AP10" s="1724">
        <f t="shared" si="32"/>
        <v>0</v>
      </c>
      <c r="AR10" s="1822">
        <v>9</v>
      </c>
      <c r="AS10" s="1134"/>
      <c r="AT10" s="1">
        <v>0</v>
      </c>
      <c r="AU10" s="1">
        <v>0</v>
      </c>
      <c r="AV10" s="20"/>
      <c r="AW10" s="1843">
        <f t="shared" si="33"/>
        <v>0</v>
      </c>
      <c r="AX10" s="951">
        <v>100</v>
      </c>
      <c r="AY10"/>
      <c r="AZ10"/>
      <c r="BA10"/>
      <c r="BB10"/>
      <c r="BC10"/>
      <c r="BD10"/>
      <c r="BE10"/>
      <c r="BJ10" s="2"/>
      <c r="BK10" s="114">
        <v>9</v>
      </c>
      <c r="BL10" s="2">
        <f>AX10*AW10/100</f>
        <v>0</v>
      </c>
      <c r="BM10" s="2">
        <f t="shared" si="2"/>
        <v>0</v>
      </c>
      <c r="BN10" s="2">
        <f t="shared" si="2"/>
        <v>0</v>
      </c>
      <c r="BO10" s="2">
        <f t="shared" si="2"/>
        <v>0</v>
      </c>
      <c r="BP10" s="2">
        <f t="shared" si="2"/>
        <v>0</v>
      </c>
      <c r="BQ10" s="2">
        <f t="shared" si="2"/>
        <v>0</v>
      </c>
      <c r="BR10" s="2">
        <f t="shared" si="2"/>
        <v>0</v>
      </c>
      <c r="BS10" s="2">
        <f t="shared" si="2"/>
        <v>0</v>
      </c>
      <c r="BT10" s="2">
        <f t="shared" si="2"/>
        <v>0</v>
      </c>
      <c r="BU10" s="2">
        <f t="shared" si="2"/>
        <v>0</v>
      </c>
      <c r="BV10" s="2">
        <f t="shared" si="2"/>
        <v>0</v>
      </c>
      <c r="BW10" s="1844">
        <v>9</v>
      </c>
      <c r="BX10" s="1724">
        <f>$T10*BL10</f>
        <v>0</v>
      </c>
      <c r="BY10" s="1724">
        <f t="shared" si="3"/>
        <v>0</v>
      </c>
      <c r="BZ10" s="1724">
        <f t="shared" si="4"/>
        <v>0</v>
      </c>
      <c r="CA10" s="1724">
        <f t="shared" si="5"/>
        <v>0</v>
      </c>
      <c r="CB10" s="1724">
        <f t="shared" si="6"/>
        <v>0</v>
      </c>
      <c r="CC10" s="1724">
        <f t="shared" si="7"/>
        <v>0</v>
      </c>
      <c r="CD10" s="1724">
        <f t="shared" si="8"/>
        <v>0</v>
      </c>
      <c r="CE10" s="1724">
        <f t="shared" si="9"/>
        <v>0</v>
      </c>
      <c r="CF10" s="1724">
        <f t="shared" si="10"/>
        <v>0</v>
      </c>
      <c r="CG10" s="1724">
        <f t="shared" si="11"/>
        <v>0</v>
      </c>
      <c r="CH10" s="75"/>
      <c r="CM10" s="638"/>
      <c r="CN10" s="1847">
        <v>7</v>
      </c>
      <c r="CO10" s="1846"/>
      <c r="CP10" s="2">
        <v>62561660.336372308</v>
      </c>
      <c r="CQ10" s="638"/>
      <c r="CR10" s="646">
        <f t="shared" ref="CR10:CR50" si="63">CP10+CQ10</f>
        <v>62561660.336372308</v>
      </c>
      <c r="CS10" s="1141"/>
      <c r="CT10" s="952"/>
      <c r="CU10" s="641"/>
      <c r="CV10" s="641"/>
      <c r="CW10" s="641"/>
      <c r="CX10" s="641"/>
      <c r="CY10" s="641"/>
      <c r="CZ10" s="641"/>
      <c r="DA10" s="641"/>
      <c r="DB10" s="638"/>
      <c r="DC10" s="638"/>
      <c r="DD10" s="638"/>
      <c r="DE10" s="638"/>
      <c r="DF10" s="451"/>
      <c r="DG10" s="647">
        <v>7</v>
      </c>
      <c r="DH10" s="2">
        <v>100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451">
        <v>0</v>
      </c>
      <c r="DS10" s="1847">
        <v>7</v>
      </c>
      <c r="DT10" s="192">
        <f t="shared" si="35"/>
        <v>62561660.336372308</v>
      </c>
      <c r="DU10" s="192">
        <f t="shared" si="36"/>
        <v>0</v>
      </c>
      <c r="DV10" s="192">
        <f t="shared" si="37"/>
        <v>0</v>
      </c>
      <c r="DW10" s="192">
        <f t="shared" si="38"/>
        <v>0</v>
      </c>
      <c r="DX10" s="192">
        <f t="shared" si="39"/>
        <v>0</v>
      </c>
      <c r="DY10" s="192">
        <f t="shared" si="40"/>
        <v>0</v>
      </c>
      <c r="DZ10" s="192">
        <f t="shared" si="41"/>
        <v>0</v>
      </c>
      <c r="EA10" s="192">
        <f t="shared" si="42"/>
        <v>0</v>
      </c>
      <c r="EB10" s="192">
        <f t="shared" si="43"/>
        <v>0</v>
      </c>
      <c r="EC10" s="192">
        <f t="shared" si="44"/>
        <v>0</v>
      </c>
      <c r="ED10" s="192">
        <f t="shared" si="45"/>
        <v>0</v>
      </c>
      <c r="EE10" s="667">
        <f t="shared" si="46"/>
        <v>62561660.336372308</v>
      </c>
      <c r="EH10" s="986">
        <v>8</v>
      </c>
      <c r="EI10" s="983">
        <v>100</v>
      </c>
      <c r="EJ10" s="974"/>
      <c r="EK10" s="974"/>
      <c r="EL10" s="974"/>
      <c r="EM10" s="974"/>
      <c r="EN10" s="974"/>
      <c r="EO10" s="974"/>
      <c r="EP10" s="974"/>
      <c r="EQ10" s="974"/>
      <c r="ER10" s="974"/>
      <c r="ES10" s="974"/>
      <c r="EX10" s="995">
        <v>100</v>
      </c>
      <c r="EY10" s="989">
        <v>0</v>
      </c>
      <c r="EZ10" s="989">
        <f t="shared" ref="EZ10:EZ42" si="64">(EI10*$EY10)/100</f>
        <v>0</v>
      </c>
      <c r="FA10" s="989">
        <f t="shared" si="47"/>
        <v>0</v>
      </c>
      <c r="FB10" s="989">
        <f t="shared" si="48"/>
        <v>0</v>
      </c>
      <c r="FC10" s="989">
        <f t="shared" si="49"/>
        <v>0</v>
      </c>
      <c r="FD10" s="989">
        <f t="shared" si="50"/>
        <v>0</v>
      </c>
      <c r="FE10" s="989">
        <f t="shared" si="51"/>
        <v>0</v>
      </c>
      <c r="FF10" s="989">
        <f t="shared" si="52"/>
        <v>0</v>
      </c>
      <c r="FG10" s="989">
        <f t="shared" si="53"/>
        <v>0</v>
      </c>
      <c r="FH10" s="989">
        <f t="shared" si="54"/>
        <v>0</v>
      </c>
      <c r="FI10" s="989">
        <f t="shared" si="55"/>
        <v>0</v>
      </c>
      <c r="FJ10" s="989">
        <f t="shared" si="56"/>
        <v>0</v>
      </c>
      <c r="FM10" s="1">
        <v>8</v>
      </c>
      <c r="FN10" s="1003">
        <v>100</v>
      </c>
      <c r="GC10" s="1">
        <v>8</v>
      </c>
      <c r="GD10" s="2">
        <v>56532.356096784861</v>
      </c>
      <c r="GE10" s="989">
        <f t="shared" si="57"/>
        <v>56532.356096784861</v>
      </c>
      <c r="GF10" s="989">
        <f t="shared" ref="GF10:GR14" si="65">(FO10*$GD10)/100</f>
        <v>0</v>
      </c>
      <c r="GG10" s="989">
        <f t="shared" si="65"/>
        <v>0</v>
      </c>
      <c r="GH10" s="989">
        <f t="shared" si="65"/>
        <v>0</v>
      </c>
      <c r="GI10" s="989">
        <f t="shared" si="65"/>
        <v>0</v>
      </c>
      <c r="GJ10" s="989">
        <f t="shared" si="65"/>
        <v>0</v>
      </c>
      <c r="GK10" s="989">
        <f t="shared" si="65"/>
        <v>0</v>
      </c>
      <c r="GL10" s="989">
        <f t="shared" si="65"/>
        <v>0</v>
      </c>
      <c r="GM10" s="989">
        <f t="shared" si="65"/>
        <v>0</v>
      </c>
      <c r="GN10" s="989">
        <f t="shared" si="65"/>
        <v>0</v>
      </c>
      <c r="GO10" s="989">
        <f t="shared" si="65"/>
        <v>0</v>
      </c>
      <c r="GP10" s="989">
        <f t="shared" si="65"/>
        <v>0</v>
      </c>
      <c r="GQ10" s="989">
        <f t="shared" si="65"/>
        <v>0</v>
      </c>
      <c r="GR10" s="989">
        <f t="shared" si="65"/>
        <v>0</v>
      </c>
      <c r="GX10" s="29">
        <v>8</v>
      </c>
      <c r="GY10" s="1">
        <v>32860.351295644556</v>
      </c>
      <c r="GZ10" s="1848">
        <v>100</v>
      </c>
      <c r="HA10" s="1848"/>
      <c r="HB10" s="1848"/>
      <c r="HC10" s="1848"/>
      <c r="HD10" s="1848"/>
      <c r="HE10" s="1848"/>
      <c r="HF10" s="1848"/>
      <c r="HG10" s="1848"/>
      <c r="HH10" s="1848"/>
      <c r="HI10" s="1848"/>
      <c r="HJ10" s="1848"/>
      <c r="HK10" s="1848"/>
      <c r="HL10" s="1848"/>
      <c r="HM10" s="1848">
        <f t="shared" ref="HM10:HM24" si="66">SUM(GZ10:HL10)</f>
        <v>100</v>
      </c>
      <c r="HN10" s="989">
        <f t="shared" ref="HN10:HN46" si="67">$GY10*GZ10/100</f>
        <v>32860.351295644556</v>
      </c>
      <c r="HO10" s="989">
        <f t="shared" ref="HO10:HO46" si="68">$GY10*HA10/100</f>
        <v>0</v>
      </c>
      <c r="HP10" s="989">
        <f t="shared" ref="HP10:HP46" si="69">$GY10*HB10/100</f>
        <v>0</v>
      </c>
      <c r="HQ10" s="989">
        <f t="shared" ref="HQ10:HQ46" si="70">$GY10*HC10/100</f>
        <v>0</v>
      </c>
      <c r="HR10" s="989">
        <f t="shared" ref="HR10:HR46" si="71">$GY10*HD10/100</f>
        <v>0</v>
      </c>
      <c r="HS10" s="989">
        <f t="shared" ref="HS10:HS46" si="72">$GY10*HE10/100</f>
        <v>0</v>
      </c>
      <c r="HT10" s="989">
        <f t="shared" ref="HT10:HT46" si="73">$GY10*HF10/100</f>
        <v>0</v>
      </c>
      <c r="HU10" s="989">
        <f t="shared" ref="HU10:HU46" si="74">$GY10*HG10/100</f>
        <v>0</v>
      </c>
      <c r="HV10" s="989">
        <f t="shared" ref="HV10:HV46" si="75">$GY10*HH10/100</f>
        <v>0</v>
      </c>
      <c r="HW10" s="989">
        <f t="shared" ref="HW10:HW46" si="76">$GY10*HI10/100</f>
        <v>0</v>
      </c>
      <c r="HX10" s="989">
        <f t="shared" ref="HX10:HX46" si="77">$GY10*HJ10/100</f>
        <v>0</v>
      </c>
      <c r="HY10" s="989">
        <f t="shared" ref="HY10:HY46" si="78">$GY10*HK10/100</f>
        <v>0</v>
      </c>
      <c r="HZ10" s="989">
        <f t="shared" ref="HZ10:HZ46" si="79">$GY10*HL10/100</f>
        <v>0</v>
      </c>
      <c r="IT10" s="989">
        <f t="shared" ref="IT10:IT24" si="80">$IE10*IG10/100</f>
        <v>0</v>
      </c>
      <c r="IU10" s="989">
        <f t="shared" ref="IU10:IU25" si="81">$IE10*IH10/100</f>
        <v>0</v>
      </c>
      <c r="IV10" s="989">
        <f t="shared" ref="IV10:IV25" si="82">$IE10*II10/100</f>
        <v>0</v>
      </c>
      <c r="IW10" s="989">
        <f t="shared" ref="IW10:IW25" si="83">$IE10*IJ10/100</f>
        <v>0</v>
      </c>
      <c r="IX10" s="989">
        <f t="shared" ref="IX10:IX25" si="84">$IE10*IK10/100</f>
        <v>0</v>
      </c>
      <c r="IY10" s="989">
        <f t="shared" ref="IY10:IY25" si="85">$IE10*IL10/100</f>
        <v>0</v>
      </c>
      <c r="IZ10" s="989">
        <f t="shared" ref="IZ10:IZ25" si="86">$IE10*IM10/100</f>
        <v>0</v>
      </c>
      <c r="JA10" s="989">
        <f t="shared" ref="JA10:JA25" si="87">$IE10*IN10/100</f>
        <v>0</v>
      </c>
      <c r="JB10" s="989">
        <f t="shared" ref="JB10:JB25" si="88">$IE10*IO10/100</f>
        <v>0</v>
      </c>
      <c r="JC10" s="989">
        <f t="shared" ref="JC10:JC25" si="89">$IE10*IP10/100</f>
        <v>0</v>
      </c>
      <c r="JD10" s="989">
        <f t="shared" ref="JD10:JD25" si="90">$IE10*IQ10/100</f>
        <v>0</v>
      </c>
      <c r="JE10" s="989">
        <f t="shared" ref="JE10:JE24" si="91">$IE10*IR10/100</f>
        <v>0</v>
      </c>
      <c r="JG10" s="1">
        <v>0</v>
      </c>
      <c r="JH10" s="1002">
        <v>3</v>
      </c>
      <c r="JW10" s="989">
        <f>$JG10*JJ10/100</f>
        <v>0</v>
      </c>
      <c r="JX10" s="989">
        <f>$JG10*JK10/100</f>
        <v>0</v>
      </c>
      <c r="JY10" s="989">
        <f t="shared" ref="JY10:JY53" si="92">$JG10*JL10/100</f>
        <v>0</v>
      </c>
      <c r="JZ10" s="989">
        <f t="shared" ref="JZ10:JZ53" si="93">$JG10*JM10/100</f>
        <v>0</v>
      </c>
      <c r="KA10" s="989">
        <f t="shared" ref="KA10:KA53" si="94">$JG10*JN10/100</f>
        <v>0</v>
      </c>
      <c r="KB10" s="989">
        <f t="shared" ref="KB10:KB53" si="95">$JG10*JO10/100</f>
        <v>0</v>
      </c>
      <c r="KC10" s="989">
        <f t="shared" ref="KC10:KC53" si="96">$JG10*JP10/100</f>
        <v>0</v>
      </c>
      <c r="KD10" s="989">
        <f t="shared" ref="KD10:KD53" si="97">$JG10*JQ10/100</f>
        <v>0</v>
      </c>
      <c r="KE10" s="989">
        <f t="shared" ref="KE10:KE53" si="98">$JG10*JR10/100</f>
        <v>0</v>
      </c>
      <c r="KF10" s="989">
        <f t="shared" ref="KF10:KF53" si="99">$JG10*JS10/100</f>
        <v>0</v>
      </c>
      <c r="KG10" s="989">
        <f t="shared" ref="KG10:KG53" si="100">$JG10*JT10/100</f>
        <v>0</v>
      </c>
      <c r="KJ10" s="192">
        <f>IT10+JW10</f>
        <v>0</v>
      </c>
      <c r="KK10" s="192">
        <f t="shared" si="62"/>
        <v>0</v>
      </c>
      <c r="KL10" s="192">
        <f t="shared" si="62"/>
        <v>0</v>
      </c>
      <c r="KM10" s="192">
        <f t="shared" si="62"/>
        <v>0</v>
      </c>
      <c r="KN10" s="192">
        <f t="shared" si="62"/>
        <v>0</v>
      </c>
      <c r="KO10" s="192">
        <f t="shared" si="62"/>
        <v>0</v>
      </c>
      <c r="KP10" s="192">
        <f t="shared" si="62"/>
        <v>0</v>
      </c>
      <c r="KQ10" s="192">
        <f t="shared" si="62"/>
        <v>0</v>
      </c>
      <c r="KR10" s="192">
        <f t="shared" si="62"/>
        <v>0</v>
      </c>
      <c r="KS10" s="192">
        <f t="shared" si="62"/>
        <v>0</v>
      </c>
      <c r="KT10" s="192">
        <f t="shared" si="62"/>
        <v>0</v>
      </c>
      <c r="KV10" s="29">
        <v>8</v>
      </c>
      <c r="MU10" s="29">
        <v>8</v>
      </c>
      <c r="MW10" s="1964">
        <v>100</v>
      </c>
      <c r="NJ10" s="989">
        <f>$MV10*MW10/100</f>
        <v>0</v>
      </c>
      <c r="NK10" s="989">
        <f t="shared" ref="NK10:NT10" si="101">$MV10*MX10/100</f>
        <v>0</v>
      </c>
      <c r="NL10" s="989">
        <f t="shared" si="101"/>
        <v>0</v>
      </c>
      <c r="NM10" s="989">
        <f t="shared" si="101"/>
        <v>0</v>
      </c>
      <c r="NN10" s="989">
        <f t="shared" si="101"/>
        <v>0</v>
      </c>
      <c r="NO10" s="989">
        <f t="shared" si="101"/>
        <v>0</v>
      </c>
      <c r="NP10" s="989">
        <f t="shared" si="101"/>
        <v>0</v>
      </c>
      <c r="NQ10" s="989">
        <f t="shared" si="101"/>
        <v>0</v>
      </c>
      <c r="NR10" s="989">
        <f t="shared" si="101"/>
        <v>0</v>
      </c>
      <c r="NS10" s="989">
        <f t="shared" si="101"/>
        <v>0</v>
      </c>
      <c r="NT10" s="989">
        <f t="shared" si="101"/>
        <v>0</v>
      </c>
    </row>
    <row r="11" spans="1:387" ht="16.8" thickTop="1" thickBot="1">
      <c r="A11" s="1822">
        <v>10</v>
      </c>
      <c r="B11" s="1134"/>
      <c r="C11" s="1134">
        <v>0</v>
      </c>
      <c r="D11" s="1199">
        <v>3280.2686770537848</v>
      </c>
      <c r="E11" s="20"/>
      <c r="F11" s="1843">
        <f t="shared" si="12"/>
        <v>3280.2686770537848</v>
      </c>
      <c r="G11" s="951">
        <v>100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s="1">
        <v>0</v>
      </c>
      <c r="P11" s="1">
        <v>0</v>
      </c>
      <c r="S11" s="2"/>
      <c r="T11" s="114">
        <v>10</v>
      </c>
      <c r="U11" s="2">
        <f>$F11*G11/100</f>
        <v>3280.2686770537853</v>
      </c>
      <c r="V11" s="2">
        <f t="shared" si="13"/>
        <v>0</v>
      </c>
      <c r="W11" s="2">
        <f t="shared" si="14"/>
        <v>0</v>
      </c>
      <c r="X11" s="2">
        <f t="shared" si="15"/>
        <v>0</v>
      </c>
      <c r="Y11" s="2">
        <f t="shared" si="16"/>
        <v>0</v>
      </c>
      <c r="Z11" s="2">
        <f t="shared" si="17"/>
        <v>0</v>
      </c>
      <c r="AA11" s="2">
        <f t="shared" si="18"/>
        <v>0</v>
      </c>
      <c r="AB11" s="2">
        <f t="shared" si="19"/>
        <v>0</v>
      </c>
      <c r="AC11" s="2">
        <f t="shared" si="20"/>
        <v>0</v>
      </c>
      <c r="AD11" s="2">
        <f t="shared" si="21"/>
        <v>0</v>
      </c>
      <c r="AE11" s="2">
        <f t="shared" si="22"/>
        <v>0</v>
      </c>
      <c r="AF11" s="1844">
        <v>10</v>
      </c>
      <c r="AG11" s="1724">
        <f>$T11*U11</f>
        <v>32802.686770537854</v>
      </c>
      <c r="AH11" s="1724">
        <f t="shared" si="24"/>
        <v>0</v>
      </c>
      <c r="AI11" s="1724">
        <f t="shared" si="25"/>
        <v>0</v>
      </c>
      <c r="AJ11" s="1724">
        <f t="shared" si="26"/>
        <v>0</v>
      </c>
      <c r="AK11" s="1724">
        <f t="shared" si="27"/>
        <v>0</v>
      </c>
      <c r="AL11" s="1724">
        <f t="shared" si="28"/>
        <v>0</v>
      </c>
      <c r="AM11" s="1724">
        <f t="shared" si="29"/>
        <v>0</v>
      </c>
      <c r="AN11" s="1724">
        <f t="shared" si="30"/>
        <v>0</v>
      </c>
      <c r="AO11" s="1724">
        <f t="shared" si="31"/>
        <v>0</v>
      </c>
      <c r="AP11" s="1724">
        <f t="shared" si="32"/>
        <v>0</v>
      </c>
      <c r="AR11" s="1822">
        <v>10</v>
      </c>
      <c r="AS11" s="1134"/>
      <c r="AT11" s="1">
        <v>669702.08355496998</v>
      </c>
      <c r="AU11" s="1">
        <v>0</v>
      </c>
      <c r="AV11" s="20"/>
      <c r="AW11" s="1843">
        <f t="shared" si="33"/>
        <v>669702.08355496998</v>
      </c>
      <c r="AX11" s="951">
        <v>100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J11" s="2"/>
      <c r="BK11" s="114">
        <v>10</v>
      </c>
      <c r="BL11" s="2">
        <f>$AW11*AX11/100</f>
        <v>669702.08355496998</v>
      </c>
      <c r="BM11" s="2">
        <f t="shared" ref="BM11:BV11" si="102">$AW11*AY11/100</f>
        <v>0</v>
      </c>
      <c r="BN11" s="2">
        <f t="shared" si="102"/>
        <v>0</v>
      </c>
      <c r="BO11" s="2">
        <f t="shared" si="102"/>
        <v>0</v>
      </c>
      <c r="BP11" s="2">
        <f t="shared" si="102"/>
        <v>0</v>
      </c>
      <c r="BQ11" s="2">
        <f t="shared" si="102"/>
        <v>0</v>
      </c>
      <c r="BR11" s="2">
        <f t="shared" si="102"/>
        <v>0</v>
      </c>
      <c r="BS11" s="2">
        <f t="shared" si="102"/>
        <v>0</v>
      </c>
      <c r="BT11" s="2">
        <f t="shared" si="102"/>
        <v>0</v>
      </c>
      <c r="BU11" s="2">
        <f t="shared" si="102"/>
        <v>0</v>
      </c>
      <c r="BV11" s="2">
        <f t="shared" si="102"/>
        <v>0</v>
      </c>
      <c r="BW11" s="1844">
        <v>10</v>
      </c>
      <c r="BX11" s="1724">
        <f>$AR11*BL11</f>
        <v>6697020.8355497001</v>
      </c>
      <c r="BY11" s="1724">
        <f t="shared" si="3"/>
        <v>0</v>
      </c>
      <c r="BZ11" s="1724">
        <f t="shared" si="4"/>
        <v>0</v>
      </c>
      <c r="CA11" s="1724">
        <f t="shared" si="5"/>
        <v>0</v>
      </c>
      <c r="CB11" s="1724">
        <f t="shared" si="6"/>
        <v>0</v>
      </c>
      <c r="CC11" s="1724">
        <f t="shared" si="7"/>
        <v>0</v>
      </c>
      <c r="CD11" s="1724">
        <f t="shared" si="8"/>
        <v>0</v>
      </c>
      <c r="CE11" s="1724">
        <f t="shared" si="9"/>
        <v>0</v>
      </c>
      <c r="CF11" s="1724">
        <f t="shared" si="10"/>
        <v>0</v>
      </c>
      <c r="CG11" s="1724">
        <f t="shared" si="11"/>
        <v>0</v>
      </c>
      <c r="CH11" s="75"/>
      <c r="CM11" s="638"/>
      <c r="CN11" s="1847">
        <v>8</v>
      </c>
      <c r="CO11" s="1846"/>
      <c r="CP11" s="2">
        <v>59605591.806725718</v>
      </c>
      <c r="CQ11" s="638"/>
      <c r="CR11" s="646">
        <f t="shared" si="63"/>
        <v>59605591.806725718</v>
      </c>
      <c r="CS11" s="1141"/>
      <c r="CT11" s="952"/>
      <c r="CU11" s="641"/>
      <c r="CV11" s="641"/>
      <c r="CW11" s="641"/>
      <c r="CX11" s="641"/>
      <c r="CY11" s="641"/>
      <c r="CZ11" s="641"/>
      <c r="DA11" s="641"/>
      <c r="DB11" s="638"/>
      <c r="DC11" s="638"/>
      <c r="DD11" s="638"/>
      <c r="DE11" s="638"/>
      <c r="DF11" s="451"/>
      <c r="DG11" s="647">
        <v>8</v>
      </c>
      <c r="DH11" s="2">
        <v>100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451">
        <v>0</v>
      </c>
      <c r="DS11" s="1847">
        <v>8</v>
      </c>
      <c r="DT11" s="192">
        <f t="shared" si="35"/>
        <v>59605591.806725718</v>
      </c>
      <c r="DU11" s="192">
        <f t="shared" si="36"/>
        <v>0</v>
      </c>
      <c r="DV11" s="192">
        <f t="shared" si="37"/>
        <v>0</v>
      </c>
      <c r="DW11" s="192">
        <f t="shared" si="38"/>
        <v>0</v>
      </c>
      <c r="DX11" s="192">
        <f t="shared" si="39"/>
        <v>0</v>
      </c>
      <c r="DY11" s="192">
        <f t="shared" si="40"/>
        <v>0</v>
      </c>
      <c r="DZ11" s="192">
        <f t="shared" si="41"/>
        <v>0</v>
      </c>
      <c r="EA11" s="192">
        <f t="shared" si="42"/>
        <v>0</v>
      </c>
      <c r="EB11" s="192">
        <f t="shared" si="43"/>
        <v>0</v>
      </c>
      <c r="EC11" s="192">
        <f t="shared" si="44"/>
        <v>0</v>
      </c>
      <c r="ED11" s="192">
        <f t="shared" si="45"/>
        <v>0</v>
      </c>
      <c r="EE11" s="667">
        <f t="shared" si="46"/>
        <v>59605591.806725718</v>
      </c>
      <c r="EH11" s="987">
        <v>9</v>
      </c>
      <c r="EI11" s="983">
        <v>100</v>
      </c>
      <c r="EJ11" s="974"/>
      <c r="EK11" s="974"/>
      <c r="EL11" s="974"/>
      <c r="EM11" s="974"/>
      <c r="EN11" s="974"/>
      <c r="EO11" s="974"/>
      <c r="EP11" s="974"/>
      <c r="EQ11" s="974"/>
      <c r="ER11" s="974"/>
      <c r="ES11" s="974"/>
      <c r="EX11" s="996">
        <v>100</v>
      </c>
      <c r="EY11" s="989">
        <v>0</v>
      </c>
      <c r="EZ11" s="989">
        <f t="shared" si="64"/>
        <v>0</v>
      </c>
      <c r="FA11" s="989">
        <f t="shared" si="47"/>
        <v>0</v>
      </c>
      <c r="FB11" s="989">
        <f t="shared" si="48"/>
        <v>0</v>
      </c>
      <c r="FC11" s="989">
        <f t="shared" si="49"/>
        <v>0</v>
      </c>
      <c r="FD11" s="989">
        <f t="shared" si="50"/>
        <v>0</v>
      </c>
      <c r="FE11" s="989">
        <f t="shared" si="51"/>
        <v>0</v>
      </c>
      <c r="FF11" s="989">
        <f t="shared" si="52"/>
        <v>0</v>
      </c>
      <c r="FG11" s="989">
        <f t="shared" si="53"/>
        <v>0</v>
      </c>
      <c r="FH11" s="989">
        <f t="shared" si="54"/>
        <v>0</v>
      </c>
      <c r="FI11" s="989">
        <f t="shared" si="55"/>
        <v>0</v>
      </c>
      <c r="FJ11" s="989">
        <f t="shared" si="56"/>
        <v>0</v>
      </c>
      <c r="FM11" s="1002">
        <v>9</v>
      </c>
      <c r="FN11" s="1003">
        <v>100</v>
      </c>
      <c r="FO11" s="1003"/>
      <c r="FP11" s="1003"/>
      <c r="FQ11" s="1003"/>
      <c r="FR11" s="1003"/>
      <c r="FS11" s="1003"/>
      <c r="FT11" s="1003"/>
      <c r="FU11" s="1003"/>
      <c r="FV11" s="1003"/>
      <c r="FW11" s="1003"/>
      <c r="FX11" s="1003"/>
      <c r="FY11" s="1003"/>
      <c r="FZ11" s="1003"/>
      <c r="GA11" s="1003"/>
      <c r="GB11" s="1004">
        <v>100</v>
      </c>
      <c r="GC11" s="1002">
        <v>9</v>
      </c>
      <c r="GD11" s="2">
        <v>60415.055480178155</v>
      </c>
      <c r="GE11" s="989">
        <f t="shared" si="57"/>
        <v>60415.055480178155</v>
      </c>
      <c r="GF11" s="989">
        <f t="shared" si="65"/>
        <v>0</v>
      </c>
      <c r="GG11" s="989">
        <f t="shared" si="65"/>
        <v>0</v>
      </c>
      <c r="GH11" s="989">
        <f t="shared" si="65"/>
        <v>0</v>
      </c>
      <c r="GI11" s="989">
        <f t="shared" si="65"/>
        <v>0</v>
      </c>
      <c r="GJ11" s="989">
        <f t="shared" si="65"/>
        <v>0</v>
      </c>
      <c r="GK11" s="989">
        <f t="shared" si="65"/>
        <v>0</v>
      </c>
      <c r="GL11" s="989">
        <f t="shared" si="65"/>
        <v>0</v>
      </c>
      <c r="GM11" s="989">
        <f t="shared" si="65"/>
        <v>0</v>
      </c>
      <c r="GN11" s="989">
        <f t="shared" si="65"/>
        <v>0</v>
      </c>
      <c r="GO11" s="989">
        <f t="shared" si="65"/>
        <v>0</v>
      </c>
      <c r="GP11" s="989">
        <f t="shared" si="65"/>
        <v>0</v>
      </c>
      <c r="GQ11" s="989">
        <f t="shared" si="65"/>
        <v>0</v>
      </c>
      <c r="GR11" s="989">
        <f t="shared" si="65"/>
        <v>0</v>
      </c>
      <c r="GX11" s="29">
        <v>9</v>
      </c>
      <c r="GY11" s="1">
        <v>406684.43764978804</v>
      </c>
      <c r="GZ11" s="1848">
        <v>100</v>
      </c>
      <c r="HA11" s="1848"/>
      <c r="HB11" s="1848"/>
      <c r="HC11" s="1848"/>
      <c r="HD11" s="1848"/>
      <c r="HE11" s="1848"/>
      <c r="HF11" s="1848"/>
      <c r="HG11" s="1848"/>
      <c r="HH11" s="1848"/>
      <c r="HI11" s="1848"/>
      <c r="HJ11" s="1848"/>
      <c r="HK11" s="1848"/>
      <c r="HL11" s="1848"/>
      <c r="HM11" s="1848">
        <f t="shared" si="66"/>
        <v>100</v>
      </c>
      <c r="HN11" s="989">
        <f t="shared" si="67"/>
        <v>406684.43764978804</v>
      </c>
      <c r="HO11" s="989">
        <f t="shared" si="68"/>
        <v>0</v>
      </c>
      <c r="HP11" s="989">
        <f t="shared" si="69"/>
        <v>0</v>
      </c>
      <c r="HQ11" s="989">
        <f t="shared" si="70"/>
        <v>0</v>
      </c>
      <c r="HR11" s="989">
        <f t="shared" si="71"/>
        <v>0</v>
      </c>
      <c r="HS11" s="989">
        <f t="shared" si="72"/>
        <v>0</v>
      </c>
      <c r="HT11" s="989">
        <f t="shared" si="73"/>
        <v>0</v>
      </c>
      <c r="HU11" s="989">
        <f t="shared" si="74"/>
        <v>0</v>
      </c>
      <c r="HV11" s="989">
        <f t="shared" si="75"/>
        <v>0</v>
      </c>
      <c r="HW11" s="989">
        <f t="shared" si="76"/>
        <v>0</v>
      </c>
      <c r="HX11" s="989">
        <f t="shared" si="77"/>
        <v>0</v>
      </c>
      <c r="HY11" s="989">
        <f t="shared" si="78"/>
        <v>0</v>
      </c>
      <c r="HZ11" s="989">
        <f t="shared" si="79"/>
        <v>0</v>
      </c>
      <c r="IE11" s="1">
        <v>0</v>
      </c>
      <c r="IG11" s="553">
        <v>100</v>
      </c>
      <c r="IS11" s="121"/>
      <c r="IT11" s="989">
        <f t="shared" si="80"/>
        <v>0</v>
      </c>
      <c r="IU11" s="989">
        <f t="shared" si="81"/>
        <v>0</v>
      </c>
      <c r="IV11" s="989">
        <f t="shared" si="82"/>
        <v>0</v>
      </c>
      <c r="IW11" s="989">
        <f t="shared" si="83"/>
        <v>0</v>
      </c>
      <c r="IX11" s="989">
        <f t="shared" si="84"/>
        <v>0</v>
      </c>
      <c r="IY11" s="989">
        <f t="shared" si="85"/>
        <v>0</v>
      </c>
      <c r="IZ11" s="989">
        <f t="shared" si="86"/>
        <v>0</v>
      </c>
      <c r="JA11" s="989">
        <f t="shared" si="87"/>
        <v>0</v>
      </c>
      <c r="JB11" s="989">
        <f t="shared" si="88"/>
        <v>0</v>
      </c>
      <c r="JC11" s="989">
        <f t="shared" si="89"/>
        <v>0</v>
      </c>
      <c r="JD11" s="989">
        <f t="shared" si="90"/>
        <v>0</v>
      </c>
      <c r="JE11" s="989">
        <f t="shared" si="91"/>
        <v>0</v>
      </c>
      <c r="JG11" s="1">
        <v>0</v>
      </c>
      <c r="JH11" s="1005">
        <v>4</v>
      </c>
      <c r="JJ11" s="1">
        <v>100</v>
      </c>
      <c r="JW11" s="989">
        <f t="shared" ref="JW11:JW53" si="103">$JG11*JJ11/100</f>
        <v>0</v>
      </c>
      <c r="JX11" s="989">
        <f t="shared" ref="JX11:JX53" si="104">$JG11*JK11/100</f>
        <v>0</v>
      </c>
      <c r="JY11" s="989">
        <f t="shared" si="92"/>
        <v>0</v>
      </c>
      <c r="JZ11" s="989">
        <f t="shared" si="93"/>
        <v>0</v>
      </c>
      <c r="KA11" s="989">
        <f t="shared" si="94"/>
        <v>0</v>
      </c>
      <c r="KB11" s="989">
        <f t="shared" si="95"/>
        <v>0</v>
      </c>
      <c r="KC11" s="989">
        <f t="shared" si="96"/>
        <v>0</v>
      </c>
      <c r="KD11" s="989">
        <f t="shared" si="97"/>
        <v>0</v>
      </c>
      <c r="KE11" s="989">
        <f t="shared" si="98"/>
        <v>0</v>
      </c>
      <c r="KF11" s="989">
        <f t="shared" si="99"/>
        <v>0</v>
      </c>
      <c r="KG11" s="989">
        <f t="shared" si="100"/>
        <v>0</v>
      </c>
      <c r="KJ11" s="192">
        <f t="shared" ref="KJ11:KJ23" si="105">IT11+JW11</f>
        <v>0</v>
      </c>
      <c r="KK11" s="192">
        <f t="shared" ref="KK11:KK23" si="106">IU11+JX11</f>
        <v>0</v>
      </c>
      <c r="KL11" s="192">
        <f t="shared" ref="KL11:KL23" si="107">IV11+JY11</f>
        <v>0</v>
      </c>
      <c r="KM11" s="192">
        <f t="shared" ref="KM11:KM23" si="108">IW11+JZ11</f>
        <v>0</v>
      </c>
      <c r="KN11" s="192">
        <f t="shared" ref="KN11:KN23" si="109">IX11+KA11</f>
        <v>0</v>
      </c>
      <c r="KO11" s="192">
        <f t="shared" ref="KO11:KO23" si="110">IY11+KB11</f>
        <v>0</v>
      </c>
      <c r="KP11" s="192">
        <f t="shared" ref="KP11:KP23" si="111">IZ11+KC11</f>
        <v>0</v>
      </c>
      <c r="KQ11" s="192">
        <f t="shared" ref="KQ11:KQ23" si="112">JA11+KD11</f>
        <v>0</v>
      </c>
      <c r="KR11" s="192">
        <f t="shared" ref="KR11:KR23" si="113">JB11+KE11</f>
        <v>0</v>
      </c>
      <c r="KS11" s="192">
        <f t="shared" ref="KS11:KS23" si="114">JC11+KF11</f>
        <v>0</v>
      </c>
      <c r="KT11" s="192">
        <f t="shared" ref="KT11:KT23" si="115">JD11+KG11</f>
        <v>0</v>
      </c>
      <c r="KV11" s="29">
        <v>9</v>
      </c>
      <c r="MU11" s="29">
        <v>9</v>
      </c>
      <c r="MW11" s="1964">
        <v>100</v>
      </c>
      <c r="NJ11" s="989">
        <f t="shared" ref="NJ11:NJ45" si="116">$MV11*MW11/100</f>
        <v>0</v>
      </c>
      <c r="NK11" s="989">
        <f t="shared" ref="NK11:NK45" si="117">$MV11*MX11/100</f>
        <v>0</v>
      </c>
      <c r="NL11" s="989">
        <f t="shared" ref="NL11:NL45" si="118">$MV11*MY11/100</f>
        <v>0</v>
      </c>
      <c r="NM11" s="989">
        <f t="shared" ref="NM11:NM45" si="119">$MV11*MZ11/100</f>
        <v>0</v>
      </c>
      <c r="NN11" s="989">
        <f t="shared" ref="NN11:NN45" si="120">$MV11*NA11/100</f>
        <v>0</v>
      </c>
      <c r="NO11" s="989">
        <f t="shared" ref="NO11:NO45" si="121">$MV11*NB11/100</f>
        <v>0</v>
      </c>
      <c r="NP11" s="989">
        <f t="shared" ref="NP11:NP45" si="122">$MV11*NC11/100</f>
        <v>0</v>
      </c>
      <c r="NQ11" s="989">
        <f t="shared" ref="NQ11:NQ45" si="123">$MV11*ND11/100</f>
        <v>0</v>
      </c>
      <c r="NR11" s="989">
        <f t="shared" ref="NR11:NR45" si="124">$MV11*NE11/100</f>
        <v>0</v>
      </c>
      <c r="NS11" s="989">
        <f t="shared" ref="NS11:NS45" si="125">$MV11*NF11/100</f>
        <v>0</v>
      </c>
      <c r="NT11" s="989">
        <f t="shared" ref="NT11:NT45" si="126">$MV11*NG11/100</f>
        <v>0</v>
      </c>
    </row>
    <row r="12" spans="1:387" ht="16.8" thickTop="1" thickBot="1">
      <c r="A12" s="1822">
        <v>11</v>
      </c>
      <c r="B12" s="1134"/>
      <c r="C12" s="1134">
        <v>0</v>
      </c>
      <c r="D12" s="1199">
        <v>79474.877731113578</v>
      </c>
      <c r="E12" s="20"/>
      <c r="F12" s="1843">
        <f t="shared" si="12"/>
        <v>79474.877731113578</v>
      </c>
      <c r="G12" s="951">
        <v>100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s="1">
        <v>0</v>
      </c>
      <c r="P12" s="1">
        <v>0</v>
      </c>
      <c r="S12" s="2"/>
      <c r="T12" s="114">
        <v>11</v>
      </c>
      <c r="U12" s="2">
        <f t="shared" ref="U12:U44" si="127">$F12*G12/100</f>
        <v>79474.877731113578</v>
      </c>
      <c r="V12" s="2">
        <f t="shared" si="13"/>
        <v>0</v>
      </c>
      <c r="W12" s="2">
        <f t="shared" si="14"/>
        <v>0</v>
      </c>
      <c r="X12" s="2">
        <f t="shared" si="15"/>
        <v>0</v>
      </c>
      <c r="Y12" s="2">
        <f t="shared" si="16"/>
        <v>0</v>
      </c>
      <c r="Z12" s="2">
        <f t="shared" si="17"/>
        <v>0</v>
      </c>
      <c r="AA12" s="2">
        <f t="shared" si="18"/>
        <v>0</v>
      </c>
      <c r="AB12" s="2">
        <f t="shared" si="19"/>
        <v>0</v>
      </c>
      <c r="AC12" s="2">
        <f t="shared" si="20"/>
        <v>0</v>
      </c>
      <c r="AD12" s="2">
        <f t="shared" si="21"/>
        <v>0</v>
      </c>
      <c r="AE12" s="2">
        <f t="shared" si="22"/>
        <v>0</v>
      </c>
      <c r="AF12" s="1844">
        <v>11</v>
      </c>
      <c r="AG12" s="1724">
        <f t="shared" si="23"/>
        <v>874223.65504224936</v>
      </c>
      <c r="AH12" s="1724">
        <f t="shared" si="24"/>
        <v>0</v>
      </c>
      <c r="AI12" s="1724">
        <f t="shared" si="25"/>
        <v>0</v>
      </c>
      <c r="AJ12" s="1724">
        <f t="shared" si="26"/>
        <v>0</v>
      </c>
      <c r="AK12" s="1724">
        <f t="shared" si="27"/>
        <v>0</v>
      </c>
      <c r="AL12" s="1724">
        <f t="shared" si="28"/>
        <v>0</v>
      </c>
      <c r="AM12" s="1724">
        <f t="shared" si="29"/>
        <v>0</v>
      </c>
      <c r="AN12" s="1724">
        <f t="shared" si="30"/>
        <v>0</v>
      </c>
      <c r="AO12" s="1724">
        <f t="shared" si="31"/>
        <v>0</v>
      </c>
      <c r="AP12" s="1724">
        <f t="shared" si="32"/>
        <v>0</v>
      </c>
      <c r="AR12" s="1822">
        <v>11</v>
      </c>
      <c r="AS12" s="1134"/>
      <c r="AT12" s="1">
        <v>711852.76033479429</v>
      </c>
      <c r="AU12" s="1">
        <v>5800.2927704810072</v>
      </c>
      <c r="AV12" s="20"/>
      <c r="AW12" s="1843">
        <f t="shared" si="33"/>
        <v>717653.05310527526</v>
      </c>
      <c r="AX12" s="951">
        <v>100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J12" s="2"/>
      <c r="BK12" s="114">
        <v>11</v>
      </c>
      <c r="BL12" s="2">
        <f t="shared" ref="BL12:BL46" si="128">$AW12*AX12/100</f>
        <v>717653.05310527538</v>
      </c>
      <c r="BM12" s="2">
        <f t="shared" ref="BM12:BM46" si="129">$AW12*AY12/100</f>
        <v>0</v>
      </c>
      <c r="BN12" s="2">
        <f t="shared" ref="BN12:BN46" si="130">$AW12*AZ12/100</f>
        <v>0</v>
      </c>
      <c r="BO12" s="2">
        <f t="shared" ref="BO12:BO46" si="131">$AW12*BA12/100</f>
        <v>0</v>
      </c>
      <c r="BP12" s="2">
        <f t="shared" ref="BP12:BP46" si="132">$AW12*BB12/100</f>
        <v>0</v>
      </c>
      <c r="BQ12" s="2">
        <f t="shared" ref="BQ12:BQ46" si="133">$AW12*BC12/100</f>
        <v>0</v>
      </c>
      <c r="BR12" s="2">
        <f t="shared" ref="BR12:BR46" si="134">$AW12*BD12/100</f>
        <v>0</v>
      </c>
      <c r="BS12" s="2">
        <f t="shared" ref="BS12:BS46" si="135">$AW12*BE12/100</f>
        <v>0</v>
      </c>
      <c r="BT12" s="2">
        <f t="shared" ref="BT12:BT46" si="136">$AW12*BF12/100</f>
        <v>0</v>
      </c>
      <c r="BU12" s="2">
        <f t="shared" ref="BU12:BU46" si="137">$AW12*BG12/100</f>
        <v>0</v>
      </c>
      <c r="BV12" s="2">
        <f t="shared" ref="BV12:BV46" si="138">$AW12*BH12/100</f>
        <v>0</v>
      </c>
      <c r="BW12" s="1844">
        <v>11</v>
      </c>
      <c r="BX12" s="1724">
        <f t="shared" ref="BX12:BX44" si="139">$T12*BL12</f>
        <v>7894183.5841580294</v>
      </c>
      <c r="BY12" s="1724">
        <f t="shared" si="3"/>
        <v>0</v>
      </c>
      <c r="BZ12" s="1724">
        <f t="shared" si="4"/>
        <v>0</v>
      </c>
      <c r="CA12" s="1724">
        <f t="shared" si="5"/>
        <v>0</v>
      </c>
      <c r="CB12" s="1724">
        <f t="shared" si="6"/>
        <v>0</v>
      </c>
      <c r="CC12" s="1724">
        <f t="shared" si="7"/>
        <v>0</v>
      </c>
      <c r="CD12" s="1724">
        <f t="shared" si="8"/>
        <v>0</v>
      </c>
      <c r="CE12" s="1724">
        <f t="shared" si="9"/>
        <v>0</v>
      </c>
      <c r="CF12" s="1724">
        <f t="shared" si="10"/>
        <v>0</v>
      </c>
      <c r="CG12" s="1724">
        <f t="shared" si="11"/>
        <v>0</v>
      </c>
      <c r="CH12" s="75"/>
      <c r="CM12" s="638"/>
      <c r="CN12" s="1847">
        <v>9</v>
      </c>
      <c r="CO12" s="1846"/>
      <c r="CP12" s="2">
        <v>80741676.019145325</v>
      </c>
      <c r="CQ12" s="638"/>
      <c r="CR12" s="646">
        <f t="shared" si="63"/>
        <v>80741676.019145325</v>
      </c>
      <c r="CS12" s="1141"/>
      <c r="CT12" s="952"/>
      <c r="CU12" s="641"/>
      <c r="CV12" s="641"/>
      <c r="CW12" s="641"/>
      <c r="CX12" s="641"/>
      <c r="CY12" s="641"/>
      <c r="CZ12" s="641"/>
      <c r="DA12" s="641"/>
      <c r="DB12" s="638"/>
      <c r="DC12" s="638"/>
      <c r="DD12" s="638"/>
      <c r="DE12" s="638"/>
      <c r="DF12" s="451"/>
      <c r="DG12" s="647">
        <v>9</v>
      </c>
      <c r="DH12" s="2">
        <v>100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451">
        <v>0</v>
      </c>
      <c r="DS12" s="1847">
        <v>9</v>
      </c>
      <c r="DT12" s="192">
        <f t="shared" si="35"/>
        <v>80741676.019145325</v>
      </c>
      <c r="DU12" s="192">
        <f t="shared" si="36"/>
        <v>0</v>
      </c>
      <c r="DV12" s="192">
        <f t="shared" si="37"/>
        <v>0</v>
      </c>
      <c r="DW12" s="192">
        <f t="shared" si="38"/>
        <v>0</v>
      </c>
      <c r="DX12" s="192">
        <f t="shared" si="39"/>
        <v>0</v>
      </c>
      <c r="DY12" s="192">
        <f t="shared" si="40"/>
        <v>0</v>
      </c>
      <c r="DZ12" s="192">
        <f t="shared" si="41"/>
        <v>0</v>
      </c>
      <c r="EA12" s="192">
        <f t="shared" si="42"/>
        <v>0</v>
      </c>
      <c r="EB12" s="192">
        <f t="shared" si="43"/>
        <v>0</v>
      </c>
      <c r="EC12" s="192">
        <f t="shared" si="44"/>
        <v>0</v>
      </c>
      <c r="ED12" s="192">
        <f t="shared" si="45"/>
        <v>0</v>
      </c>
      <c r="EE12" s="667">
        <f t="shared" si="46"/>
        <v>80741676.019145325</v>
      </c>
      <c r="EH12" s="976">
        <v>10</v>
      </c>
      <c r="EI12" s="974">
        <v>100</v>
      </c>
      <c r="EJ12" s="974"/>
      <c r="EK12" s="974"/>
      <c r="EL12" s="974"/>
      <c r="EM12" s="974"/>
      <c r="EN12" s="974"/>
      <c r="EO12" s="974"/>
      <c r="EP12" s="974"/>
      <c r="EQ12" s="974"/>
      <c r="ER12" s="974"/>
      <c r="ES12" s="974"/>
      <c r="EX12" s="988">
        <v>100</v>
      </c>
      <c r="EY12" s="357">
        <v>0</v>
      </c>
      <c r="EZ12" s="989">
        <f t="shared" si="64"/>
        <v>0</v>
      </c>
      <c r="FA12" s="989">
        <f t="shared" si="47"/>
        <v>0</v>
      </c>
      <c r="FB12" s="989">
        <f t="shared" si="48"/>
        <v>0</v>
      </c>
      <c r="FC12" s="989">
        <f t="shared" si="49"/>
        <v>0</v>
      </c>
      <c r="FD12" s="989">
        <f t="shared" si="50"/>
        <v>0</v>
      </c>
      <c r="FE12" s="989">
        <f t="shared" si="51"/>
        <v>0</v>
      </c>
      <c r="FF12" s="989">
        <f t="shared" si="52"/>
        <v>0</v>
      </c>
      <c r="FG12" s="989">
        <f t="shared" si="53"/>
        <v>0</v>
      </c>
      <c r="FH12" s="989">
        <f t="shared" si="54"/>
        <v>0</v>
      </c>
      <c r="FI12" s="989">
        <f t="shared" si="55"/>
        <v>0</v>
      </c>
      <c r="FJ12" s="989">
        <f t="shared" si="56"/>
        <v>0</v>
      </c>
      <c r="FM12" s="1002">
        <v>10</v>
      </c>
      <c r="FN12" s="1003">
        <v>100</v>
      </c>
      <c r="FO12" s="1003"/>
      <c r="FP12" s="1003"/>
      <c r="FQ12" s="1003"/>
      <c r="FR12" s="1003"/>
      <c r="FS12" s="1003"/>
      <c r="FT12" s="1003"/>
      <c r="FU12" s="1003"/>
      <c r="FV12" s="1003"/>
      <c r="FW12" s="1003"/>
      <c r="FX12" s="1003"/>
      <c r="FY12" s="1003"/>
      <c r="FZ12" s="1003"/>
      <c r="GA12" s="1003"/>
      <c r="GB12" s="1004">
        <v>100</v>
      </c>
      <c r="GC12" s="1002">
        <v>10</v>
      </c>
      <c r="GD12" s="2">
        <v>232526.73089789276</v>
      </c>
      <c r="GE12" s="989">
        <f t="shared" si="57"/>
        <v>232526.73089789276</v>
      </c>
      <c r="GF12" s="989">
        <f t="shared" si="65"/>
        <v>0</v>
      </c>
      <c r="GG12" s="989">
        <f t="shared" si="65"/>
        <v>0</v>
      </c>
      <c r="GH12" s="989">
        <f t="shared" si="65"/>
        <v>0</v>
      </c>
      <c r="GI12" s="989">
        <f t="shared" si="65"/>
        <v>0</v>
      </c>
      <c r="GJ12" s="989">
        <f t="shared" si="65"/>
        <v>0</v>
      </c>
      <c r="GK12" s="989">
        <f t="shared" si="65"/>
        <v>0</v>
      </c>
      <c r="GL12" s="989">
        <f t="shared" si="65"/>
        <v>0</v>
      </c>
      <c r="GM12" s="989">
        <f t="shared" si="65"/>
        <v>0</v>
      </c>
      <c r="GN12" s="989">
        <f t="shared" si="65"/>
        <v>0</v>
      </c>
      <c r="GO12" s="989">
        <f t="shared" si="65"/>
        <v>0</v>
      </c>
      <c r="GP12" s="989">
        <f t="shared" si="65"/>
        <v>0</v>
      </c>
      <c r="GQ12" s="989">
        <f t="shared" si="65"/>
        <v>0</v>
      </c>
      <c r="GR12" s="989">
        <f t="shared" si="65"/>
        <v>0</v>
      </c>
      <c r="GX12" s="1032">
        <v>10</v>
      </c>
      <c r="GY12" s="1">
        <v>746073.20007755107</v>
      </c>
      <c r="GZ12" s="1848">
        <v>100</v>
      </c>
      <c r="HA12" s="1848"/>
      <c r="HB12" s="1848"/>
      <c r="HC12" s="1848"/>
      <c r="HD12" s="1848"/>
      <c r="HE12" s="1848"/>
      <c r="HF12" s="1848"/>
      <c r="HG12" s="1848"/>
      <c r="HH12" s="1848"/>
      <c r="HI12" s="1848"/>
      <c r="HJ12" s="1848"/>
      <c r="HK12" s="1848"/>
      <c r="HL12" s="1848"/>
      <c r="HM12" s="1848">
        <f t="shared" si="66"/>
        <v>100</v>
      </c>
      <c r="HN12" s="989">
        <f t="shared" si="67"/>
        <v>746073.20007755095</v>
      </c>
      <c r="HO12" s="989">
        <f t="shared" si="68"/>
        <v>0</v>
      </c>
      <c r="HP12" s="989">
        <f t="shared" si="69"/>
        <v>0</v>
      </c>
      <c r="HQ12" s="989">
        <f t="shared" si="70"/>
        <v>0</v>
      </c>
      <c r="HR12" s="989">
        <f t="shared" si="71"/>
        <v>0</v>
      </c>
      <c r="HS12" s="989">
        <f t="shared" si="72"/>
        <v>0</v>
      </c>
      <c r="HT12" s="989">
        <f t="shared" si="73"/>
        <v>0</v>
      </c>
      <c r="HU12" s="989">
        <f t="shared" si="74"/>
        <v>0</v>
      </c>
      <c r="HV12" s="989">
        <f t="shared" si="75"/>
        <v>0</v>
      </c>
      <c r="HW12" s="989">
        <f t="shared" si="76"/>
        <v>0</v>
      </c>
      <c r="HX12" s="989">
        <f t="shared" si="77"/>
        <v>0</v>
      </c>
      <c r="HY12" s="989">
        <f t="shared" si="78"/>
        <v>0</v>
      </c>
      <c r="HZ12" s="989">
        <f t="shared" si="79"/>
        <v>0</v>
      </c>
      <c r="IE12" s="1">
        <v>0</v>
      </c>
      <c r="IF12" s="1">
        <v>5</v>
      </c>
      <c r="IG12" s="553">
        <v>100</v>
      </c>
      <c r="IS12" s="121">
        <v>5</v>
      </c>
      <c r="IT12" s="989">
        <f t="shared" si="80"/>
        <v>0</v>
      </c>
      <c r="IU12" s="989">
        <f t="shared" si="81"/>
        <v>0</v>
      </c>
      <c r="IV12" s="989">
        <f t="shared" si="82"/>
        <v>0</v>
      </c>
      <c r="IW12" s="989">
        <f t="shared" si="83"/>
        <v>0</v>
      </c>
      <c r="IX12" s="989">
        <f t="shared" si="84"/>
        <v>0</v>
      </c>
      <c r="IY12" s="989">
        <f t="shared" si="85"/>
        <v>0</v>
      </c>
      <c r="IZ12" s="989">
        <f t="shared" si="86"/>
        <v>0</v>
      </c>
      <c r="JA12" s="989">
        <f t="shared" si="87"/>
        <v>0</v>
      </c>
      <c r="JB12" s="989">
        <f t="shared" si="88"/>
        <v>0</v>
      </c>
      <c r="JC12" s="989">
        <f t="shared" si="89"/>
        <v>0</v>
      </c>
      <c r="JD12" s="989">
        <f t="shared" si="90"/>
        <v>0</v>
      </c>
      <c r="JE12" s="989">
        <f t="shared" si="91"/>
        <v>0</v>
      </c>
      <c r="JG12" s="1">
        <v>0</v>
      </c>
      <c r="JH12" s="1002">
        <v>5</v>
      </c>
      <c r="JJ12" s="1">
        <v>100</v>
      </c>
      <c r="JW12" s="989">
        <f t="shared" si="103"/>
        <v>0</v>
      </c>
      <c r="JX12" s="989">
        <f t="shared" si="104"/>
        <v>0</v>
      </c>
      <c r="JY12" s="989">
        <f t="shared" si="92"/>
        <v>0</v>
      </c>
      <c r="JZ12" s="989">
        <f t="shared" si="93"/>
        <v>0</v>
      </c>
      <c r="KA12" s="989">
        <f t="shared" si="94"/>
        <v>0</v>
      </c>
      <c r="KB12" s="989">
        <f t="shared" si="95"/>
        <v>0</v>
      </c>
      <c r="KC12" s="989">
        <f t="shared" si="96"/>
        <v>0</v>
      </c>
      <c r="KD12" s="989">
        <f t="shared" si="97"/>
        <v>0</v>
      </c>
      <c r="KE12" s="989">
        <f t="shared" si="98"/>
        <v>0</v>
      </c>
      <c r="KF12" s="989">
        <f t="shared" si="99"/>
        <v>0</v>
      </c>
      <c r="KG12" s="989">
        <f t="shared" si="100"/>
        <v>0</v>
      </c>
      <c r="KJ12" s="192">
        <f t="shared" si="105"/>
        <v>0</v>
      </c>
      <c r="KK12" s="192">
        <f t="shared" si="106"/>
        <v>0</v>
      </c>
      <c r="KL12" s="192">
        <f t="shared" si="107"/>
        <v>0</v>
      </c>
      <c r="KM12" s="192">
        <f t="shared" si="108"/>
        <v>0</v>
      </c>
      <c r="KN12" s="192">
        <f t="shared" si="109"/>
        <v>0</v>
      </c>
      <c r="KO12" s="192">
        <f t="shared" si="110"/>
        <v>0</v>
      </c>
      <c r="KP12" s="192">
        <f t="shared" si="111"/>
        <v>0</v>
      </c>
      <c r="KQ12" s="192">
        <f t="shared" si="112"/>
        <v>0</v>
      </c>
      <c r="KR12" s="192">
        <f t="shared" si="113"/>
        <v>0</v>
      </c>
      <c r="KS12" s="192">
        <f t="shared" si="114"/>
        <v>0</v>
      </c>
      <c r="KT12" s="192">
        <f t="shared" si="115"/>
        <v>0</v>
      </c>
      <c r="KV12" s="1032">
        <v>10</v>
      </c>
      <c r="KW12" s="2">
        <v>7951547.5349599058</v>
      </c>
      <c r="KX12" s="1">
        <v>100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J12" s="989">
        <f>$KW12*KX12/100</f>
        <v>7951547.5349599067</v>
      </c>
      <c r="LK12" s="989">
        <f t="shared" ref="LK12:LT12" si="140">$KW12*KY12/100</f>
        <v>0</v>
      </c>
      <c r="LL12" s="989">
        <f t="shared" si="140"/>
        <v>0</v>
      </c>
      <c r="LM12" s="989">
        <f t="shared" si="140"/>
        <v>0</v>
      </c>
      <c r="LN12" s="989">
        <f t="shared" si="140"/>
        <v>0</v>
      </c>
      <c r="LO12" s="989">
        <f t="shared" si="140"/>
        <v>0</v>
      </c>
      <c r="LP12" s="989">
        <f t="shared" si="140"/>
        <v>0</v>
      </c>
      <c r="LQ12" s="989">
        <f t="shared" si="140"/>
        <v>0</v>
      </c>
      <c r="LR12" s="989">
        <f t="shared" si="140"/>
        <v>0</v>
      </c>
      <c r="LS12" s="989">
        <f t="shared" si="140"/>
        <v>0</v>
      </c>
      <c r="LT12" s="989">
        <f t="shared" si="140"/>
        <v>0</v>
      </c>
      <c r="MU12" s="1032">
        <v>10</v>
      </c>
      <c r="MV12" s="57">
        <v>4720798.7991422256</v>
      </c>
      <c r="MW12" s="1964">
        <v>100</v>
      </c>
      <c r="NJ12" s="989">
        <f t="shared" si="116"/>
        <v>4720798.7991422256</v>
      </c>
      <c r="NK12" s="989">
        <f t="shared" si="117"/>
        <v>0</v>
      </c>
      <c r="NL12" s="989">
        <f t="shared" si="118"/>
        <v>0</v>
      </c>
      <c r="NM12" s="989">
        <f t="shared" si="119"/>
        <v>0</v>
      </c>
      <c r="NN12" s="989">
        <f t="shared" si="120"/>
        <v>0</v>
      </c>
      <c r="NO12" s="989">
        <f t="shared" si="121"/>
        <v>0</v>
      </c>
      <c r="NP12" s="989">
        <f t="shared" si="122"/>
        <v>0</v>
      </c>
      <c r="NQ12" s="989">
        <f t="shared" si="123"/>
        <v>0</v>
      </c>
      <c r="NR12" s="989">
        <f t="shared" si="124"/>
        <v>0</v>
      </c>
      <c r="NS12" s="989">
        <f t="shared" si="125"/>
        <v>0</v>
      </c>
      <c r="NT12" s="989">
        <f t="shared" si="126"/>
        <v>0</v>
      </c>
    </row>
    <row r="13" spans="1:387" ht="16.8" thickTop="1" thickBot="1">
      <c r="A13" s="1822">
        <v>12</v>
      </c>
      <c r="B13" s="1134"/>
      <c r="C13" s="1134">
        <v>0</v>
      </c>
      <c r="D13" s="1199">
        <v>231670.89866909219</v>
      </c>
      <c r="E13" s="20"/>
      <c r="F13" s="1843">
        <f t="shared" si="12"/>
        <v>231670.89866909219</v>
      </c>
      <c r="G13" s="951">
        <v>100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1">
        <v>0</v>
      </c>
      <c r="P13" s="1">
        <v>0</v>
      </c>
      <c r="S13" s="2"/>
      <c r="T13" s="114">
        <v>12</v>
      </c>
      <c r="U13" s="2">
        <f t="shared" si="127"/>
        <v>231670.89866909216</v>
      </c>
      <c r="V13" s="2">
        <f t="shared" si="13"/>
        <v>0</v>
      </c>
      <c r="W13" s="2">
        <f t="shared" si="14"/>
        <v>0</v>
      </c>
      <c r="X13" s="2">
        <f t="shared" si="15"/>
        <v>0</v>
      </c>
      <c r="Y13" s="2">
        <f t="shared" si="16"/>
        <v>0</v>
      </c>
      <c r="Z13" s="2">
        <f t="shared" si="17"/>
        <v>0</v>
      </c>
      <c r="AA13" s="2">
        <f t="shared" si="18"/>
        <v>0</v>
      </c>
      <c r="AB13" s="2">
        <f t="shared" si="19"/>
        <v>0</v>
      </c>
      <c r="AC13" s="2">
        <f t="shared" si="20"/>
        <v>0</v>
      </c>
      <c r="AD13" s="2">
        <f t="shared" si="21"/>
        <v>0</v>
      </c>
      <c r="AE13" s="2">
        <f t="shared" si="22"/>
        <v>0</v>
      </c>
      <c r="AF13" s="1844">
        <v>12</v>
      </c>
      <c r="AG13" s="1724">
        <f t="shared" si="23"/>
        <v>2780050.7840291057</v>
      </c>
      <c r="AH13" s="1724">
        <f t="shared" si="24"/>
        <v>0</v>
      </c>
      <c r="AI13" s="1724">
        <f t="shared" si="25"/>
        <v>0</v>
      </c>
      <c r="AJ13" s="1724">
        <f t="shared" si="26"/>
        <v>0</v>
      </c>
      <c r="AK13" s="1724">
        <f t="shared" si="27"/>
        <v>0</v>
      </c>
      <c r="AL13" s="1724">
        <f t="shared" si="28"/>
        <v>0</v>
      </c>
      <c r="AM13" s="1724">
        <f t="shared" si="29"/>
        <v>0</v>
      </c>
      <c r="AN13" s="1724">
        <f t="shared" si="30"/>
        <v>0</v>
      </c>
      <c r="AO13" s="1724">
        <f t="shared" si="31"/>
        <v>0</v>
      </c>
      <c r="AP13" s="1724">
        <f t="shared" si="32"/>
        <v>0</v>
      </c>
      <c r="AR13" s="1822">
        <v>12</v>
      </c>
      <c r="AS13" s="1134"/>
      <c r="AT13" s="1">
        <v>51103447.807369359</v>
      </c>
      <c r="AU13" s="1">
        <v>9728538.1833286453</v>
      </c>
      <c r="AV13" s="20"/>
      <c r="AW13" s="1843">
        <f t="shared" si="33"/>
        <v>60831985.990698002</v>
      </c>
      <c r="AX13" s="951">
        <v>100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J13" s="2"/>
      <c r="BK13" s="114">
        <v>12</v>
      </c>
      <c r="BL13" s="2">
        <f t="shared" si="128"/>
        <v>60831985.990698002</v>
      </c>
      <c r="BM13" s="2">
        <f t="shared" si="129"/>
        <v>0</v>
      </c>
      <c r="BN13" s="2">
        <f t="shared" si="130"/>
        <v>0</v>
      </c>
      <c r="BO13" s="2">
        <f t="shared" si="131"/>
        <v>0</v>
      </c>
      <c r="BP13" s="2">
        <f t="shared" si="132"/>
        <v>0</v>
      </c>
      <c r="BQ13" s="2">
        <f t="shared" si="133"/>
        <v>0</v>
      </c>
      <c r="BR13" s="2">
        <f t="shared" si="134"/>
        <v>0</v>
      </c>
      <c r="BS13" s="2">
        <f t="shared" si="135"/>
        <v>0</v>
      </c>
      <c r="BT13" s="2">
        <f t="shared" si="136"/>
        <v>0</v>
      </c>
      <c r="BU13" s="2">
        <f t="shared" si="137"/>
        <v>0</v>
      </c>
      <c r="BV13" s="2">
        <f t="shared" si="138"/>
        <v>0</v>
      </c>
      <c r="BW13" s="1844">
        <v>12</v>
      </c>
      <c r="BX13" s="1724">
        <f t="shared" si="139"/>
        <v>729983831.888376</v>
      </c>
      <c r="BY13" s="1724">
        <f t="shared" si="3"/>
        <v>0</v>
      </c>
      <c r="BZ13" s="1724">
        <f t="shared" si="4"/>
        <v>0</v>
      </c>
      <c r="CA13" s="1724">
        <f t="shared" si="5"/>
        <v>0</v>
      </c>
      <c r="CB13" s="1724">
        <f t="shared" si="6"/>
        <v>0</v>
      </c>
      <c r="CC13" s="1724">
        <f t="shared" si="7"/>
        <v>0</v>
      </c>
      <c r="CD13" s="1724">
        <f t="shared" si="8"/>
        <v>0</v>
      </c>
      <c r="CE13" s="1724">
        <f t="shared" si="9"/>
        <v>0</v>
      </c>
      <c r="CF13" s="1724">
        <f t="shared" si="10"/>
        <v>0</v>
      </c>
      <c r="CG13" s="1724">
        <f t="shared" si="11"/>
        <v>0</v>
      </c>
      <c r="CH13" s="75"/>
      <c r="CM13" s="638"/>
      <c r="CN13" s="1847">
        <v>10</v>
      </c>
      <c r="CO13" s="1846"/>
      <c r="CP13" s="2">
        <v>86259366.11208865</v>
      </c>
      <c r="CQ13" s="638"/>
      <c r="CR13" s="646">
        <f t="shared" si="63"/>
        <v>86259366.11208865</v>
      </c>
      <c r="CS13" s="1141"/>
      <c r="CT13" s="952"/>
      <c r="CU13" s="641"/>
      <c r="CV13" s="641"/>
      <c r="CW13" s="641"/>
      <c r="CX13" s="641"/>
      <c r="CY13" s="641"/>
      <c r="CZ13" s="641"/>
      <c r="DA13" s="641"/>
      <c r="DB13" s="638"/>
      <c r="DC13" s="638"/>
      <c r="DD13" s="638"/>
      <c r="DE13" s="638"/>
      <c r="DF13" s="451"/>
      <c r="DG13" s="647">
        <v>10</v>
      </c>
      <c r="DH13" s="2">
        <v>100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451">
        <v>0</v>
      </c>
      <c r="DS13" s="1847">
        <v>10</v>
      </c>
      <c r="DT13" s="192">
        <f t="shared" si="35"/>
        <v>86259366.112088636</v>
      </c>
      <c r="DU13" s="192">
        <f t="shared" si="36"/>
        <v>0</v>
      </c>
      <c r="DV13" s="192">
        <f t="shared" si="37"/>
        <v>0</v>
      </c>
      <c r="DW13" s="192">
        <f t="shared" si="38"/>
        <v>0</v>
      </c>
      <c r="DX13" s="192">
        <f t="shared" si="39"/>
        <v>0</v>
      </c>
      <c r="DY13" s="192">
        <f t="shared" si="40"/>
        <v>0</v>
      </c>
      <c r="DZ13" s="192">
        <f t="shared" si="41"/>
        <v>0</v>
      </c>
      <c r="EA13" s="192">
        <f t="shared" si="42"/>
        <v>0</v>
      </c>
      <c r="EB13" s="192">
        <f t="shared" si="43"/>
        <v>0</v>
      </c>
      <c r="EC13" s="192">
        <f t="shared" si="44"/>
        <v>0</v>
      </c>
      <c r="ED13" s="192">
        <f t="shared" si="45"/>
        <v>0</v>
      </c>
      <c r="EE13" s="667">
        <f t="shared" si="46"/>
        <v>86259366.112088636</v>
      </c>
      <c r="EH13" s="976">
        <v>11</v>
      </c>
      <c r="EI13" s="974">
        <v>100</v>
      </c>
      <c r="EJ13" s="974"/>
      <c r="EK13" s="974"/>
      <c r="EL13" s="974"/>
      <c r="EM13" s="974"/>
      <c r="EN13" s="974"/>
      <c r="EO13" s="974"/>
      <c r="EP13" s="974"/>
      <c r="EQ13" s="974"/>
      <c r="ER13" s="974"/>
      <c r="ES13" s="974"/>
      <c r="EX13" s="977">
        <v>100</v>
      </c>
      <c r="EY13" s="357">
        <v>2005388.0732183948</v>
      </c>
      <c r="EZ13" s="989">
        <f t="shared" si="64"/>
        <v>2005388.0732183948</v>
      </c>
      <c r="FA13" s="989">
        <f t="shared" si="47"/>
        <v>0</v>
      </c>
      <c r="FB13" s="989">
        <f t="shared" si="48"/>
        <v>0</v>
      </c>
      <c r="FC13" s="989">
        <f t="shared" si="49"/>
        <v>0</v>
      </c>
      <c r="FD13" s="989">
        <f t="shared" si="50"/>
        <v>0</v>
      </c>
      <c r="FE13" s="989">
        <f t="shared" si="51"/>
        <v>0</v>
      </c>
      <c r="FF13" s="989">
        <f t="shared" si="52"/>
        <v>0</v>
      </c>
      <c r="FG13" s="989">
        <f t="shared" si="53"/>
        <v>0</v>
      </c>
      <c r="FH13" s="989">
        <f t="shared" si="54"/>
        <v>0</v>
      </c>
      <c r="FI13" s="989">
        <f t="shared" si="55"/>
        <v>0</v>
      </c>
      <c r="FJ13" s="989">
        <f t="shared" si="56"/>
        <v>0</v>
      </c>
      <c r="FM13" s="1005">
        <v>11</v>
      </c>
      <c r="FN13" s="1003">
        <v>100</v>
      </c>
      <c r="FO13" s="1003"/>
      <c r="FP13" s="1003"/>
      <c r="FQ13" s="1003"/>
      <c r="FR13" s="1003"/>
      <c r="FS13" s="1003"/>
      <c r="FT13" s="1003"/>
      <c r="FU13" s="1003"/>
      <c r="FV13" s="1003"/>
      <c r="FW13" s="1003"/>
      <c r="FX13" s="1003"/>
      <c r="FY13" s="1003"/>
      <c r="FZ13" s="1003"/>
      <c r="GA13" s="1003"/>
      <c r="GB13" s="1004">
        <v>100</v>
      </c>
      <c r="GC13" s="1005">
        <v>11</v>
      </c>
      <c r="GD13" s="2">
        <v>311820.12849894486</v>
      </c>
      <c r="GE13" s="989">
        <f t="shared" si="57"/>
        <v>311820.12849894486</v>
      </c>
      <c r="GF13" s="989">
        <f t="shared" si="65"/>
        <v>0</v>
      </c>
      <c r="GG13" s="989">
        <f t="shared" si="65"/>
        <v>0</v>
      </c>
      <c r="GH13" s="989">
        <f t="shared" si="65"/>
        <v>0</v>
      </c>
      <c r="GI13" s="989">
        <f t="shared" si="65"/>
        <v>0</v>
      </c>
      <c r="GJ13" s="989">
        <f t="shared" si="65"/>
        <v>0</v>
      </c>
      <c r="GK13" s="989">
        <f t="shared" si="65"/>
        <v>0</v>
      </c>
      <c r="GL13" s="989">
        <f t="shared" si="65"/>
        <v>0</v>
      </c>
      <c r="GM13" s="989">
        <f t="shared" si="65"/>
        <v>0</v>
      </c>
      <c r="GN13" s="989">
        <f t="shared" si="65"/>
        <v>0</v>
      </c>
      <c r="GO13" s="989">
        <f t="shared" si="65"/>
        <v>0</v>
      </c>
      <c r="GP13" s="989">
        <f t="shared" si="65"/>
        <v>0</v>
      </c>
      <c r="GQ13" s="989">
        <f t="shared" si="65"/>
        <v>0</v>
      </c>
      <c r="GR13" s="989">
        <f t="shared" si="65"/>
        <v>0</v>
      </c>
      <c r="GX13" s="1033">
        <v>11</v>
      </c>
      <c r="GY13" s="1">
        <v>343194.68387833604</v>
      </c>
      <c r="GZ13" s="1848">
        <v>100</v>
      </c>
      <c r="HA13" s="1848"/>
      <c r="HB13" s="1848"/>
      <c r="HC13" s="1848"/>
      <c r="HD13" s="1848"/>
      <c r="HE13" s="1848"/>
      <c r="HF13" s="1848"/>
      <c r="HG13" s="1848"/>
      <c r="HH13" s="1848"/>
      <c r="HI13" s="1848"/>
      <c r="HJ13" s="1848"/>
      <c r="HK13" s="1848"/>
      <c r="HL13" s="1848"/>
      <c r="HM13" s="1848">
        <f t="shared" si="66"/>
        <v>100</v>
      </c>
      <c r="HN13" s="989">
        <f t="shared" si="67"/>
        <v>343194.68387833604</v>
      </c>
      <c r="HO13" s="989">
        <f t="shared" si="68"/>
        <v>0</v>
      </c>
      <c r="HP13" s="989">
        <f t="shared" si="69"/>
        <v>0</v>
      </c>
      <c r="HQ13" s="989">
        <f t="shared" si="70"/>
        <v>0</v>
      </c>
      <c r="HR13" s="989">
        <f t="shared" si="71"/>
        <v>0</v>
      </c>
      <c r="HS13" s="989">
        <f t="shared" si="72"/>
        <v>0</v>
      </c>
      <c r="HT13" s="989">
        <f t="shared" si="73"/>
        <v>0</v>
      </c>
      <c r="HU13" s="989">
        <f t="shared" si="74"/>
        <v>0</v>
      </c>
      <c r="HV13" s="989">
        <f t="shared" si="75"/>
        <v>0</v>
      </c>
      <c r="HW13" s="989">
        <f t="shared" si="76"/>
        <v>0</v>
      </c>
      <c r="HX13" s="989">
        <f t="shared" si="77"/>
        <v>0</v>
      </c>
      <c r="HY13" s="989">
        <f t="shared" si="78"/>
        <v>0</v>
      </c>
      <c r="HZ13" s="989">
        <f t="shared" si="79"/>
        <v>0</v>
      </c>
      <c r="IE13" s="1">
        <v>0</v>
      </c>
      <c r="IF13" s="1">
        <v>6</v>
      </c>
      <c r="IG13" s="553">
        <v>100</v>
      </c>
      <c r="IS13" s="121">
        <v>6</v>
      </c>
      <c r="IT13" s="989">
        <f t="shared" si="80"/>
        <v>0</v>
      </c>
      <c r="IU13" s="989">
        <f t="shared" si="81"/>
        <v>0</v>
      </c>
      <c r="IV13" s="989">
        <f t="shared" si="82"/>
        <v>0</v>
      </c>
      <c r="IW13" s="989">
        <f t="shared" si="83"/>
        <v>0</v>
      </c>
      <c r="IX13" s="989">
        <f t="shared" si="84"/>
        <v>0</v>
      </c>
      <c r="IY13" s="989">
        <f t="shared" si="85"/>
        <v>0</v>
      </c>
      <c r="IZ13" s="989">
        <f t="shared" si="86"/>
        <v>0</v>
      </c>
      <c r="JA13" s="989">
        <f t="shared" si="87"/>
        <v>0</v>
      </c>
      <c r="JB13" s="989">
        <f t="shared" si="88"/>
        <v>0</v>
      </c>
      <c r="JC13" s="989">
        <f t="shared" si="89"/>
        <v>0</v>
      </c>
      <c r="JD13" s="989">
        <f t="shared" si="90"/>
        <v>0</v>
      </c>
      <c r="JE13" s="989">
        <f t="shared" si="91"/>
        <v>0</v>
      </c>
      <c r="JG13" s="1">
        <v>0</v>
      </c>
      <c r="JH13" s="1005">
        <v>6</v>
      </c>
      <c r="JJ13" s="1">
        <v>100</v>
      </c>
      <c r="JW13" s="989">
        <f t="shared" si="103"/>
        <v>0</v>
      </c>
      <c r="JX13" s="989">
        <f t="shared" si="104"/>
        <v>0</v>
      </c>
      <c r="JY13" s="989">
        <f t="shared" si="92"/>
        <v>0</v>
      </c>
      <c r="JZ13" s="989">
        <f t="shared" si="93"/>
        <v>0</v>
      </c>
      <c r="KA13" s="989">
        <f t="shared" si="94"/>
        <v>0</v>
      </c>
      <c r="KB13" s="989">
        <f t="shared" si="95"/>
        <v>0</v>
      </c>
      <c r="KC13" s="989">
        <f t="shared" si="96"/>
        <v>0</v>
      </c>
      <c r="KD13" s="989">
        <f t="shared" si="97"/>
        <v>0</v>
      </c>
      <c r="KE13" s="989">
        <f t="shared" si="98"/>
        <v>0</v>
      </c>
      <c r="KF13" s="989">
        <f t="shared" si="99"/>
        <v>0</v>
      </c>
      <c r="KG13" s="989">
        <f t="shared" si="100"/>
        <v>0</v>
      </c>
      <c r="KJ13" s="192">
        <f t="shared" si="105"/>
        <v>0</v>
      </c>
      <c r="KK13" s="192">
        <f t="shared" si="106"/>
        <v>0</v>
      </c>
      <c r="KL13" s="192">
        <f t="shared" si="107"/>
        <v>0</v>
      </c>
      <c r="KM13" s="192">
        <f t="shared" si="108"/>
        <v>0</v>
      </c>
      <c r="KN13" s="192">
        <f t="shared" si="109"/>
        <v>0</v>
      </c>
      <c r="KO13" s="192">
        <f t="shared" si="110"/>
        <v>0</v>
      </c>
      <c r="KP13" s="192">
        <f t="shared" si="111"/>
        <v>0</v>
      </c>
      <c r="KQ13" s="192">
        <f t="shared" si="112"/>
        <v>0</v>
      </c>
      <c r="KR13" s="192">
        <f t="shared" si="113"/>
        <v>0</v>
      </c>
      <c r="KS13" s="192">
        <f t="shared" si="114"/>
        <v>0</v>
      </c>
      <c r="KT13" s="192">
        <f t="shared" si="115"/>
        <v>0</v>
      </c>
      <c r="KV13" s="1033">
        <v>11</v>
      </c>
      <c r="KW13" s="2">
        <v>9226487.1824072525</v>
      </c>
      <c r="KX13" s="1">
        <v>100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J13" s="989">
        <f t="shared" ref="LJ13:LJ47" si="141">$KW13*KX13/100</f>
        <v>9226487.1824072525</v>
      </c>
      <c r="LK13" s="989">
        <f t="shared" ref="LK13:LK47" si="142">$KW13*KY13/100</f>
        <v>0</v>
      </c>
      <c r="LL13" s="989">
        <f t="shared" ref="LL13:LL47" si="143">$KW13*KZ13/100</f>
        <v>0</v>
      </c>
      <c r="LM13" s="989">
        <f t="shared" ref="LM13:LM47" si="144">$KW13*LA13/100</f>
        <v>0</v>
      </c>
      <c r="LN13" s="989">
        <f t="shared" ref="LN13:LN47" si="145">$KW13*LB13/100</f>
        <v>0</v>
      </c>
      <c r="LO13" s="989">
        <f t="shared" ref="LO13:LO47" si="146">$KW13*LC13/100</f>
        <v>0</v>
      </c>
      <c r="LP13" s="989">
        <f t="shared" ref="LP13:LP47" si="147">$KW13*LD13/100</f>
        <v>0</v>
      </c>
      <c r="LQ13" s="989">
        <f t="shared" ref="LQ13:LQ47" si="148">$KW13*LE13/100</f>
        <v>0</v>
      </c>
      <c r="LR13" s="989">
        <f t="shared" ref="LR13:LR47" si="149">$KW13*LF13/100</f>
        <v>0</v>
      </c>
      <c r="LS13" s="989">
        <f t="shared" ref="LS13:LS47" si="150">$KW13*LG13/100</f>
        <v>0</v>
      </c>
      <c r="LT13" s="989">
        <f t="shared" ref="LT13:LT47" si="151">$KW13*LH13/100</f>
        <v>0</v>
      </c>
      <c r="MU13" s="1033">
        <v>11</v>
      </c>
      <c r="MV13" s="57">
        <v>12073870.665058173</v>
      </c>
      <c r="MW13" s="1964">
        <v>100</v>
      </c>
      <c r="NJ13" s="989">
        <f t="shared" si="116"/>
        <v>12073870.665058173</v>
      </c>
      <c r="NK13" s="989">
        <f t="shared" si="117"/>
        <v>0</v>
      </c>
      <c r="NL13" s="989">
        <f t="shared" si="118"/>
        <v>0</v>
      </c>
      <c r="NM13" s="989">
        <f t="shared" si="119"/>
        <v>0</v>
      </c>
      <c r="NN13" s="989">
        <f t="shared" si="120"/>
        <v>0</v>
      </c>
      <c r="NO13" s="989">
        <f t="shared" si="121"/>
        <v>0</v>
      </c>
      <c r="NP13" s="989">
        <f t="shared" si="122"/>
        <v>0</v>
      </c>
      <c r="NQ13" s="989">
        <f t="shared" si="123"/>
        <v>0</v>
      </c>
      <c r="NR13" s="989">
        <f t="shared" si="124"/>
        <v>0</v>
      </c>
      <c r="NS13" s="989">
        <f t="shared" si="125"/>
        <v>0</v>
      </c>
      <c r="NT13" s="989">
        <f t="shared" si="126"/>
        <v>0</v>
      </c>
    </row>
    <row r="14" spans="1:387" ht="16.8" thickTop="1" thickBot="1">
      <c r="A14" s="1822">
        <v>13</v>
      </c>
      <c r="B14" s="1134"/>
      <c r="C14" s="1134">
        <v>0</v>
      </c>
      <c r="D14" s="1199">
        <v>541833.81815761072</v>
      </c>
      <c r="E14" s="20"/>
      <c r="F14" s="1843">
        <f t="shared" si="12"/>
        <v>541833.81815761072</v>
      </c>
      <c r="G14" s="951">
        <v>100</v>
      </c>
      <c r="H14" s="806">
        <v>0</v>
      </c>
      <c r="I14" s="806">
        <v>0</v>
      </c>
      <c r="J14" s="806">
        <v>0</v>
      </c>
      <c r="K14" s="806">
        <v>0</v>
      </c>
      <c r="L14" s="806">
        <v>0</v>
      </c>
      <c r="M14" s="806">
        <v>0</v>
      </c>
      <c r="N14" s="806">
        <v>0</v>
      </c>
      <c r="O14" s="806">
        <v>0</v>
      </c>
      <c r="P14" s="806">
        <v>0</v>
      </c>
      <c r="Q14" s="806"/>
      <c r="R14" s="806"/>
      <c r="S14" s="2"/>
      <c r="T14" s="114">
        <v>13</v>
      </c>
      <c r="U14" s="2">
        <f t="shared" si="127"/>
        <v>541833.81815761072</v>
      </c>
      <c r="V14" s="2">
        <f t="shared" si="13"/>
        <v>0</v>
      </c>
      <c r="W14" s="2">
        <f t="shared" si="14"/>
        <v>0</v>
      </c>
      <c r="X14" s="2">
        <f t="shared" si="15"/>
        <v>0</v>
      </c>
      <c r="Y14" s="2">
        <f t="shared" si="16"/>
        <v>0</v>
      </c>
      <c r="Z14" s="2">
        <f t="shared" si="17"/>
        <v>0</v>
      </c>
      <c r="AA14" s="2">
        <f t="shared" si="18"/>
        <v>0</v>
      </c>
      <c r="AB14" s="2">
        <f t="shared" si="19"/>
        <v>0</v>
      </c>
      <c r="AC14" s="2">
        <f t="shared" si="20"/>
        <v>0</v>
      </c>
      <c r="AD14" s="2">
        <f t="shared" si="21"/>
        <v>0</v>
      </c>
      <c r="AE14" s="2">
        <f t="shared" si="22"/>
        <v>0</v>
      </c>
      <c r="AF14" s="1844">
        <v>13</v>
      </c>
      <c r="AG14" s="1724">
        <f t="shared" si="23"/>
        <v>7043839.6360489391</v>
      </c>
      <c r="AH14" s="1724">
        <f t="shared" si="24"/>
        <v>0</v>
      </c>
      <c r="AI14" s="1724">
        <f t="shared" si="25"/>
        <v>0</v>
      </c>
      <c r="AJ14" s="1724">
        <f t="shared" si="26"/>
        <v>0</v>
      </c>
      <c r="AK14" s="1724">
        <f t="shared" si="27"/>
        <v>0</v>
      </c>
      <c r="AL14" s="1724">
        <f t="shared" si="28"/>
        <v>0</v>
      </c>
      <c r="AM14" s="1724">
        <f t="shared" si="29"/>
        <v>0</v>
      </c>
      <c r="AN14" s="1724">
        <f t="shared" si="30"/>
        <v>0</v>
      </c>
      <c r="AO14" s="1724">
        <f t="shared" si="31"/>
        <v>0</v>
      </c>
      <c r="AP14" s="1724">
        <f t="shared" si="32"/>
        <v>0</v>
      </c>
      <c r="AR14" s="1822">
        <v>13</v>
      </c>
      <c r="AS14" s="1134"/>
      <c r="AT14" s="1">
        <v>109368687.27813849</v>
      </c>
      <c r="AU14" s="1">
        <v>176958950.90140629</v>
      </c>
      <c r="AV14" s="20"/>
      <c r="AW14" s="1843">
        <f t="shared" si="33"/>
        <v>286327638.17954481</v>
      </c>
      <c r="AX14" s="951">
        <v>100</v>
      </c>
      <c r="AY14" s="806">
        <v>0</v>
      </c>
      <c r="AZ14" s="806">
        <v>0</v>
      </c>
      <c r="BA14" s="806">
        <v>0</v>
      </c>
      <c r="BB14" s="806">
        <v>0</v>
      </c>
      <c r="BC14" s="806">
        <v>0</v>
      </c>
      <c r="BD14" s="806">
        <v>0</v>
      </c>
      <c r="BE14" s="806">
        <v>0</v>
      </c>
      <c r="BF14" s="806"/>
      <c r="BG14" s="806"/>
      <c r="BH14" s="806"/>
      <c r="BI14" s="806"/>
      <c r="BJ14" s="2"/>
      <c r="BK14" s="114">
        <v>13</v>
      </c>
      <c r="BL14" s="2">
        <f t="shared" si="128"/>
        <v>286327638.17954481</v>
      </c>
      <c r="BM14" s="2">
        <f t="shared" si="129"/>
        <v>0</v>
      </c>
      <c r="BN14" s="2">
        <f t="shared" si="130"/>
        <v>0</v>
      </c>
      <c r="BO14" s="2">
        <f t="shared" si="131"/>
        <v>0</v>
      </c>
      <c r="BP14" s="2">
        <f t="shared" si="132"/>
        <v>0</v>
      </c>
      <c r="BQ14" s="2">
        <f t="shared" si="133"/>
        <v>0</v>
      </c>
      <c r="BR14" s="2">
        <f t="shared" si="134"/>
        <v>0</v>
      </c>
      <c r="BS14" s="2">
        <f t="shared" si="135"/>
        <v>0</v>
      </c>
      <c r="BT14" s="2">
        <f t="shared" si="136"/>
        <v>0</v>
      </c>
      <c r="BU14" s="2">
        <f t="shared" si="137"/>
        <v>0</v>
      </c>
      <c r="BV14" s="2">
        <f t="shared" si="138"/>
        <v>0</v>
      </c>
      <c r="BW14" s="1844">
        <v>13</v>
      </c>
      <c r="BX14" s="1724">
        <f t="shared" si="139"/>
        <v>3722259296.3340826</v>
      </c>
      <c r="BY14" s="1724">
        <f t="shared" si="3"/>
        <v>0</v>
      </c>
      <c r="BZ14" s="1724">
        <f t="shared" si="4"/>
        <v>0</v>
      </c>
      <c r="CA14" s="1724">
        <f t="shared" si="5"/>
        <v>0</v>
      </c>
      <c r="CB14" s="1724">
        <f t="shared" si="6"/>
        <v>0</v>
      </c>
      <c r="CC14" s="1724">
        <f t="shared" si="7"/>
        <v>0</v>
      </c>
      <c r="CD14" s="1724">
        <f t="shared" si="8"/>
        <v>0</v>
      </c>
      <c r="CE14" s="1724">
        <f t="shared" si="9"/>
        <v>0</v>
      </c>
      <c r="CF14" s="1724">
        <f t="shared" si="10"/>
        <v>0</v>
      </c>
      <c r="CG14" s="1724">
        <f t="shared" si="11"/>
        <v>0</v>
      </c>
      <c r="CH14" s="75"/>
      <c r="CM14" s="638"/>
      <c r="CN14" s="1847">
        <v>11</v>
      </c>
      <c r="CO14" s="1846"/>
      <c r="CP14" s="2">
        <v>38976464.174864054</v>
      </c>
      <c r="CQ14" s="638"/>
      <c r="CR14" s="646">
        <f t="shared" si="63"/>
        <v>38976464.174864054</v>
      </c>
      <c r="CS14" s="1141"/>
      <c r="CT14" s="952"/>
      <c r="CU14" s="641"/>
      <c r="CV14" s="641"/>
      <c r="CW14" s="641"/>
      <c r="CX14" s="641"/>
      <c r="CY14" s="641"/>
      <c r="CZ14" s="641"/>
      <c r="DA14" s="641"/>
      <c r="DB14" s="638"/>
      <c r="DC14" s="638"/>
      <c r="DD14" s="638"/>
      <c r="DE14" s="638"/>
      <c r="DF14" s="451"/>
      <c r="DG14" s="647">
        <v>11</v>
      </c>
      <c r="DH14" s="2">
        <v>100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451">
        <v>0</v>
      </c>
      <c r="DS14" s="1847">
        <v>11</v>
      </c>
      <c r="DT14" s="192">
        <f t="shared" si="35"/>
        <v>38976464.174864054</v>
      </c>
      <c r="DU14" s="192">
        <f t="shared" si="36"/>
        <v>0</v>
      </c>
      <c r="DV14" s="192">
        <f t="shared" si="37"/>
        <v>0</v>
      </c>
      <c r="DW14" s="192">
        <f t="shared" si="38"/>
        <v>0</v>
      </c>
      <c r="DX14" s="192">
        <f t="shared" si="39"/>
        <v>0</v>
      </c>
      <c r="DY14" s="192">
        <f t="shared" si="40"/>
        <v>0</v>
      </c>
      <c r="DZ14" s="192">
        <f t="shared" si="41"/>
        <v>0</v>
      </c>
      <c r="EA14" s="192">
        <f t="shared" si="42"/>
        <v>0</v>
      </c>
      <c r="EB14" s="192">
        <f t="shared" si="43"/>
        <v>0</v>
      </c>
      <c r="EC14" s="192">
        <f t="shared" si="44"/>
        <v>0</v>
      </c>
      <c r="ED14" s="192">
        <f t="shared" si="45"/>
        <v>0</v>
      </c>
      <c r="EE14" s="667">
        <f t="shared" si="46"/>
        <v>38976464.174864054</v>
      </c>
      <c r="EH14" s="978">
        <v>12</v>
      </c>
      <c r="EI14" s="974">
        <v>100</v>
      </c>
      <c r="EJ14" s="974"/>
      <c r="EK14" s="974"/>
      <c r="EL14" s="974"/>
      <c r="EM14" s="974"/>
      <c r="EN14" s="974"/>
      <c r="EO14" s="974"/>
      <c r="EP14" s="974"/>
      <c r="EQ14" s="974"/>
      <c r="ER14" s="974"/>
      <c r="ES14" s="974"/>
      <c r="EX14" s="975">
        <v>100</v>
      </c>
      <c r="EY14" s="357">
        <v>0</v>
      </c>
      <c r="EZ14" s="989">
        <f t="shared" si="64"/>
        <v>0</v>
      </c>
      <c r="FA14" s="989">
        <f t="shared" si="47"/>
        <v>0</v>
      </c>
      <c r="FB14" s="989">
        <f t="shared" si="48"/>
        <v>0</v>
      </c>
      <c r="FC14" s="989">
        <f t="shared" si="49"/>
        <v>0</v>
      </c>
      <c r="FD14" s="989">
        <f t="shared" si="50"/>
        <v>0</v>
      </c>
      <c r="FE14" s="989">
        <f t="shared" si="51"/>
        <v>0</v>
      </c>
      <c r="FF14" s="989">
        <f t="shared" si="52"/>
        <v>0</v>
      </c>
      <c r="FG14" s="989">
        <f t="shared" si="53"/>
        <v>0</v>
      </c>
      <c r="FH14" s="989">
        <f t="shared" si="54"/>
        <v>0</v>
      </c>
      <c r="FI14" s="989">
        <f t="shared" si="55"/>
        <v>0</v>
      </c>
      <c r="FJ14" s="989">
        <f t="shared" si="56"/>
        <v>0</v>
      </c>
      <c r="FM14" s="1005">
        <v>12</v>
      </c>
      <c r="FN14" s="1003">
        <v>100</v>
      </c>
      <c r="FO14" s="1003"/>
      <c r="FP14" s="1003"/>
      <c r="FQ14" s="1003"/>
      <c r="FR14" s="1003"/>
      <c r="FS14" s="1003"/>
      <c r="FT14" s="1003"/>
      <c r="FU14" s="1003"/>
      <c r="FV14" s="1003"/>
      <c r="FW14" s="1003"/>
      <c r="FX14" s="1003"/>
      <c r="FY14" s="1003"/>
      <c r="FZ14" s="1003"/>
      <c r="GA14" s="1003"/>
      <c r="GB14" s="1004">
        <v>100</v>
      </c>
      <c r="GC14" s="1005">
        <v>12</v>
      </c>
      <c r="GD14" s="2">
        <v>473700.22355882032</v>
      </c>
      <c r="GE14" s="989">
        <f t="shared" si="57"/>
        <v>473700.22355882032</v>
      </c>
      <c r="GF14" s="989">
        <f t="shared" si="65"/>
        <v>0</v>
      </c>
      <c r="GG14" s="989">
        <f t="shared" si="65"/>
        <v>0</v>
      </c>
      <c r="GH14" s="989">
        <f t="shared" si="65"/>
        <v>0</v>
      </c>
      <c r="GI14" s="989">
        <f t="shared" si="65"/>
        <v>0</v>
      </c>
      <c r="GJ14" s="989">
        <f t="shared" si="65"/>
        <v>0</v>
      </c>
      <c r="GK14" s="989">
        <f t="shared" si="65"/>
        <v>0</v>
      </c>
      <c r="GL14" s="989">
        <f t="shared" si="65"/>
        <v>0</v>
      </c>
      <c r="GM14" s="989">
        <f t="shared" si="65"/>
        <v>0</v>
      </c>
      <c r="GN14" s="989">
        <f t="shared" si="65"/>
        <v>0</v>
      </c>
      <c r="GO14" s="989">
        <f t="shared" si="65"/>
        <v>0</v>
      </c>
      <c r="GP14" s="989">
        <f t="shared" si="65"/>
        <v>0</v>
      </c>
      <c r="GQ14" s="989">
        <f t="shared" si="65"/>
        <v>0</v>
      </c>
      <c r="GR14" s="989">
        <f t="shared" si="65"/>
        <v>0</v>
      </c>
      <c r="GX14" s="1034">
        <v>12</v>
      </c>
      <c r="GY14" s="1">
        <v>2022473.4028146262</v>
      </c>
      <c r="GZ14" s="1848">
        <v>100</v>
      </c>
      <c r="HA14" s="1848"/>
      <c r="HB14" s="1848"/>
      <c r="HC14" s="1848"/>
      <c r="HD14" s="1848"/>
      <c r="HE14" s="1848"/>
      <c r="HF14" s="1848"/>
      <c r="HG14" s="1848"/>
      <c r="HH14" s="1848"/>
      <c r="HI14" s="1848"/>
      <c r="HJ14" s="1848"/>
      <c r="HK14" s="1848"/>
      <c r="HL14" s="1848"/>
      <c r="HM14" s="1848">
        <f t="shared" si="66"/>
        <v>100</v>
      </c>
      <c r="HN14" s="989">
        <f t="shared" si="67"/>
        <v>2022473.402814626</v>
      </c>
      <c r="HO14" s="989">
        <f t="shared" si="68"/>
        <v>0</v>
      </c>
      <c r="HP14" s="989">
        <f t="shared" si="69"/>
        <v>0</v>
      </c>
      <c r="HQ14" s="989">
        <f t="shared" si="70"/>
        <v>0</v>
      </c>
      <c r="HR14" s="989">
        <f t="shared" si="71"/>
        <v>0</v>
      </c>
      <c r="HS14" s="989">
        <f t="shared" si="72"/>
        <v>0</v>
      </c>
      <c r="HT14" s="989">
        <f t="shared" si="73"/>
        <v>0</v>
      </c>
      <c r="HU14" s="989">
        <f t="shared" si="74"/>
        <v>0</v>
      </c>
      <c r="HV14" s="989">
        <f t="shared" si="75"/>
        <v>0</v>
      </c>
      <c r="HW14" s="989">
        <f t="shared" si="76"/>
        <v>0</v>
      </c>
      <c r="HX14" s="989">
        <f t="shared" si="77"/>
        <v>0</v>
      </c>
      <c r="HY14" s="989">
        <f t="shared" si="78"/>
        <v>0</v>
      </c>
      <c r="HZ14" s="989">
        <f t="shared" si="79"/>
        <v>0</v>
      </c>
      <c r="IE14" s="1">
        <v>0</v>
      </c>
      <c r="IF14" s="1">
        <v>7</v>
      </c>
      <c r="IG14" s="553">
        <v>100</v>
      </c>
      <c r="IS14" s="121">
        <v>7</v>
      </c>
      <c r="IT14" s="989">
        <f t="shared" si="80"/>
        <v>0</v>
      </c>
      <c r="IU14" s="989">
        <f t="shared" si="81"/>
        <v>0</v>
      </c>
      <c r="IV14" s="989">
        <f t="shared" si="82"/>
        <v>0</v>
      </c>
      <c r="IW14" s="989">
        <f t="shared" si="83"/>
        <v>0</v>
      </c>
      <c r="IX14" s="989">
        <f t="shared" si="84"/>
        <v>0</v>
      </c>
      <c r="IY14" s="989">
        <f t="shared" si="85"/>
        <v>0</v>
      </c>
      <c r="IZ14" s="989">
        <f t="shared" si="86"/>
        <v>0</v>
      </c>
      <c r="JA14" s="989">
        <f t="shared" si="87"/>
        <v>0</v>
      </c>
      <c r="JB14" s="989">
        <f t="shared" si="88"/>
        <v>0</v>
      </c>
      <c r="JC14" s="989">
        <f t="shared" si="89"/>
        <v>0</v>
      </c>
      <c r="JD14" s="989">
        <f t="shared" si="90"/>
        <v>0</v>
      </c>
      <c r="JE14" s="989">
        <f t="shared" si="91"/>
        <v>0</v>
      </c>
      <c r="JG14" s="1">
        <v>0</v>
      </c>
      <c r="JH14" s="1002">
        <v>7</v>
      </c>
      <c r="JJ14" s="1">
        <v>100</v>
      </c>
      <c r="JW14" s="989">
        <f t="shared" si="103"/>
        <v>0</v>
      </c>
      <c r="JX14" s="989">
        <f t="shared" si="104"/>
        <v>0</v>
      </c>
      <c r="JY14" s="989">
        <f t="shared" si="92"/>
        <v>0</v>
      </c>
      <c r="JZ14" s="989">
        <f t="shared" si="93"/>
        <v>0</v>
      </c>
      <c r="KA14" s="989">
        <f t="shared" si="94"/>
        <v>0</v>
      </c>
      <c r="KB14" s="989">
        <f t="shared" si="95"/>
        <v>0</v>
      </c>
      <c r="KC14" s="989">
        <f t="shared" si="96"/>
        <v>0</v>
      </c>
      <c r="KD14" s="989">
        <f t="shared" si="97"/>
        <v>0</v>
      </c>
      <c r="KE14" s="989">
        <f t="shared" si="98"/>
        <v>0</v>
      </c>
      <c r="KF14" s="989">
        <f t="shared" si="99"/>
        <v>0</v>
      </c>
      <c r="KG14" s="989">
        <f t="shared" si="100"/>
        <v>0</v>
      </c>
      <c r="KJ14" s="192">
        <f t="shared" si="105"/>
        <v>0</v>
      </c>
      <c r="KK14" s="192">
        <f t="shared" si="106"/>
        <v>0</v>
      </c>
      <c r="KL14" s="192">
        <f t="shared" si="107"/>
        <v>0</v>
      </c>
      <c r="KM14" s="192">
        <f t="shared" si="108"/>
        <v>0</v>
      </c>
      <c r="KN14" s="192">
        <f t="shared" si="109"/>
        <v>0</v>
      </c>
      <c r="KO14" s="192">
        <f t="shared" si="110"/>
        <v>0</v>
      </c>
      <c r="KP14" s="192">
        <f t="shared" si="111"/>
        <v>0</v>
      </c>
      <c r="KQ14" s="192">
        <f t="shared" si="112"/>
        <v>0</v>
      </c>
      <c r="KR14" s="192">
        <f t="shared" si="113"/>
        <v>0</v>
      </c>
      <c r="KS14" s="192">
        <f t="shared" si="114"/>
        <v>0</v>
      </c>
      <c r="KT14" s="192">
        <f t="shared" si="115"/>
        <v>0</v>
      </c>
      <c r="KV14" s="1034">
        <v>12</v>
      </c>
      <c r="KW14" s="2">
        <v>19376423.805036169</v>
      </c>
      <c r="KX14" s="1">
        <v>100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J14" s="989">
        <f t="shared" si="141"/>
        <v>19376423.805036169</v>
      </c>
      <c r="LK14" s="989">
        <f t="shared" si="142"/>
        <v>0</v>
      </c>
      <c r="LL14" s="989">
        <f t="shared" si="143"/>
        <v>0</v>
      </c>
      <c r="LM14" s="989">
        <f t="shared" si="144"/>
        <v>0</v>
      </c>
      <c r="LN14" s="989">
        <f t="shared" si="145"/>
        <v>0</v>
      </c>
      <c r="LO14" s="989">
        <f t="shared" si="146"/>
        <v>0</v>
      </c>
      <c r="LP14" s="989">
        <f t="shared" si="147"/>
        <v>0</v>
      </c>
      <c r="LQ14" s="989">
        <f t="shared" si="148"/>
        <v>0</v>
      </c>
      <c r="LR14" s="989">
        <f t="shared" si="149"/>
        <v>0</v>
      </c>
      <c r="LS14" s="989">
        <f t="shared" si="150"/>
        <v>0</v>
      </c>
      <c r="LT14" s="989">
        <f t="shared" si="151"/>
        <v>0</v>
      </c>
      <c r="MU14" s="1034">
        <v>12</v>
      </c>
      <c r="MV14" s="57">
        <v>7976581.2111305054</v>
      </c>
      <c r="MW14" s="1964">
        <v>100</v>
      </c>
      <c r="MX14" s="1964"/>
      <c r="MY14" s="1964"/>
      <c r="MZ14" s="1964"/>
      <c r="NA14" s="1964"/>
      <c r="NB14" s="1964"/>
      <c r="NC14" s="1964"/>
      <c r="ND14" s="1964"/>
      <c r="NE14" s="1964"/>
      <c r="NF14" s="1964"/>
      <c r="NG14" s="1964"/>
      <c r="NJ14" s="989">
        <f t="shared" si="116"/>
        <v>7976581.2111305054</v>
      </c>
      <c r="NK14" s="989">
        <f t="shared" si="117"/>
        <v>0</v>
      </c>
      <c r="NL14" s="989">
        <f t="shared" si="118"/>
        <v>0</v>
      </c>
      <c r="NM14" s="989">
        <f t="shared" si="119"/>
        <v>0</v>
      </c>
      <c r="NN14" s="989">
        <f t="shared" si="120"/>
        <v>0</v>
      </c>
      <c r="NO14" s="989">
        <f t="shared" si="121"/>
        <v>0</v>
      </c>
      <c r="NP14" s="989">
        <f t="shared" si="122"/>
        <v>0</v>
      </c>
      <c r="NQ14" s="989">
        <f t="shared" si="123"/>
        <v>0</v>
      </c>
      <c r="NR14" s="989">
        <f t="shared" si="124"/>
        <v>0</v>
      </c>
      <c r="NS14" s="989">
        <f t="shared" si="125"/>
        <v>0</v>
      </c>
      <c r="NT14" s="989">
        <f t="shared" si="126"/>
        <v>0</v>
      </c>
    </row>
    <row r="15" spans="1:387" ht="16.8" thickTop="1" thickBot="1">
      <c r="A15" s="1822">
        <v>14</v>
      </c>
      <c r="B15" s="1134"/>
      <c r="C15" s="1134">
        <v>0</v>
      </c>
      <c r="D15" s="1199">
        <v>788670.0520427241</v>
      </c>
      <c r="E15" s="20"/>
      <c r="F15" s="1843">
        <f t="shared" si="12"/>
        <v>788670.0520427241</v>
      </c>
      <c r="G15" s="951">
        <v>90.027317355918939</v>
      </c>
      <c r="H15" s="806">
        <v>9.9726826440810719</v>
      </c>
      <c r="I15" s="806">
        <v>0</v>
      </c>
      <c r="J15" s="806">
        <v>0</v>
      </c>
      <c r="K15" s="806">
        <v>0</v>
      </c>
      <c r="L15" s="806">
        <v>0</v>
      </c>
      <c r="M15" s="806">
        <v>0</v>
      </c>
      <c r="N15" s="806">
        <v>0</v>
      </c>
      <c r="O15" s="806">
        <v>0</v>
      </c>
      <c r="P15" s="806">
        <v>0</v>
      </c>
      <c r="Q15" s="806"/>
      <c r="R15" s="806"/>
      <c r="S15" s="2"/>
      <c r="T15" s="114">
        <v>14</v>
      </c>
      <c r="U15" s="2">
        <f t="shared" si="127"/>
        <v>710018.4906435943</v>
      </c>
      <c r="V15" s="2">
        <f t="shared" si="13"/>
        <v>78651.561399129903</v>
      </c>
      <c r="W15" s="2">
        <f t="shared" si="14"/>
        <v>0</v>
      </c>
      <c r="X15" s="2">
        <f t="shared" si="15"/>
        <v>0</v>
      </c>
      <c r="Y15" s="2">
        <f t="shared" si="16"/>
        <v>0</v>
      </c>
      <c r="Z15" s="2">
        <f t="shared" si="17"/>
        <v>0</v>
      </c>
      <c r="AA15" s="2">
        <f t="shared" si="18"/>
        <v>0</v>
      </c>
      <c r="AB15" s="2">
        <f t="shared" si="19"/>
        <v>0</v>
      </c>
      <c r="AC15" s="2">
        <f t="shared" si="20"/>
        <v>0</v>
      </c>
      <c r="AD15" s="2">
        <f t="shared" si="21"/>
        <v>0</v>
      </c>
      <c r="AE15" s="2">
        <f t="shared" si="22"/>
        <v>0</v>
      </c>
      <c r="AF15" s="1844">
        <v>14</v>
      </c>
      <c r="AG15" s="1724">
        <f t="shared" si="23"/>
        <v>9940258.8690103199</v>
      </c>
      <c r="AH15" s="1724">
        <f t="shared" si="24"/>
        <v>1101121.8595878186</v>
      </c>
      <c r="AI15" s="1724">
        <f t="shared" si="25"/>
        <v>0</v>
      </c>
      <c r="AJ15" s="1724">
        <f t="shared" si="26"/>
        <v>0</v>
      </c>
      <c r="AK15" s="1724">
        <f t="shared" si="27"/>
        <v>0</v>
      </c>
      <c r="AL15" s="1724">
        <f t="shared" si="28"/>
        <v>0</v>
      </c>
      <c r="AM15" s="1724">
        <f t="shared" si="29"/>
        <v>0</v>
      </c>
      <c r="AN15" s="1724">
        <f t="shared" si="30"/>
        <v>0</v>
      </c>
      <c r="AO15" s="1724">
        <f t="shared" si="31"/>
        <v>0</v>
      </c>
      <c r="AP15" s="1724">
        <f t="shared" si="32"/>
        <v>0</v>
      </c>
      <c r="AR15" s="1822">
        <v>14</v>
      </c>
      <c r="AS15" s="1134"/>
      <c r="AT15" s="1">
        <v>8756357.2352820467</v>
      </c>
      <c r="AU15" s="1">
        <v>83049571.380792692</v>
      </c>
      <c r="AV15" s="20"/>
      <c r="AW15" s="1843">
        <f t="shared" si="33"/>
        <v>91805928.616074741</v>
      </c>
      <c r="AX15" s="807">
        <v>50</v>
      </c>
      <c r="AY15" s="953">
        <v>50</v>
      </c>
      <c r="AZ15" s="1849"/>
      <c r="BA15" s="1849"/>
      <c r="BB15" s="1849"/>
      <c r="BC15" s="1849"/>
      <c r="BD15" s="1849"/>
      <c r="BE15" s="1849"/>
      <c r="BF15" s="806"/>
      <c r="BG15" s="806"/>
      <c r="BH15" s="806"/>
      <c r="BI15" s="806"/>
      <c r="BJ15" s="2"/>
      <c r="BK15" s="114">
        <v>14</v>
      </c>
      <c r="BL15" s="2">
        <f t="shared" si="128"/>
        <v>45902964.30803737</v>
      </c>
      <c r="BM15" s="2">
        <f t="shared" si="129"/>
        <v>45902964.30803737</v>
      </c>
      <c r="BN15" s="2">
        <f t="shared" si="130"/>
        <v>0</v>
      </c>
      <c r="BO15" s="2">
        <f t="shared" si="131"/>
        <v>0</v>
      </c>
      <c r="BP15" s="2">
        <f t="shared" si="132"/>
        <v>0</v>
      </c>
      <c r="BQ15" s="2">
        <f t="shared" si="133"/>
        <v>0</v>
      </c>
      <c r="BR15" s="2">
        <f t="shared" si="134"/>
        <v>0</v>
      </c>
      <c r="BS15" s="2">
        <f t="shared" si="135"/>
        <v>0</v>
      </c>
      <c r="BT15" s="2">
        <f t="shared" si="136"/>
        <v>0</v>
      </c>
      <c r="BU15" s="2">
        <f t="shared" si="137"/>
        <v>0</v>
      </c>
      <c r="BV15" s="2">
        <f t="shared" si="138"/>
        <v>0</v>
      </c>
      <c r="BW15" s="1844">
        <v>14</v>
      </c>
      <c r="BX15" s="1724">
        <f t="shared" si="139"/>
        <v>642641500.31252313</v>
      </c>
      <c r="BY15" s="1724">
        <f t="shared" si="3"/>
        <v>642641500.31252313</v>
      </c>
      <c r="BZ15" s="1724">
        <f t="shared" si="4"/>
        <v>0</v>
      </c>
      <c r="CA15" s="1724">
        <f t="shared" si="5"/>
        <v>0</v>
      </c>
      <c r="CB15" s="1724">
        <f t="shared" si="6"/>
        <v>0</v>
      </c>
      <c r="CC15" s="1724">
        <f t="shared" si="7"/>
        <v>0</v>
      </c>
      <c r="CD15" s="1724">
        <f t="shared" si="8"/>
        <v>0</v>
      </c>
      <c r="CE15" s="1724">
        <f t="shared" si="9"/>
        <v>0</v>
      </c>
      <c r="CF15" s="1724">
        <f t="shared" si="10"/>
        <v>0</v>
      </c>
      <c r="CG15" s="1724">
        <f t="shared" si="11"/>
        <v>0</v>
      </c>
      <c r="CH15" s="75"/>
      <c r="CM15" s="638"/>
      <c r="CN15" s="1847">
        <v>12</v>
      </c>
      <c r="CO15" s="1846"/>
      <c r="CP15" s="2">
        <v>24903345.859907523</v>
      </c>
      <c r="CQ15" s="638"/>
      <c r="CR15" s="646">
        <f t="shared" si="63"/>
        <v>24903345.859907523</v>
      </c>
      <c r="CS15" s="1141"/>
      <c r="CT15" s="952"/>
      <c r="CU15" s="641"/>
      <c r="CV15" s="641"/>
      <c r="CW15" s="641"/>
      <c r="CX15" s="641"/>
      <c r="CY15" s="641"/>
      <c r="CZ15" s="641"/>
      <c r="DA15" s="641"/>
      <c r="DB15" s="638"/>
      <c r="DC15" s="638"/>
      <c r="DD15" s="638"/>
      <c r="DE15" s="638"/>
      <c r="DF15" s="451"/>
      <c r="DG15" s="647">
        <v>12</v>
      </c>
      <c r="DH15" s="2">
        <v>100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451">
        <v>0</v>
      </c>
      <c r="DS15" s="1847">
        <v>12</v>
      </c>
      <c r="DT15" s="192">
        <f t="shared" si="35"/>
        <v>24903345.859907523</v>
      </c>
      <c r="DU15" s="192">
        <f t="shared" si="36"/>
        <v>0</v>
      </c>
      <c r="DV15" s="192">
        <f t="shared" si="37"/>
        <v>0</v>
      </c>
      <c r="DW15" s="192">
        <f t="shared" si="38"/>
        <v>0</v>
      </c>
      <c r="DX15" s="192">
        <f t="shared" si="39"/>
        <v>0</v>
      </c>
      <c r="DY15" s="192">
        <f t="shared" si="40"/>
        <v>0</v>
      </c>
      <c r="DZ15" s="192">
        <f t="shared" si="41"/>
        <v>0</v>
      </c>
      <c r="EA15" s="192">
        <f t="shared" si="42"/>
        <v>0</v>
      </c>
      <c r="EB15" s="192">
        <f t="shared" si="43"/>
        <v>0</v>
      </c>
      <c r="EC15" s="192">
        <f t="shared" si="44"/>
        <v>0</v>
      </c>
      <c r="ED15" s="192">
        <f t="shared" si="45"/>
        <v>0</v>
      </c>
      <c r="EE15" s="667">
        <f t="shared" si="46"/>
        <v>24903345.859907523</v>
      </c>
      <c r="EH15" s="976">
        <v>13</v>
      </c>
      <c r="EI15" s="974">
        <v>100</v>
      </c>
      <c r="EJ15" s="974"/>
      <c r="EK15" s="974"/>
      <c r="EL15" s="974"/>
      <c r="EM15" s="974"/>
      <c r="EN15" s="974"/>
      <c r="EO15" s="974"/>
      <c r="EP15" s="974"/>
      <c r="EQ15" s="974"/>
      <c r="ER15" s="974"/>
      <c r="ES15" s="974"/>
      <c r="EX15" s="975">
        <v>100</v>
      </c>
      <c r="EY15" s="357">
        <v>12461831.166560775</v>
      </c>
      <c r="EZ15" s="989">
        <f t="shared" si="64"/>
        <v>12461831.166560775</v>
      </c>
      <c r="FA15" s="989">
        <f t="shared" si="47"/>
        <v>0</v>
      </c>
      <c r="FB15" s="989">
        <f t="shared" si="48"/>
        <v>0</v>
      </c>
      <c r="FC15" s="989">
        <f t="shared" si="49"/>
        <v>0</v>
      </c>
      <c r="FD15" s="989">
        <f t="shared" si="50"/>
        <v>0</v>
      </c>
      <c r="FE15" s="989">
        <f t="shared" si="51"/>
        <v>0</v>
      </c>
      <c r="FF15" s="989">
        <f t="shared" si="52"/>
        <v>0</v>
      </c>
      <c r="FG15" s="989">
        <f t="shared" si="53"/>
        <v>0</v>
      </c>
      <c r="FH15" s="989">
        <f t="shared" si="54"/>
        <v>0</v>
      </c>
      <c r="FI15" s="989">
        <f t="shared" si="55"/>
        <v>0</v>
      </c>
      <c r="FJ15" s="989">
        <f t="shared" si="56"/>
        <v>0</v>
      </c>
      <c r="FM15" s="1002">
        <v>13</v>
      </c>
      <c r="FN15" s="1003">
        <v>100</v>
      </c>
      <c r="FO15" s="1003"/>
      <c r="FP15" s="1003"/>
      <c r="FQ15" s="1003"/>
      <c r="FR15" s="1003"/>
      <c r="FS15" s="1003"/>
      <c r="FT15" s="1003"/>
      <c r="FU15" s="1003"/>
      <c r="FV15" s="1003"/>
      <c r="FW15" s="1003"/>
      <c r="FX15" s="1003"/>
      <c r="FY15" s="1003"/>
      <c r="FZ15" s="1003"/>
      <c r="GA15" s="1003"/>
      <c r="GB15" s="1004">
        <v>100</v>
      </c>
      <c r="GC15" s="1002">
        <v>13</v>
      </c>
      <c r="GD15" s="2">
        <v>595640.78560710582</v>
      </c>
      <c r="GE15" s="989">
        <f t="shared" ref="GE15:GE52" si="152">(FN15*$GD15)/100</f>
        <v>595640.78560710582</v>
      </c>
      <c r="GF15" s="989">
        <f t="shared" ref="GF15:GF52" si="153">(FO15*$GD15)/100</f>
        <v>0</v>
      </c>
      <c r="GG15" s="989">
        <f t="shared" ref="GG15:GG52" si="154">(FP15*$GD15)/100</f>
        <v>0</v>
      </c>
      <c r="GH15" s="989">
        <f t="shared" ref="GH15:GH52" si="155">(FQ15*$GD15)/100</f>
        <v>0</v>
      </c>
      <c r="GI15" s="989">
        <f t="shared" ref="GI15:GI52" si="156">(FR15*$GD15)/100</f>
        <v>0</v>
      </c>
      <c r="GJ15" s="989">
        <f t="shared" ref="GJ15:GJ52" si="157">(FS15*$GD15)/100</f>
        <v>0</v>
      </c>
      <c r="GK15" s="989">
        <f t="shared" ref="GK15:GK52" si="158">(FT15*$GD15)/100</f>
        <v>0</v>
      </c>
      <c r="GL15" s="989">
        <f t="shared" ref="GL15:GL52" si="159">(FU15*$GD15)/100</f>
        <v>0</v>
      </c>
      <c r="GM15" s="989">
        <f t="shared" ref="GM15:GM52" si="160">(FV15*$GD15)/100</f>
        <v>0</v>
      </c>
      <c r="GN15" s="989">
        <f t="shared" ref="GN15:GN52" si="161">(FW15*$GD15)/100</f>
        <v>0</v>
      </c>
      <c r="GO15" s="989">
        <f t="shared" ref="GO15:GO52" si="162">(FX15*$GD15)/100</f>
        <v>0</v>
      </c>
      <c r="GP15" s="989">
        <f t="shared" ref="GP15:GP52" si="163">(FY15*$GD15)/100</f>
        <v>0</v>
      </c>
      <c r="GQ15" s="989">
        <f t="shared" ref="GQ15:GQ52" si="164">(FZ15*$GD15)/100</f>
        <v>0</v>
      </c>
      <c r="GR15" s="989">
        <f t="shared" ref="GR15:GR52" si="165">(GA15*$GD15)/100</f>
        <v>0</v>
      </c>
      <c r="GX15" s="1033">
        <v>13</v>
      </c>
      <c r="GY15" s="1">
        <v>4470203.0602291729</v>
      </c>
      <c r="GZ15" s="1848">
        <v>100</v>
      </c>
      <c r="HA15" s="1848"/>
      <c r="HB15" s="1848"/>
      <c r="HC15" s="1848"/>
      <c r="HD15" s="1848"/>
      <c r="HE15" s="1848"/>
      <c r="HF15" s="1848"/>
      <c r="HG15" s="1848"/>
      <c r="HH15" s="1848"/>
      <c r="HI15" s="1848"/>
      <c r="HJ15" s="1848"/>
      <c r="HK15" s="1848"/>
      <c r="HL15" s="1848"/>
      <c r="HM15" s="1848">
        <f t="shared" si="66"/>
        <v>100</v>
      </c>
      <c r="HN15" s="989">
        <f t="shared" si="67"/>
        <v>4470203.0602291729</v>
      </c>
      <c r="HO15" s="989">
        <f t="shared" si="68"/>
        <v>0</v>
      </c>
      <c r="HP15" s="989">
        <f t="shared" si="69"/>
        <v>0</v>
      </c>
      <c r="HQ15" s="989">
        <f t="shared" si="70"/>
        <v>0</v>
      </c>
      <c r="HR15" s="989">
        <f t="shared" si="71"/>
        <v>0</v>
      </c>
      <c r="HS15" s="989">
        <f t="shared" si="72"/>
        <v>0</v>
      </c>
      <c r="HT15" s="989">
        <f t="shared" si="73"/>
        <v>0</v>
      </c>
      <c r="HU15" s="989">
        <f t="shared" si="74"/>
        <v>0</v>
      </c>
      <c r="HV15" s="989">
        <f t="shared" si="75"/>
        <v>0</v>
      </c>
      <c r="HW15" s="989">
        <f t="shared" si="76"/>
        <v>0</v>
      </c>
      <c r="HX15" s="989">
        <f t="shared" si="77"/>
        <v>0</v>
      </c>
      <c r="HY15" s="989">
        <f t="shared" si="78"/>
        <v>0</v>
      </c>
      <c r="HZ15" s="989">
        <f t="shared" si="79"/>
        <v>0</v>
      </c>
      <c r="IE15" s="1">
        <v>0</v>
      </c>
      <c r="IF15" s="1">
        <v>8</v>
      </c>
      <c r="IG15" s="553">
        <v>100</v>
      </c>
      <c r="IS15" s="121">
        <v>8</v>
      </c>
      <c r="IT15" s="989">
        <f t="shared" si="80"/>
        <v>0</v>
      </c>
      <c r="IU15" s="989">
        <f t="shared" si="81"/>
        <v>0</v>
      </c>
      <c r="IV15" s="989">
        <f t="shared" si="82"/>
        <v>0</v>
      </c>
      <c r="IW15" s="989">
        <f t="shared" si="83"/>
        <v>0</v>
      </c>
      <c r="IX15" s="989">
        <f t="shared" si="84"/>
        <v>0</v>
      </c>
      <c r="IY15" s="989">
        <f t="shared" si="85"/>
        <v>0</v>
      </c>
      <c r="IZ15" s="989">
        <f t="shared" si="86"/>
        <v>0</v>
      </c>
      <c r="JA15" s="989">
        <f t="shared" si="87"/>
        <v>0</v>
      </c>
      <c r="JB15" s="989">
        <f t="shared" si="88"/>
        <v>0</v>
      </c>
      <c r="JC15" s="989">
        <f t="shared" si="89"/>
        <v>0</v>
      </c>
      <c r="JD15" s="989">
        <f t="shared" si="90"/>
        <v>0</v>
      </c>
      <c r="JE15" s="989">
        <f t="shared" si="91"/>
        <v>0</v>
      </c>
      <c r="JG15" s="1">
        <v>0</v>
      </c>
      <c r="JH15" s="1005">
        <v>8</v>
      </c>
      <c r="JJ15" s="1">
        <v>100</v>
      </c>
      <c r="JW15" s="989">
        <f t="shared" si="103"/>
        <v>0</v>
      </c>
      <c r="JX15" s="989">
        <f t="shared" si="104"/>
        <v>0</v>
      </c>
      <c r="JY15" s="989">
        <f t="shared" si="92"/>
        <v>0</v>
      </c>
      <c r="JZ15" s="989">
        <f t="shared" si="93"/>
        <v>0</v>
      </c>
      <c r="KA15" s="989">
        <f t="shared" si="94"/>
        <v>0</v>
      </c>
      <c r="KB15" s="989">
        <f t="shared" si="95"/>
        <v>0</v>
      </c>
      <c r="KC15" s="989">
        <f t="shared" si="96"/>
        <v>0</v>
      </c>
      <c r="KD15" s="989">
        <f t="shared" si="97"/>
        <v>0</v>
      </c>
      <c r="KE15" s="989">
        <f t="shared" si="98"/>
        <v>0</v>
      </c>
      <c r="KF15" s="989">
        <f t="shared" si="99"/>
        <v>0</v>
      </c>
      <c r="KG15" s="989">
        <f t="shared" si="100"/>
        <v>0</v>
      </c>
      <c r="KJ15" s="192">
        <f t="shared" si="105"/>
        <v>0</v>
      </c>
      <c r="KK15" s="192">
        <f t="shared" si="106"/>
        <v>0</v>
      </c>
      <c r="KL15" s="192">
        <f t="shared" si="107"/>
        <v>0</v>
      </c>
      <c r="KM15" s="192">
        <f t="shared" si="108"/>
        <v>0</v>
      </c>
      <c r="KN15" s="192">
        <f t="shared" si="109"/>
        <v>0</v>
      </c>
      <c r="KO15" s="192">
        <f t="shared" si="110"/>
        <v>0</v>
      </c>
      <c r="KP15" s="192">
        <f t="shared" si="111"/>
        <v>0</v>
      </c>
      <c r="KQ15" s="192">
        <f t="shared" si="112"/>
        <v>0</v>
      </c>
      <c r="KR15" s="192">
        <f t="shared" si="113"/>
        <v>0</v>
      </c>
      <c r="KS15" s="192">
        <f t="shared" si="114"/>
        <v>0</v>
      </c>
      <c r="KT15" s="192">
        <f t="shared" si="115"/>
        <v>0</v>
      </c>
      <c r="KV15" s="1033">
        <v>13</v>
      </c>
      <c r="KW15" s="2">
        <v>16483518.777003158</v>
      </c>
      <c r="KX15" s="1">
        <v>100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J15" s="989">
        <f t="shared" si="141"/>
        <v>16483518.777003158</v>
      </c>
      <c r="LK15" s="989">
        <f t="shared" si="142"/>
        <v>0</v>
      </c>
      <c r="LL15" s="989">
        <f t="shared" si="143"/>
        <v>0</v>
      </c>
      <c r="LM15" s="989">
        <f t="shared" si="144"/>
        <v>0</v>
      </c>
      <c r="LN15" s="989">
        <f t="shared" si="145"/>
        <v>0</v>
      </c>
      <c r="LO15" s="989">
        <f t="shared" si="146"/>
        <v>0</v>
      </c>
      <c r="LP15" s="989">
        <f t="shared" si="147"/>
        <v>0</v>
      </c>
      <c r="LQ15" s="989">
        <f t="shared" si="148"/>
        <v>0</v>
      </c>
      <c r="LR15" s="989">
        <f t="shared" si="149"/>
        <v>0</v>
      </c>
      <c r="LS15" s="989">
        <f t="shared" si="150"/>
        <v>0</v>
      </c>
      <c r="LT15" s="989">
        <f t="shared" si="151"/>
        <v>0</v>
      </c>
      <c r="MU15" s="1033">
        <v>13</v>
      </c>
      <c r="MV15" s="57">
        <v>2073060.9840212204</v>
      </c>
      <c r="MW15" s="1964">
        <v>100</v>
      </c>
      <c r="MX15" s="1964"/>
      <c r="MY15" s="1964"/>
      <c r="MZ15" s="1964"/>
      <c r="NA15" s="1964"/>
      <c r="NB15" s="1964"/>
      <c r="NC15" s="1964"/>
      <c r="ND15" s="1964"/>
      <c r="NE15" s="1964"/>
      <c r="NF15" s="1964"/>
      <c r="NG15" s="1964"/>
      <c r="NJ15" s="989">
        <f t="shared" si="116"/>
        <v>2073060.9840212201</v>
      </c>
      <c r="NK15" s="989">
        <f t="shared" si="117"/>
        <v>0</v>
      </c>
      <c r="NL15" s="989">
        <f t="shared" si="118"/>
        <v>0</v>
      </c>
      <c r="NM15" s="989">
        <f t="shared" si="119"/>
        <v>0</v>
      </c>
      <c r="NN15" s="989">
        <f t="shared" si="120"/>
        <v>0</v>
      </c>
      <c r="NO15" s="989">
        <f t="shared" si="121"/>
        <v>0</v>
      </c>
      <c r="NP15" s="989">
        <f t="shared" si="122"/>
        <v>0</v>
      </c>
      <c r="NQ15" s="989">
        <f t="shared" si="123"/>
        <v>0</v>
      </c>
      <c r="NR15" s="989">
        <f t="shared" si="124"/>
        <v>0</v>
      </c>
      <c r="NS15" s="989">
        <f t="shared" si="125"/>
        <v>0</v>
      </c>
      <c r="NT15" s="989">
        <f t="shared" si="126"/>
        <v>0</v>
      </c>
    </row>
    <row r="16" spans="1:387" ht="16.8" thickTop="1" thickBot="1">
      <c r="A16" s="1822">
        <v>15</v>
      </c>
      <c r="B16" s="1199"/>
      <c r="C16" s="1134">
        <v>0</v>
      </c>
      <c r="D16" s="1199">
        <v>1371132.6729586527</v>
      </c>
      <c r="E16" s="20"/>
      <c r="F16" s="1843">
        <f t="shared" si="12"/>
        <v>1371132.6729586527</v>
      </c>
      <c r="G16" s="951">
        <v>60.628948112995353</v>
      </c>
      <c r="H16" s="806">
        <v>39.37105188700464</v>
      </c>
      <c r="I16" s="806">
        <v>0</v>
      </c>
      <c r="J16" s="806">
        <v>0</v>
      </c>
      <c r="K16" s="806">
        <v>0</v>
      </c>
      <c r="L16" s="806">
        <v>0</v>
      </c>
      <c r="M16" s="806">
        <v>0</v>
      </c>
      <c r="N16" s="806">
        <v>0</v>
      </c>
      <c r="O16" s="806">
        <v>0</v>
      </c>
      <c r="P16" s="806">
        <v>0</v>
      </c>
      <c r="Q16" s="806"/>
      <c r="R16" s="806"/>
      <c r="S16" s="2"/>
      <c r="T16" s="114">
        <v>15</v>
      </c>
      <c r="U16" s="2">
        <f t="shared" si="127"/>
        <v>831303.31684842776</v>
      </c>
      <c r="V16" s="2">
        <f t="shared" si="13"/>
        <v>539829.35611022485</v>
      </c>
      <c r="W16" s="2">
        <f t="shared" si="14"/>
        <v>0</v>
      </c>
      <c r="X16" s="2">
        <f t="shared" si="15"/>
        <v>0</v>
      </c>
      <c r="Y16" s="2">
        <f t="shared" si="16"/>
        <v>0</v>
      </c>
      <c r="Z16" s="2">
        <f t="shared" si="17"/>
        <v>0</v>
      </c>
      <c r="AA16" s="2">
        <f t="shared" si="18"/>
        <v>0</v>
      </c>
      <c r="AB16" s="2">
        <f t="shared" si="19"/>
        <v>0</v>
      </c>
      <c r="AC16" s="2">
        <f t="shared" si="20"/>
        <v>0</v>
      </c>
      <c r="AD16" s="2">
        <f t="shared" si="21"/>
        <v>0</v>
      </c>
      <c r="AE16" s="2">
        <f t="shared" si="22"/>
        <v>0</v>
      </c>
      <c r="AF16" s="1844">
        <v>15</v>
      </c>
      <c r="AG16" s="1724">
        <f t="shared" si="23"/>
        <v>12469549.752726417</v>
      </c>
      <c r="AH16" s="1724">
        <f t="shared" si="24"/>
        <v>8097440.3416533731</v>
      </c>
      <c r="AI16" s="1724">
        <f t="shared" si="25"/>
        <v>0</v>
      </c>
      <c r="AJ16" s="1724">
        <f t="shared" si="26"/>
        <v>0</v>
      </c>
      <c r="AK16" s="1724">
        <f t="shared" si="27"/>
        <v>0</v>
      </c>
      <c r="AL16" s="1724">
        <f t="shared" si="28"/>
        <v>0</v>
      </c>
      <c r="AM16" s="1724">
        <f t="shared" si="29"/>
        <v>0</v>
      </c>
      <c r="AN16" s="1724">
        <f t="shared" si="30"/>
        <v>0</v>
      </c>
      <c r="AO16" s="1724">
        <f t="shared" si="31"/>
        <v>0</v>
      </c>
      <c r="AP16" s="1724">
        <f t="shared" si="32"/>
        <v>0</v>
      </c>
      <c r="AR16" s="1822">
        <v>15</v>
      </c>
      <c r="AS16" s="1199"/>
      <c r="AT16" s="1">
        <v>2571409.3423909359</v>
      </c>
      <c r="AU16" s="1">
        <v>3363007.714116314</v>
      </c>
      <c r="AV16" s="20"/>
      <c r="AW16" s="1843">
        <f t="shared" si="33"/>
        <v>5934417.0565072503</v>
      </c>
      <c r="AX16" s="546">
        <v>20</v>
      </c>
      <c r="AY16" s="547">
        <v>80</v>
      </c>
      <c r="AZ16" s="548"/>
      <c r="BA16" s="548"/>
      <c r="BB16" s="548"/>
      <c r="BC16" s="548"/>
      <c r="BD16" s="548"/>
      <c r="BE16" s="548"/>
      <c r="BF16" s="806"/>
      <c r="BG16" s="806"/>
      <c r="BH16" s="806"/>
      <c r="BI16" s="806"/>
      <c r="BJ16" s="2"/>
      <c r="BK16" s="114">
        <v>15</v>
      </c>
      <c r="BL16" s="2">
        <f t="shared" si="128"/>
        <v>1186883.4113014501</v>
      </c>
      <c r="BM16" s="2">
        <f t="shared" si="129"/>
        <v>4747533.6452058004</v>
      </c>
      <c r="BN16" s="2">
        <f t="shared" si="130"/>
        <v>0</v>
      </c>
      <c r="BO16" s="2">
        <f t="shared" si="131"/>
        <v>0</v>
      </c>
      <c r="BP16" s="2">
        <f t="shared" si="132"/>
        <v>0</v>
      </c>
      <c r="BQ16" s="2">
        <f t="shared" si="133"/>
        <v>0</v>
      </c>
      <c r="BR16" s="2">
        <f t="shared" si="134"/>
        <v>0</v>
      </c>
      <c r="BS16" s="2">
        <f t="shared" si="135"/>
        <v>0</v>
      </c>
      <c r="BT16" s="2">
        <f t="shared" si="136"/>
        <v>0</v>
      </c>
      <c r="BU16" s="2">
        <f t="shared" si="137"/>
        <v>0</v>
      </c>
      <c r="BV16" s="2">
        <f t="shared" si="138"/>
        <v>0</v>
      </c>
      <c r="BW16" s="1844">
        <v>15</v>
      </c>
      <c r="BX16" s="1724">
        <f t="shared" si="139"/>
        <v>17803251.169521753</v>
      </c>
      <c r="BY16" s="1724">
        <f t="shared" si="3"/>
        <v>71213004.678087011</v>
      </c>
      <c r="BZ16" s="1724">
        <f t="shared" si="4"/>
        <v>0</v>
      </c>
      <c r="CA16" s="1724">
        <f t="shared" si="5"/>
        <v>0</v>
      </c>
      <c r="CB16" s="1724">
        <f t="shared" si="6"/>
        <v>0</v>
      </c>
      <c r="CC16" s="1724">
        <f t="shared" si="7"/>
        <v>0</v>
      </c>
      <c r="CD16" s="1724">
        <f t="shared" si="8"/>
        <v>0</v>
      </c>
      <c r="CE16" s="1724">
        <f t="shared" si="9"/>
        <v>0</v>
      </c>
      <c r="CF16" s="1724">
        <f t="shared" si="10"/>
        <v>0</v>
      </c>
      <c r="CG16" s="1724">
        <f t="shared" si="11"/>
        <v>0</v>
      </c>
      <c r="CH16" s="75"/>
      <c r="CM16" s="638"/>
      <c r="CN16" s="1847">
        <v>13</v>
      </c>
      <c r="CO16" s="1846"/>
      <c r="CP16" s="2">
        <v>17362330.132309854</v>
      </c>
      <c r="CQ16" s="2">
        <v>218041.23011971978</v>
      </c>
      <c r="CR16" s="646">
        <f t="shared" si="63"/>
        <v>17580371.362429574</v>
      </c>
      <c r="CS16" s="1141"/>
      <c r="CT16" s="952"/>
      <c r="CU16" s="808"/>
      <c r="CV16" s="808"/>
      <c r="CW16" s="808"/>
      <c r="CX16" s="808"/>
      <c r="CY16" s="808"/>
      <c r="CZ16" s="808"/>
      <c r="DA16" s="808"/>
      <c r="DB16" s="808"/>
      <c r="DC16" s="808"/>
      <c r="DD16" s="808"/>
      <c r="DE16" s="808"/>
      <c r="DF16" s="451"/>
      <c r="DG16" s="647">
        <v>13</v>
      </c>
      <c r="DH16" s="2">
        <v>100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451">
        <v>0</v>
      </c>
      <c r="DS16" s="1847">
        <v>13</v>
      </c>
      <c r="DT16" s="192">
        <f t="shared" si="35"/>
        <v>17580371.362429574</v>
      </c>
      <c r="DU16" s="192">
        <f t="shared" si="36"/>
        <v>0</v>
      </c>
      <c r="DV16" s="192">
        <f t="shared" si="37"/>
        <v>0</v>
      </c>
      <c r="DW16" s="192">
        <f t="shared" si="38"/>
        <v>0</v>
      </c>
      <c r="DX16" s="192">
        <f t="shared" si="39"/>
        <v>0</v>
      </c>
      <c r="DY16" s="192">
        <f t="shared" si="40"/>
        <v>0</v>
      </c>
      <c r="DZ16" s="192">
        <f t="shared" si="41"/>
        <v>0</v>
      </c>
      <c r="EA16" s="192">
        <f t="shared" si="42"/>
        <v>0</v>
      </c>
      <c r="EB16" s="192">
        <f t="shared" si="43"/>
        <v>0</v>
      </c>
      <c r="EC16" s="192">
        <f t="shared" si="44"/>
        <v>0</v>
      </c>
      <c r="ED16" s="192">
        <f t="shared" si="45"/>
        <v>0</v>
      </c>
      <c r="EE16" s="667">
        <f t="shared" si="46"/>
        <v>17580371.362429574</v>
      </c>
      <c r="EH16" s="978">
        <v>14</v>
      </c>
      <c r="EI16" s="974">
        <v>100</v>
      </c>
      <c r="EJ16" s="974"/>
      <c r="EK16" s="974"/>
      <c r="EL16" s="974"/>
      <c r="EM16" s="974"/>
      <c r="EN16" s="974"/>
      <c r="EO16" s="974"/>
      <c r="EP16" s="974"/>
      <c r="EQ16" s="974"/>
      <c r="ER16" s="974"/>
      <c r="ES16" s="974"/>
      <c r="EX16" s="977">
        <v>100</v>
      </c>
      <c r="EY16" s="357">
        <v>61879262.787809089</v>
      </c>
      <c r="EZ16" s="989">
        <f t="shared" si="64"/>
        <v>61879262.787809089</v>
      </c>
      <c r="FA16" s="989">
        <f t="shared" si="47"/>
        <v>0</v>
      </c>
      <c r="FB16" s="989">
        <f t="shared" si="48"/>
        <v>0</v>
      </c>
      <c r="FC16" s="989">
        <f t="shared" si="49"/>
        <v>0</v>
      </c>
      <c r="FD16" s="989">
        <f t="shared" si="50"/>
        <v>0</v>
      </c>
      <c r="FE16" s="989">
        <f t="shared" si="51"/>
        <v>0</v>
      </c>
      <c r="FF16" s="989">
        <f t="shared" si="52"/>
        <v>0</v>
      </c>
      <c r="FG16" s="989">
        <f t="shared" si="53"/>
        <v>0</v>
      </c>
      <c r="FH16" s="989">
        <f t="shared" si="54"/>
        <v>0</v>
      </c>
      <c r="FI16" s="989">
        <f t="shared" si="55"/>
        <v>0</v>
      </c>
      <c r="FJ16" s="989">
        <f t="shared" si="56"/>
        <v>0</v>
      </c>
      <c r="FM16" s="1002">
        <v>14</v>
      </c>
      <c r="FN16" s="1003">
        <v>100</v>
      </c>
      <c r="FO16" s="1003"/>
      <c r="FP16" s="1003"/>
      <c r="FQ16" s="1003"/>
      <c r="FR16" s="1003"/>
      <c r="FS16" s="1003"/>
      <c r="FT16" s="1003"/>
      <c r="FU16" s="1003"/>
      <c r="FV16" s="1003"/>
      <c r="FW16" s="1003"/>
      <c r="FX16" s="1003"/>
      <c r="FY16" s="1003"/>
      <c r="FZ16" s="1003"/>
      <c r="GA16" s="1003"/>
      <c r="GB16" s="1004">
        <v>100</v>
      </c>
      <c r="GC16" s="1002">
        <v>14</v>
      </c>
      <c r="GD16" s="2">
        <v>595206.00764439162</v>
      </c>
      <c r="GE16" s="989">
        <f t="shared" si="152"/>
        <v>595206.00764439162</v>
      </c>
      <c r="GF16" s="989">
        <f t="shared" si="153"/>
        <v>0</v>
      </c>
      <c r="GG16" s="989">
        <f t="shared" si="154"/>
        <v>0</v>
      </c>
      <c r="GH16" s="989">
        <f t="shared" si="155"/>
        <v>0</v>
      </c>
      <c r="GI16" s="989">
        <f t="shared" si="156"/>
        <v>0</v>
      </c>
      <c r="GJ16" s="989">
        <f t="shared" si="157"/>
        <v>0</v>
      </c>
      <c r="GK16" s="989">
        <f t="shared" si="158"/>
        <v>0</v>
      </c>
      <c r="GL16" s="989">
        <f t="shared" si="159"/>
        <v>0</v>
      </c>
      <c r="GM16" s="989">
        <f t="shared" si="160"/>
        <v>0</v>
      </c>
      <c r="GN16" s="989">
        <f t="shared" si="161"/>
        <v>0</v>
      </c>
      <c r="GO16" s="989">
        <f t="shared" si="162"/>
        <v>0</v>
      </c>
      <c r="GP16" s="989">
        <f t="shared" si="163"/>
        <v>0</v>
      </c>
      <c r="GQ16" s="989">
        <f t="shared" si="164"/>
        <v>0</v>
      </c>
      <c r="GR16" s="989">
        <f t="shared" si="165"/>
        <v>0</v>
      </c>
      <c r="GX16" s="1034">
        <v>14</v>
      </c>
      <c r="GY16" s="1">
        <v>12189353.512538772</v>
      </c>
      <c r="GZ16" s="1848">
        <v>100</v>
      </c>
      <c r="HA16" s="1848"/>
      <c r="HB16" s="1848"/>
      <c r="HC16" s="1848"/>
      <c r="HD16" s="1848"/>
      <c r="HE16" s="1848"/>
      <c r="HF16" s="1848"/>
      <c r="HG16" s="1848"/>
      <c r="HH16" s="1848"/>
      <c r="HI16" s="1848"/>
      <c r="HJ16" s="1848"/>
      <c r="HK16" s="1848"/>
      <c r="HL16" s="1848"/>
      <c r="HM16" s="1848">
        <f t="shared" si="66"/>
        <v>100</v>
      </c>
      <c r="HN16" s="989">
        <f t="shared" si="67"/>
        <v>12189353.512538772</v>
      </c>
      <c r="HO16" s="989">
        <f t="shared" si="68"/>
        <v>0</v>
      </c>
      <c r="HP16" s="989">
        <f t="shared" si="69"/>
        <v>0</v>
      </c>
      <c r="HQ16" s="989">
        <f t="shared" si="70"/>
        <v>0</v>
      </c>
      <c r="HR16" s="989">
        <f t="shared" si="71"/>
        <v>0</v>
      </c>
      <c r="HS16" s="989">
        <f t="shared" si="72"/>
        <v>0</v>
      </c>
      <c r="HT16" s="989">
        <f t="shared" si="73"/>
        <v>0</v>
      </c>
      <c r="HU16" s="989">
        <f t="shared" si="74"/>
        <v>0</v>
      </c>
      <c r="HV16" s="989">
        <f t="shared" si="75"/>
        <v>0</v>
      </c>
      <c r="HW16" s="989">
        <f t="shared" si="76"/>
        <v>0</v>
      </c>
      <c r="HX16" s="989">
        <f t="shared" si="77"/>
        <v>0</v>
      </c>
      <c r="HY16" s="989">
        <f t="shared" si="78"/>
        <v>0</v>
      </c>
      <c r="HZ16" s="989">
        <f t="shared" si="79"/>
        <v>0</v>
      </c>
      <c r="IE16" s="1">
        <v>0</v>
      </c>
      <c r="IF16" s="1">
        <v>9</v>
      </c>
      <c r="IG16" s="553">
        <v>100</v>
      </c>
      <c r="IS16" s="121">
        <v>9</v>
      </c>
      <c r="IT16" s="989">
        <f t="shared" si="80"/>
        <v>0</v>
      </c>
      <c r="IU16" s="989">
        <f t="shared" si="81"/>
        <v>0</v>
      </c>
      <c r="IV16" s="989">
        <f t="shared" si="82"/>
        <v>0</v>
      </c>
      <c r="IW16" s="989">
        <f t="shared" si="83"/>
        <v>0</v>
      </c>
      <c r="IX16" s="989">
        <f t="shared" si="84"/>
        <v>0</v>
      </c>
      <c r="IY16" s="989">
        <f t="shared" si="85"/>
        <v>0</v>
      </c>
      <c r="IZ16" s="989">
        <f t="shared" si="86"/>
        <v>0</v>
      </c>
      <c r="JA16" s="989">
        <f t="shared" si="87"/>
        <v>0</v>
      </c>
      <c r="JB16" s="989">
        <f t="shared" si="88"/>
        <v>0</v>
      </c>
      <c r="JC16" s="989">
        <f t="shared" si="89"/>
        <v>0</v>
      </c>
      <c r="JD16" s="989">
        <f t="shared" si="90"/>
        <v>0</v>
      </c>
      <c r="JE16" s="989">
        <f t="shared" si="91"/>
        <v>0</v>
      </c>
      <c r="JG16" s="1">
        <v>0</v>
      </c>
      <c r="JH16" s="1002">
        <v>9</v>
      </c>
      <c r="JJ16" s="1">
        <v>100</v>
      </c>
      <c r="JW16" s="989">
        <f t="shared" si="103"/>
        <v>0</v>
      </c>
      <c r="JX16" s="989">
        <f t="shared" si="104"/>
        <v>0</v>
      </c>
      <c r="JY16" s="989">
        <f t="shared" si="92"/>
        <v>0</v>
      </c>
      <c r="JZ16" s="989">
        <f t="shared" si="93"/>
        <v>0</v>
      </c>
      <c r="KA16" s="989">
        <f t="shared" si="94"/>
        <v>0</v>
      </c>
      <c r="KB16" s="989">
        <f t="shared" si="95"/>
        <v>0</v>
      </c>
      <c r="KC16" s="989">
        <f t="shared" si="96"/>
        <v>0</v>
      </c>
      <c r="KD16" s="989">
        <f t="shared" si="97"/>
        <v>0</v>
      </c>
      <c r="KE16" s="989">
        <f t="shared" si="98"/>
        <v>0</v>
      </c>
      <c r="KF16" s="989">
        <f t="shared" si="99"/>
        <v>0</v>
      </c>
      <c r="KG16" s="989">
        <f t="shared" si="100"/>
        <v>0</v>
      </c>
      <c r="KJ16" s="192">
        <f t="shared" si="105"/>
        <v>0</v>
      </c>
      <c r="KK16" s="192">
        <f t="shared" si="106"/>
        <v>0</v>
      </c>
      <c r="KL16" s="192">
        <f t="shared" si="107"/>
        <v>0</v>
      </c>
      <c r="KM16" s="192">
        <f t="shared" si="108"/>
        <v>0</v>
      </c>
      <c r="KN16" s="192">
        <f t="shared" si="109"/>
        <v>0</v>
      </c>
      <c r="KO16" s="192">
        <f t="shared" si="110"/>
        <v>0</v>
      </c>
      <c r="KP16" s="192">
        <f t="shared" si="111"/>
        <v>0</v>
      </c>
      <c r="KQ16" s="192">
        <f t="shared" si="112"/>
        <v>0</v>
      </c>
      <c r="KR16" s="192">
        <f t="shared" si="113"/>
        <v>0</v>
      </c>
      <c r="KS16" s="192">
        <f t="shared" si="114"/>
        <v>0</v>
      </c>
      <c r="KT16" s="192">
        <f t="shared" si="115"/>
        <v>0</v>
      </c>
      <c r="KV16" s="1034">
        <v>14</v>
      </c>
      <c r="KW16" s="2">
        <v>28687445.866775453</v>
      </c>
      <c r="KX16" s="1">
        <v>60</v>
      </c>
      <c r="KY16" s="1">
        <v>40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J16" s="989">
        <f t="shared" si="141"/>
        <v>17212467.52006527</v>
      </c>
      <c r="LK16" s="989">
        <f t="shared" si="142"/>
        <v>11474978.346710181</v>
      </c>
      <c r="LL16" s="989">
        <f t="shared" si="143"/>
        <v>0</v>
      </c>
      <c r="LM16" s="989">
        <f t="shared" si="144"/>
        <v>0</v>
      </c>
      <c r="LN16" s="989">
        <f t="shared" si="145"/>
        <v>0</v>
      </c>
      <c r="LO16" s="989">
        <f t="shared" si="146"/>
        <v>0</v>
      </c>
      <c r="LP16" s="989">
        <f t="shared" si="147"/>
        <v>0</v>
      </c>
      <c r="LQ16" s="989">
        <f t="shared" si="148"/>
        <v>0</v>
      </c>
      <c r="LR16" s="989">
        <f t="shared" si="149"/>
        <v>0</v>
      </c>
      <c r="LS16" s="989">
        <f t="shared" si="150"/>
        <v>0</v>
      </c>
      <c r="LT16" s="989">
        <f t="shared" si="151"/>
        <v>0</v>
      </c>
      <c r="LV16" s="2">
        <v>0</v>
      </c>
      <c r="LW16" s="1">
        <v>100</v>
      </c>
      <c r="MH16" s="1">
        <f t="shared" ref="MH16:MH49" si="166">SUM(LW16:MG16)</f>
        <v>100</v>
      </c>
      <c r="MI16" s="989">
        <f t="shared" ref="MI16:MI49" si="167">$LV16*LW16/100</f>
        <v>0</v>
      </c>
      <c r="MJ16" s="989">
        <f t="shared" ref="MJ16:MJ49" si="168">$LV16*LX16/100</f>
        <v>0</v>
      </c>
      <c r="MK16" s="989">
        <f t="shared" ref="MK16:MK49" si="169">$LV16*LY16/100</f>
        <v>0</v>
      </c>
      <c r="ML16" s="989">
        <f t="shared" ref="ML16:ML49" si="170">$LV16*LZ16/100</f>
        <v>0</v>
      </c>
      <c r="MM16" s="989">
        <f t="shared" ref="MM16:MM49" si="171">$LV16*MA16/100</f>
        <v>0</v>
      </c>
      <c r="MN16" s="989">
        <f t="shared" ref="MN16:MN49" si="172">$LV16*MB16/100</f>
        <v>0</v>
      </c>
      <c r="MO16" s="989">
        <f t="shared" ref="MO16:MO49" si="173">$LV16*MC16/100</f>
        <v>0</v>
      </c>
      <c r="MP16" s="989">
        <f t="shared" ref="MP16:MP49" si="174">$LV16*MD16/100</f>
        <v>0</v>
      </c>
      <c r="MQ16" s="989">
        <f t="shared" ref="MQ16:MQ49" si="175">$LV16*ME16/100</f>
        <v>0</v>
      </c>
      <c r="MR16" s="989">
        <f t="shared" ref="MR16:MR49" si="176">$LV16*MF16/100</f>
        <v>0</v>
      </c>
      <c r="MS16" s="989">
        <f t="shared" ref="MS16:MS49" si="177">$LV16*MG16/100</f>
        <v>0</v>
      </c>
      <c r="MU16" s="1034">
        <v>14</v>
      </c>
      <c r="MV16" s="57">
        <v>9480836.199281577</v>
      </c>
      <c r="MW16" s="1964">
        <v>100</v>
      </c>
      <c r="MX16" s="1964"/>
      <c r="MY16" s="1964"/>
      <c r="MZ16" s="1964"/>
      <c r="NA16" s="1964"/>
      <c r="NB16" s="1964"/>
      <c r="NC16" s="1964"/>
      <c r="ND16" s="1964"/>
      <c r="NE16" s="1964"/>
      <c r="NF16" s="1964"/>
      <c r="NG16" s="1964"/>
      <c r="NJ16" s="989">
        <f t="shared" si="116"/>
        <v>9480836.199281577</v>
      </c>
      <c r="NK16" s="989">
        <f t="shared" si="117"/>
        <v>0</v>
      </c>
      <c r="NL16" s="989">
        <f t="shared" si="118"/>
        <v>0</v>
      </c>
      <c r="NM16" s="989">
        <f t="shared" si="119"/>
        <v>0</v>
      </c>
      <c r="NN16" s="989">
        <f t="shared" si="120"/>
        <v>0</v>
      </c>
      <c r="NO16" s="989">
        <f t="shared" si="121"/>
        <v>0</v>
      </c>
      <c r="NP16" s="989">
        <f t="shared" si="122"/>
        <v>0</v>
      </c>
      <c r="NQ16" s="989">
        <f t="shared" si="123"/>
        <v>0</v>
      </c>
      <c r="NR16" s="989">
        <f t="shared" si="124"/>
        <v>0</v>
      </c>
      <c r="NS16" s="989">
        <f t="shared" si="125"/>
        <v>0</v>
      </c>
      <c r="NT16" s="989">
        <f t="shared" si="126"/>
        <v>0</v>
      </c>
    </row>
    <row r="17" spans="1:384" ht="16.8" thickTop="1" thickBot="1">
      <c r="A17" s="1822">
        <v>16</v>
      </c>
      <c r="B17" s="1199"/>
      <c r="C17" s="1134">
        <v>0</v>
      </c>
      <c r="D17" s="1199">
        <v>1460344.5464318907</v>
      </c>
      <c r="E17" s="20"/>
      <c r="F17" s="1843">
        <f t="shared" si="12"/>
        <v>1460344.5464318907</v>
      </c>
      <c r="G17" s="951">
        <v>21.980627735776135</v>
      </c>
      <c r="H17" s="806">
        <v>78.019372264223861</v>
      </c>
      <c r="I17" s="806">
        <v>0</v>
      </c>
      <c r="J17" s="806">
        <v>0</v>
      </c>
      <c r="K17" s="806">
        <v>0</v>
      </c>
      <c r="L17" s="806">
        <v>0</v>
      </c>
      <c r="M17" s="806">
        <v>0</v>
      </c>
      <c r="N17" s="806">
        <v>0</v>
      </c>
      <c r="O17" s="806">
        <v>0</v>
      </c>
      <c r="P17" s="806">
        <v>0</v>
      </c>
      <c r="Q17" s="806"/>
      <c r="R17" s="806"/>
      <c r="S17" s="2"/>
      <c r="T17" s="114">
        <v>16</v>
      </c>
      <c r="U17" s="2">
        <f t="shared" si="127"/>
        <v>320992.89841090236</v>
      </c>
      <c r="V17" s="2">
        <f t="shared" si="13"/>
        <v>1139351.6480209883</v>
      </c>
      <c r="W17" s="2">
        <f t="shared" si="14"/>
        <v>0</v>
      </c>
      <c r="X17" s="2">
        <f t="shared" si="15"/>
        <v>0</v>
      </c>
      <c r="Y17" s="2">
        <f t="shared" si="16"/>
        <v>0</v>
      </c>
      <c r="Z17" s="2">
        <f t="shared" si="17"/>
        <v>0</v>
      </c>
      <c r="AA17" s="2">
        <f t="shared" si="18"/>
        <v>0</v>
      </c>
      <c r="AB17" s="2">
        <f t="shared" si="19"/>
        <v>0</v>
      </c>
      <c r="AC17" s="2">
        <f t="shared" si="20"/>
        <v>0</v>
      </c>
      <c r="AD17" s="2">
        <f t="shared" si="21"/>
        <v>0</v>
      </c>
      <c r="AE17" s="2">
        <f t="shared" si="22"/>
        <v>0</v>
      </c>
      <c r="AF17" s="1844">
        <v>16</v>
      </c>
      <c r="AG17" s="1724">
        <f t="shared" si="23"/>
        <v>5135886.3745744377</v>
      </c>
      <c r="AH17" s="1724">
        <f t="shared" si="24"/>
        <v>18229626.368335813</v>
      </c>
      <c r="AI17" s="1724">
        <f t="shared" si="25"/>
        <v>0</v>
      </c>
      <c r="AJ17" s="1724">
        <f t="shared" si="26"/>
        <v>0</v>
      </c>
      <c r="AK17" s="1724">
        <f t="shared" si="27"/>
        <v>0</v>
      </c>
      <c r="AL17" s="1724">
        <f t="shared" si="28"/>
        <v>0</v>
      </c>
      <c r="AM17" s="1724">
        <f t="shared" si="29"/>
        <v>0</v>
      </c>
      <c r="AN17" s="1724">
        <f t="shared" si="30"/>
        <v>0</v>
      </c>
      <c r="AO17" s="1724">
        <f t="shared" si="31"/>
        <v>0</v>
      </c>
      <c r="AP17" s="1724">
        <f t="shared" si="32"/>
        <v>0</v>
      </c>
      <c r="AR17" s="1822">
        <v>16</v>
      </c>
      <c r="AS17" s="1199"/>
      <c r="AT17" s="1">
        <v>1104406.4721340791</v>
      </c>
      <c r="AU17" s="1">
        <v>4518791.1232722495</v>
      </c>
      <c r="AV17" s="20"/>
      <c r="AW17" s="1843">
        <f t="shared" si="33"/>
        <v>5623197.5954063283</v>
      </c>
      <c r="AX17" s="807"/>
      <c r="AY17" s="953">
        <v>100</v>
      </c>
      <c r="AZ17" s="1849"/>
      <c r="BA17" s="1849"/>
      <c r="BB17" s="1849"/>
      <c r="BC17" s="1849"/>
      <c r="BD17" s="1849"/>
      <c r="BE17" s="1849"/>
      <c r="BF17" s="806"/>
      <c r="BG17" s="806"/>
      <c r="BH17" s="806"/>
      <c r="BI17" s="806"/>
      <c r="BJ17" s="2"/>
      <c r="BK17" s="114">
        <v>16</v>
      </c>
      <c r="BL17" s="2">
        <f t="shared" si="128"/>
        <v>0</v>
      </c>
      <c r="BM17" s="2">
        <f t="shared" si="129"/>
        <v>5623197.5954063283</v>
      </c>
      <c r="BN17" s="2">
        <f t="shared" si="130"/>
        <v>0</v>
      </c>
      <c r="BO17" s="2">
        <f t="shared" si="131"/>
        <v>0</v>
      </c>
      <c r="BP17" s="2">
        <f t="shared" si="132"/>
        <v>0</v>
      </c>
      <c r="BQ17" s="2">
        <f t="shared" si="133"/>
        <v>0</v>
      </c>
      <c r="BR17" s="2">
        <f t="shared" si="134"/>
        <v>0</v>
      </c>
      <c r="BS17" s="2">
        <f t="shared" si="135"/>
        <v>0</v>
      </c>
      <c r="BT17" s="2">
        <f t="shared" si="136"/>
        <v>0</v>
      </c>
      <c r="BU17" s="2">
        <f t="shared" si="137"/>
        <v>0</v>
      </c>
      <c r="BV17" s="2">
        <f t="shared" si="138"/>
        <v>0</v>
      </c>
      <c r="BW17" s="1844">
        <v>16</v>
      </c>
      <c r="BX17" s="1724">
        <f t="shared" si="139"/>
        <v>0</v>
      </c>
      <c r="BY17" s="1724">
        <f t="shared" si="3"/>
        <v>89971161.526501253</v>
      </c>
      <c r="BZ17" s="1724">
        <f t="shared" si="4"/>
        <v>0</v>
      </c>
      <c r="CA17" s="1724">
        <f t="shared" si="5"/>
        <v>0</v>
      </c>
      <c r="CB17" s="1724">
        <f t="shared" si="6"/>
        <v>0</v>
      </c>
      <c r="CC17" s="1724">
        <f t="shared" si="7"/>
        <v>0</v>
      </c>
      <c r="CD17" s="1724">
        <f t="shared" si="8"/>
        <v>0</v>
      </c>
      <c r="CE17" s="1724">
        <f t="shared" si="9"/>
        <v>0</v>
      </c>
      <c r="CF17" s="1724">
        <f t="shared" si="10"/>
        <v>0</v>
      </c>
      <c r="CG17" s="1724">
        <f t="shared" si="11"/>
        <v>0</v>
      </c>
      <c r="CH17" s="75"/>
      <c r="CM17" s="638"/>
      <c r="CN17" s="1847">
        <v>14</v>
      </c>
      <c r="CO17" s="1846"/>
      <c r="CP17" s="2">
        <v>18298383.232105743</v>
      </c>
      <c r="CQ17" s="2">
        <v>927300.96593948512</v>
      </c>
      <c r="CR17" s="646">
        <f t="shared" si="63"/>
        <v>19225684.198045228</v>
      </c>
      <c r="CS17" s="1141"/>
      <c r="CT17" s="809"/>
      <c r="CU17" s="954"/>
      <c r="CV17" s="1850"/>
      <c r="CW17" s="1850"/>
      <c r="CX17" s="1850"/>
      <c r="CY17" s="1850"/>
      <c r="CZ17" s="1850"/>
      <c r="DA17" s="1850"/>
      <c r="DB17" s="808"/>
      <c r="DC17" s="808"/>
      <c r="DD17" s="808"/>
      <c r="DE17" s="808"/>
      <c r="DF17" s="451"/>
      <c r="DG17" s="647">
        <v>14</v>
      </c>
      <c r="DH17" s="2">
        <v>100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451">
        <v>0</v>
      </c>
      <c r="DS17" s="1847">
        <v>14</v>
      </c>
      <c r="DT17" s="192">
        <f t="shared" si="35"/>
        <v>19225684.198045228</v>
      </c>
      <c r="DU17" s="192">
        <f t="shared" si="36"/>
        <v>0</v>
      </c>
      <c r="DV17" s="192">
        <f t="shared" si="37"/>
        <v>0</v>
      </c>
      <c r="DW17" s="192">
        <f t="shared" si="38"/>
        <v>0</v>
      </c>
      <c r="DX17" s="192">
        <f t="shared" si="39"/>
        <v>0</v>
      </c>
      <c r="DY17" s="192">
        <f t="shared" si="40"/>
        <v>0</v>
      </c>
      <c r="DZ17" s="192">
        <f t="shared" si="41"/>
        <v>0</v>
      </c>
      <c r="EA17" s="192">
        <f t="shared" si="42"/>
        <v>0</v>
      </c>
      <c r="EB17" s="192">
        <f t="shared" si="43"/>
        <v>0</v>
      </c>
      <c r="EC17" s="192">
        <f t="shared" si="44"/>
        <v>0</v>
      </c>
      <c r="ED17" s="192">
        <f t="shared" si="45"/>
        <v>0</v>
      </c>
      <c r="EE17" s="667">
        <f t="shared" si="46"/>
        <v>19225684.198045228</v>
      </c>
      <c r="EH17" s="973">
        <v>15</v>
      </c>
      <c r="EI17" s="974">
        <v>83.606557377049185</v>
      </c>
      <c r="EJ17" s="974">
        <v>16.393442622950818</v>
      </c>
      <c r="EK17" s="974"/>
      <c r="EL17" s="974"/>
      <c r="EM17" s="974"/>
      <c r="EN17" s="974"/>
      <c r="EO17" s="974"/>
      <c r="EP17" s="974"/>
      <c r="EQ17" s="974"/>
      <c r="ER17" s="974"/>
      <c r="ES17" s="974"/>
      <c r="EX17" s="975">
        <v>100</v>
      </c>
      <c r="EY17" s="357">
        <v>69750819.37747632</v>
      </c>
      <c r="EZ17" s="989">
        <f t="shared" si="64"/>
        <v>58316258.823791683</v>
      </c>
      <c r="FA17" s="989">
        <f t="shared" si="47"/>
        <v>11434560.553684643</v>
      </c>
      <c r="FB17" s="989">
        <f t="shared" si="48"/>
        <v>0</v>
      </c>
      <c r="FC17" s="989">
        <f t="shared" si="49"/>
        <v>0</v>
      </c>
      <c r="FD17" s="989">
        <f t="shared" si="50"/>
        <v>0</v>
      </c>
      <c r="FE17" s="989">
        <f t="shared" si="51"/>
        <v>0</v>
      </c>
      <c r="FF17" s="989">
        <f t="shared" si="52"/>
        <v>0</v>
      </c>
      <c r="FG17" s="989">
        <f t="shared" si="53"/>
        <v>0</v>
      </c>
      <c r="FH17" s="989">
        <f t="shared" si="54"/>
        <v>0</v>
      </c>
      <c r="FI17" s="989">
        <f t="shared" si="55"/>
        <v>0</v>
      </c>
      <c r="FJ17" s="989">
        <f t="shared" si="56"/>
        <v>0</v>
      </c>
      <c r="FM17" s="1005">
        <v>15</v>
      </c>
      <c r="FN17" s="1003">
        <v>100</v>
      </c>
      <c r="FO17" s="1003"/>
      <c r="FP17" s="1003"/>
      <c r="FQ17" s="1003"/>
      <c r="FR17" s="1003"/>
      <c r="FS17" s="1003"/>
      <c r="FT17" s="1003"/>
      <c r="FU17" s="1003"/>
      <c r="FV17" s="1003"/>
      <c r="FW17" s="1003"/>
      <c r="FX17" s="1003"/>
      <c r="FY17" s="1003"/>
      <c r="FZ17" s="1003"/>
      <c r="GA17" s="1003"/>
      <c r="GB17" s="1004">
        <v>0</v>
      </c>
      <c r="GC17" s="1005">
        <v>15</v>
      </c>
      <c r="GD17" s="2">
        <v>508791.20487106376</v>
      </c>
      <c r="GE17" s="989">
        <f t="shared" si="152"/>
        <v>508791.20487106376</v>
      </c>
      <c r="GF17" s="989">
        <f t="shared" si="153"/>
        <v>0</v>
      </c>
      <c r="GG17" s="989">
        <f t="shared" si="154"/>
        <v>0</v>
      </c>
      <c r="GH17" s="989">
        <f t="shared" si="155"/>
        <v>0</v>
      </c>
      <c r="GI17" s="989">
        <f t="shared" si="156"/>
        <v>0</v>
      </c>
      <c r="GJ17" s="989">
        <f t="shared" si="157"/>
        <v>0</v>
      </c>
      <c r="GK17" s="989">
        <f t="shared" si="158"/>
        <v>0</v>
      </c>
      <c r="GL17" s="989">
        <f t="shared" si="159"/>
        <v>0</v>
      </c>
      <c r="GM17" s="989">
        <f t="shared" si="160"/>
        <v>0</v>
      </c>
      <c r="GN17" s="989">
        <f t="shared" si="161"/>
        <v>0</v>
      </c>
      <c r="GO17" s="989">
        <f t="shared" si="162"/>
        <v>0</v>
      </c>
      <c r="GP17" s="989">
        <f t="shared" si="163"/>
        <v>0</v>
      </c>
      <c r="GQ17" s="989">
        <f t="shared" si="164"/>
        <v>0</v>
      </c>
      <c r="GR17" s="989">
        <f t="shared" si="165"/>
        <v>0</v>
      </c>
      <c r="GX17" s="1032">
        <v>15</v>
      </c>
      <c r="GY17" s="1">
        <v>9361447.0435377415</v>
      </c>
      <c r="GZ17" s="1848">
        <v>86.666666666666671</v>
      </c>
      <c r="HA17" s="1848">
        <v>13.333333333333334</v>
      </c>
      <c r="HB17" s="1848"/>
      <c r="HC17" s="1848"/>
      <c r="HD17" s="1848"/>
      <c r="HE17" s="1848"/>
      <c r="HF17" s="1848"/>
      <c r="HG17" s="1848"/>
      <c r="HH17" s="1848"/>
      <c r="HI17" s="1848"/>
      <c r="HJ17" s="1848"/>
      <c r="HK17" s="1848"/>
      <c r="HL17" s="1848"/>
      <c r="HM17" s="1848">
        <f t="shared" si="66"/>
        <v>100</v>
      </c>
      <c r="HN17" s="989">
        <f t="shared" si="67"/>
        <v>8113254.1043993756</v>
      </c>
      <c r="HO17" s="989">
        <f t="shared" si="68"/>
        <v>1248192.9391383654</v>
      </c>
      <c r="HP17" s="989">
        <f t="shared" si="69"/>
        <v>0</v>
      </c>
      <c r="HQ17" s="989">
        <f t="shared" si="70"/>
        <v>0</v>
      </c>
      <c r="HR17" s="989">
        <f t="shared" si="71"/>
        <v>0</v>
      </c>
      <c r="HS17" s="989">
        <f t="shared" si="72"/>
        <v>0</v>
      </c>
      <c r="HT17" s="989">
        <f t="shared" si="73"/>
        <v>0</v>
      </c>
      <c r="HU17" s="989">
        <f t="shared" si="74"/>
        <v>0</v>
      </c>
      <c r="HV17" s="989">
        <f t="shared" si="75"/>
        <v>0</v>
      </c>
      <c r="HW17" s="989">
        <f t="shared" si="76"/>
        <v>0</v>
      </c>
      <c r="HX17" s="989">
        <f t="shared" si="77"/>
        <v>0</v>
      </c>
      <c r="HY17" s="989">
        <f t="shared" si="78"/>
        <v>0</v>
      </c>
      <c r="HZ17" s="989">
        <f t="shared" si="79"/>
        <v>0</v>
      </c>
      <c r="IE17" s="1">
        <v>0</v>
      </c>
      <c r="IF17" s="1002">
        <v>10</v>
      </c>
      <c r="IG17" s="553">
        <v>100</v>
      </c>
      <c r="IH17" s="1006"/>
      <c r="II17" s="1006"/>
      <c r="IJ17" s="1006"/>
      <c r="IK17" s="1006"/>
      <c r="IL17" s="1006"/>
      <c r="IM17" s="1006"/>
      <c r="IN17" s="1006"/>
      <c r="IO17" s="1006"/>
      <c r="IP17" s="1006"/>
      <c r="IQ17" s="1006"/>
      <c r="IS17" s="1270">
        <v>10</v>
      </c>
      <c r="IT17" s="989">
        <f t="shared" si="80"/>
        <v>0</v>
      </c>
      <c r="IU17" s="989">
        <f t="shared" si="81"/>
        <v>0</v>
      </c>
      <c r="IV17" s="989">
        <f t="shared" si="82"/>
        <v>0</v>
      </c>
      <c r="IW17" s="989">
        <f t="shared" si="83"/>
        <v>0</v>
      </c>
      <c r="IX17" s="989">
        <f t="shared" si="84"/>
        <v>0</v>
      </c>
      <c r="IY17" s="989">
        <f t="shared" si="85"/>
        <v>0</v>
      </c>
      <c r="IZ17" s="989">
        <f t="shared" si="86"/>
        <v>0</v>
      </c>
      <c r="JA17" s="989">
        <f t="shared" si="87"/>
        <v>0</v>
      </c>
      <c r="JB17" s="989">
        <f t="shared" si="88"/>
        <v>0</v>
      </c>
      <c r="JC17" s="989">
        <f t="shared" si="89"/>
        <v>0</v>
      </c>
      <c r="JD17" s="989">
        <f t="shared" si="90"/>
        <v>0</v>
      </c>
      <c r="JE17" s="989">
        <f t="shared" si="91"/>
        <v>0</v>
      </c>
      <c r="JG17" s="1">
        <v>0</v>
      </c>
      <c r="JH17" s="1005">
        <v>10</v>
      </c>
      <c r="JJ17" s="1">
        <v>100</v>
      </c>
      <c r="JW17" s="989">
        <f t="shared" si="103"/>
        <v>0</v>
      </c>
      <c r="JX17" s="989">
        <f t="shared" si="104"/>
        <v>0</v>
      </c>
      <c r="JY17" s="989">
        <f t="shared" si="92"/>
        <v>0</v>
      </c>
      <c r="JZ17" s="989">
        <f t="shared" si="93"/>
        <v>0</v>
      </c>
      <c r="KA17" s="989">
        <f t="shared" si="94"/>
        <v>0</v>
      </c>
      <c r="KB17" s="989">
        <f t="shared" si="95"/>
        <v>0</v>
      </c>
      <c r="KC17" s="989">
        <f t="shared" si="96"/>
        <v>0</v>
      </c>
      <c r="KD17" s="989">
        <f t="shared" si="97"/>
        <v>0</v>
      </c>
      <c r="KE17" s="989">
        <f t="shared" si="98"/>
        <v>0</v>
      </c>
      <c r="KF17" s="989">
        <f t="shared" si="99"/>
        <v>0</v>
      </c>
      <c r="KG17" s="989">
        <f t="shared" si="100"/>
        <v>0</v>
      </c>
      <c r="KJ17" s="192">
        <f t="shared" si="105"/>
        <v>0</v>
      </c>
      <c r="KK17" s="192">
        <f t="shared" si="106"/>
        <v>0</v>
      </c>
      <c r="KL17" s="192">
        <f t="shared" si="107"/>
        <v>0</v>
      </c>
      <c r="KM17" s="192">
        <f t="shared" si="108"/>
        <v>0</v>
      </c>
      <c r="KN17" s="192">
        <f t="shared" si="109"/>
        <v>0</v>
      </c>
      <c r="KO17" s="192">
        <f t="shared" si="110"/>
        <v>0</v>
      </c>
      <c r="KP17" s="192">
        <f t="shared" si="111"/>
        <v>0</v>
      </c>
      <c r="KQ17" s="192">
        <f t="shared" si="112"/>
        <v>0</v>
      </c>
      <c r="KR17" s="192">
        <f t="shared" si="113"/>
        <v>0</v>
      </c>
      <c r="KS17" s="192">
        <f t="shared" si="114"/>
        <v>0</v>
      </c>
      <c r="KT17" s="192">
        <f t="shared" si="115"/>
        <v>0</v>
      </c>
      <c r="KV17" s="1032">
        <v>15</v>
      </c>
      <c r="KW17" s="2">
        <v>35795769.07802736</v>
      </c>
      <c r="KX17" s="1">
        <v>80</v>
      </c>
      <c r="KY17" s="1">
        <v>20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J17" s="989">
        <f t="shared" si="141"/>
        <v>28636615.262421891</v>
      </c>
      <c r="LK17" s="989">
        <f t="shared" si="142"/>
        <v>7159153.8156054728</v>
      </c>
      <c r="LL17" s="989">
        <f t="shared" si="143"/>
        <v>0</v>
      </c>
      <c r="LM17" s="989">
        <f t="shared" si="144"/>
        <v>0</v>
      </c>
      <c r="LN17" s="989">
        <f t="shared" si="145"/>
        <v>0</v>
      </c>
      <c r="LO17" s="989">
        <f t="shared" si="146"/>
        <v>0</v>
      </c>
      <c r="LP17" s="989">
        <f t="shared" si="147"/>
        <v>0</v>
      </c>
      <c r="LQ17" s="989">
        <f t="shared" si="148"/>
        <v>0</v>
      </c>
      <c r="LR17" s="989">
        <f t="shared" si="149"/>
        <v>0</v>
      </c>
      <c r="LS17" s="989">
        <f t="shared" si="150"/>
        <v>0</v>
      </c>
      <c r="LT17" s="989">
        <f t="shared" si="151"/>
        <v>0</v>
      </c>
      <c r="LV17" s="2">
        <v>5801.8625065688584</v>
      </c>
      <c r="LW17" s="1">
        <v>100</v>
      </c>
      <c r="MH17" s="1">
        <f t="shared" si="166"/>
        <v>100</v>
      </c>
      <c r="MI17" s="989">
        <f>$LV17*LW17/100</f>
        <v>5801.8625065688575</v>
      </c>
      <c r="MJ17" s="989">
        <f t="shared" si="168"/>
        <v>0</v>
      </c>
      <c r="MK17" s="989">
        <f t="shared" si="169"/>
        <v>0</v>
      </c>
      <c r="ML17" s="989">
        <f t="shared" si="170"/>
        <v>0</v>
      </c>
      <c r="MM17" s="989">
        <f t="shared" si="171"/>
        <v>0</v>
      </c>
      <c r="MN17" s="989">
        <f t="shared" si="172"/>
        <v>0</v>
      </c>
      <c r="MO17" s="989">
        <f t="shared" si="173"/>
        <v>0</v>
      </c>
      <c r="MP17" s="989">
        <f t="shared" si="174"/>
        <v>0</v>
      </c>
      <c r="MQ17" s="989">
        <f t="shared" si="175"/>
        <v>0</v>
      </c>
      <c r="MR17" s="989">
        <f t="shared" si="176"/>
        <v>0</v>
      </c>
      <c r="MS17" s="989">
        <f t="shared" si="177"/>
        <v>0</v>
      </c>
      <c r="MU17" s="1032">
        <v>15</v>
      </c>
      <c r="MV17" s="57">
        <v>30325894.954012863</v>
      </c>
      <c r="MW17" s="1964">
        <v>77.42</v>
      </c>
      <c r="MX17" s="1964">
        <v>22.58</v>
      </c>
      <c r="MY17" s="1964"/>
      <c r="MZ17" s="1964"/>
      <c r="NA17" s="1964"/>
      <c r="NB17" s="1964"/>
      <c r="NC17" s="1964"/>
      <c r="ND17" s="1964"/>
      <c r="NE17" s="1964"/>
      <c r="NF17" s="1964"/>
      <c r="NG17" s="1964"/>
      <c r="NJ17" s="989">
        <f t="shared" si="116"/>
        <v>23478307.873396758</v>
      </c>
      <c r="NK17" s="989">
        <f t="shared" si="117"/>
        <v>6847587.0806161044</v>
      </c>
      <c r="NL17" s="989">
        <f t="shared" si="118"/>
        <v>0</v>
      </c>
      <c r="NM17" s="989">
        <f t="shared" si="119"/>
        <v>0</v>
      </c>
      <c r="NN17" s="989">
        <f t="shared" si="120"/>
        <v>0</v>
      </c>
      <c r="NO17" s="989">
        <f t="shared" si="121"/>
        <v>0</v>
      </c>
      <c r="NP17" s="989">
        <f t="shared" si="122"/>
        <v>0</v>
      </c>
      <c r="NQ17" s="989">
        <f t="shared" si="123"/>
        <v>0</v>
      </c>
      <c r="NR17" s="989">
        <f t="shared" si="124"/>
        <v>0</v>
      </c>
      <c r="NS17" s="989">
        <f t="shared" si="125"/>
        <v>0</v>
      </c>
      <c r="NT17" s="989">
        <f t="shared" si="126"/>
        <v>0</v>
      </c>
    </row>
    <row r="18" spans="1:384" ht="16.8" thickTop="1" thickBot="1">
      <c r="A18" s="1822">
        <v>17</v>
      </c>
      <c r="B18" s="1199"/>
      <c r="C18" s="1134">
        <v>0</v>
      </c>
      <c r="D18" s="1199">
        <v>2194466.7366903727</v>
      </c>
      <c r="E18" s="20"/>
      <c r="F18" s="1843">
        <f t="shared" si="12"/>
        <v>2194466.7366903727</v>
      </c>
      <c r="G18" s="951">
        <v>0</v>
      </c>
      <c r="H18" s="806">
        <v>100</v>
      </c>
      <c r="I18" s="806">
        <v>0</v>
      </c>
      <c r="J18" s="806">
        <v>0</v>
      </c>
      <c r="K18" s="806">
        <v>0</v>
      </c>
      <c r="L18" s="806">
        <v>0</v>
      </c>
      <c r="M18" s="806">
        <v>0</v>
      </c>
      <c r="N18" s="806">
        <v>0</v>
      </c>
      <c r="O18" s="806">
        <v>0</v>
      </c>
      <c r="P18" s="806">
        <v>0</v>
      </c>
      <c r="Q18" s="806"/>
      <c r="R18" s="806"/>
      <c r="S18" s="2"/>
      <c r="T18" s="114">
        <v>17</v>
      </c>
      <c r="U18" s="2">
        <f t="shared" si="127"/>
        <v>0</v>
      </c>
      <c r="V18" s="2">
        <f t="shared" si="13"/>
        <v>2194466.7366903727</v>
      </c>
      <c r="W18" s="2">
        <f t="shared" si="14"/>
        <v>0</v>
      </c>
      <c r="X18" s="2">
        <f t="shared" si="15"/>
        <v>0</v>
      </c>
      <c r="Y18" s="2">
        <f t="shared" si="16"/>
        <v>0</v>
      </c>
      <c r="Z18" s="2">
        <f t="shared" si="17"/>
        <v>0</v>
      </c>
      <c r="AA18" s="2">
        <f t="shared" si="18"/>
        <v>0</v>
      </c>
      <c r="AB18" s="2">
        <f t="shared" si="19"/>
        <v>0</v>
      </c>
      <c r="AC18" s="2">
        <f t="shared" si="20"/>
        <v>0</v>
      </c>
      <c r="AD18" s="2">
        <f t="shared" si="21"/>
        <v>0</v>
      </c>
      <c r="AE18" s="2">
        <f t="shared" si="22"/>
        <v>0</v>
      </c>
      <c r="AF18" s="1844">
        <v>17</v>
      </c>
      <c r="AG18" s="1724">
        <f t="shared" si="23"/>
        <v>0</v>
      </c>
      <c r="AH18" s="1724">
        <f t="shared" si="24"/>
        <v>37305934.523736335</v>
      </c>
      <c r="AI18" s="1724">
        <f t="shared" si="25"/>
        <v>0</v>
      </c>
      <c r="AJ18" s="1724">
        <f t="shared" si="26"/>
        <v>0</v>
      </c>
      <c r="AK18" s="1724">
        <f t="shared" si="27"/>
        <v>0</v>
      </c>
      <c r="AL18" s="1724">
        <f t="shared" si="28"/>
        <v>0</v>
      </c>
      <c r="AM18" s="1724">
        <f t="shared" si="29"/>
        <v>0</v>
      </c>
      <c r="AN18" s="1724">
        <f t="shared" si="30"/>
        <v>0</v>
      </c>
      <c r="AO18" s="1724">
        <f t="shared" si="31"/>
        <v>0</v>
      </c>
      <c r="AP18" s="1724">
        <f t="shared" si="32"/>
        <v>0</v>
      </c>
      <c r="AR18" s="1822">
        <v>17</v>
      </c>
      <c r="AS18" s="1199"/>
      <c r="AT18" s="1">
        <v>66437.288348234651</v>
      </c>
      <c r="AU18" s="1">
        <v>3399287.3205650081</v>
      </c>
      <c r="AV18" s="20"/>
      <c r="AW18" s="1843">
        <f t="shared" si="33"/>
        <v>3465724.6089132428</v>
      </c>
      <c r="AX18" s="546"/>
      <c r="AY18" s="547">
        <v>80</v>
      </c>
      <c r="AZ18" s="548">
        <v>20</v>
      </c>
      <c r="BA18" s="548"/>
      <c r="BB18" s="548"/>
      <c r="BC18" s="548"/>
      <c r="BD18" s="548"/>
      <c r="BE18" s="548"/>
      <c r="BF18" s="806"/>
      <c r="BG18" s="806"/>
      <c r="BH18" s="806"/>
      <c r="BI18" s="806"/>
      <c r="BJ18" s="2"/>
      <c r="BK18" s="114">
        <v>17</v>
      </c>
      <c r="BL18" s="2">
        <f t="shared" si="128"/>
        <v>0</v>
      </c>
      <c r="BM18" s="2">
        <f t="shared" si="129"/>
        <v>2772579.6871305942</v>
      </c>
      <c r="BN18" s="2">
        <f t="shared" si="130"/>
        <v>693144.92178264854</v>
      </c>
      <c r="BO18" s="2">
        <f t="shared" si="131"/>
        <v>0</v>
      </c>
      <c r="BP18" s="2">
        <f t="shared" si="132"/>
        <v>0</v>
      </c>
      <c r="BQ18" s="2">
        <f t="shared" si="133"/>
        <v>0</v>
      </c>
      <c r="BR18" s="2">
        <f t="shared" si="134"/>
        <v>0</v>
      </c>
      <c r="BS18" s="2">
        <f t="shared" si="135"/>
        <v>0</v>
      </c>
      <c r="BT18" s="2">
        <f t="shared" si="136"/>
        <v>0</v>
      </c>
      <c r="BU18" s="2">
        <f t="shared" si="137"/>
        <v>0</v>
      </c>
      <c r="BV18" s="2">
        <f t="shared" si="138"/>
        <v>0</v>
      </c>
      <c r="BW18" s="1844">
        <v>17</v>
      </c>
      <c r="BX18" s="1724">
        <f t="shared" si="139"/>
        <v>0</v>
      </c>
      <c r="BY18" s="1724">
        <f t="shared" si="3"/>
        <v>47133854.681220099</v>
      </c>
      <c r="BZ18" s="1724">
        <f t="shared" si="4"/>
        <v>11783463.670305025</v>
      </c>
      <c r="CA18" s="1724">
        <f t="shared" si="5"/>
        <v>0</v>
      </c>
      <c r="CB18" s="1724">
        <f t="shared" si="6"/>
        <v>0</v>
      </c>
      <c r="CC18" s="1724">
        <f t="shared" si="7"/>
        <v>0</v>
      </c>
      <c r="CD18" s="1724">
        <f t="shared" si="8"/>
        <v>0</v>
      </c>
      <c r="CE18" s="1724">
        <f t="shared" si="9"/>
        <v>0</v>
      </c>
      <c r="CF18" s="1724">
        <f t="shared" si="10"/>
        <v>0</v>
      </c>
      <c r="CG18" s="1724">
        <f t="shared" si="11"/>
        <v>0</v>
      </c>
      <c r="CH18" s="75"/>
      <c r="CM18" s="638"/>
      <c r="CN18" s="1847">
        <v>15</v>
      </c>
      <c r="CO18" s="1851"/>
      <c r="CP18" s="2">
        <v>36471252.950558126</v>
      </c>
      <c r="CQ18" s="2">
        <v>2084322.9158173406</v>
      </c>
      <c r="CR18" s="646">
        <f t="shared" si="63"/>
        <v>38555575.866375469</v>
      </c>
      <c r="CS18" s="1141"/>
      <c r="CT18" s="648"/>
      <c r="CU18" s="649"/>
      <c r="CV18" s="650"/>
      <c r="CW18" s="650"/>
      <c r="CX18" s="650"/>
      <c r="CY18" s="650"/>
      <c r="CZ18" s="650"/>
      <c r="DA18" s="650"/>
      <c r="DB18" s="808"/>
      <c r="DC18" s="808"/>
      <c r="DD18" s="808"/>
      <c r="DE18" s="808"/>
      <c r="DF18" s="451"/>
      <c r="DG18" s="647">
        <v>15</v>
      </c>
      <c r="DH18" s="2">
        <v>100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451">
        <v>0</v>
      </c>
      <c r="DS18" s="1847">
        <v>15</v>
      </c>
      <c r="DT18" s="192">
        <f t="shared" si="35"/>
        <v>38555575.866375469</v>
      </c>
      <c r="DU18" s="192">
        <f t="shared" si="36"/>
        <v>0</v>
      </c>
      <c r="DV18" s="192">
        <f t="shared" si="37"/>
        <v>0</v>
      </c>
      <c r="DW18" s="192">
        <f t="shared" si="38"/>
        <v>0</v>
      </c>
      <c r="DX18" s="192">
        <f t="shared" si="39"/>
        <v>0</v>
      </c>
      <c r="DY18" s="192">
        <f t="shared" si="40"/>
        <v>0</v>
      </c>
      <c r="DZ18" s="192">
        <f t="shared" si="41"/>
        <v>0</v>
      </c>
      <c r="EA18" s="192">
        <f t="shared" si="42"/>
        <v>0</v>
      </c>
      <c r="EB18" s="192">
        <f t="shared" si="43"/>
        <v>0</v>
      </c>
      <c r="EC18" s="192">
        <f t="shared" si="44"/>
        <v>0</v>
      </c>
      <c r="ED18" s="192">
        <f t="shared" si="45"/>
        <v>0</v>
      </c>
      <c r="EE18" s="667">
        <f t="shared" si="46"/>
        <v>38555575.866375469</v>
      </c>
      <c r="EH18" s="976">
        <v>16</v>
      </c>
      <c r="EI18" s="974">
        <v>60</v>
      </c>
      <c r="EJ18" s="974">
        <v>40</v>
      </c>
      <c r="EK18" s="974"/>
      <c r="EL18" s="974"/>
      <c r="EM18" s="974"/>
      <c r="EN18" s="974"/>
      <c r="EO18" s="974"/>
      <c r="EP18" s="974"/>
      <c r="EQ18" s="974"/>
      <c r="ER18" s="974"/>
      <c r="ES18" s="974"/>
      <c r="EX18" s="977">
        <v>100</v>
      </c>
      <c r="EY18" s="357">
        <v>58969358.48798158</v>
      </c>
      <c r="EZ18" s="989">
        <f t="shared" si="64"/>
        <v>35381615.09278895</v>
      </c>
      <c r="FA18" s="989">
        <f t="shared" si="47"/>
        <v>23587743.395192634</v>
      </c>
      <c r="FB18" s="989">
        <f t="shared" si="48"/>
        <v>0</v>
      </c>
      <c r="FC18" s="989">
        <f t="shared" si="49"/>
        <v>0</v>
      </c>
      <c r="FD18" s="989">
        <f t="shared" si="50"/>
        <v>0</v>
      </c>
      <c r="FE18" s="989">
        <f t="shared" si="51"/>
        <v>0</v>
      </c>
      <c r="FF18" s="989">
        <f t="shared" si="52"/>
        <v>0</v>
      </c>
      <c r="FG18" s="989">
        <f t="shared" si="53"/>
        <v>0</v>
      </c>
      <c r="FH18" s="989">
        <f t="shared" si="54"/>
        <v>0</v>
      </c>
      <c r="FI18" s="989">
        <f t="shared" si="55"/>
        <v>0</v>
      </c>
      <c r="FJ18" s="989">
        <f t="shared" si="56"/>
        <v>0</v>
      </c>
      <c r="FM18" s="1005">
        <v>16</v>
      </c>
      <c r="FN18" s="1003">
        <v>100</v>
      </c>
      <c r="FO18" s="1003"/>
      <c r="FP18" s="1003"/>
      <c r="FQ18" s="1003"/>
      <c r="FR18" s="1003"/>
      <c r="FS18" s="1003"/>
      <c r="FT18" s="1003"/>
      <c r="FU18" s="1003"/>
      <c r="FV18" s="1003"/>
      <c r="FW18" s="1003"/>
      <c r="FX18" s="1003"/>
      <c r="FY18" s="1003"/>
      <c r="FZ18" s="1003"/>
      <c r="GA18" s="1003"/>
      <c r="GB18" s="1004">
        <v>0</v>
      </c>
      <c r="GC18" s="1005">
        <v>16</v>
      </c>
      <c r="GD18" s="2">
        <v>621855.91706463345</v>
      </c>
      <c r="GE18" s="989">
        <f t="shared" si="152"/>
        <v>621855.91706463345</v>
      </c>
      <c r="GF18" s="989">
        <f t="shared" si="153"/>
        <v>0</v>
      </c>
      <c r="GG18" s="989">
        <f t="shared" si="154"/>
        <v>0</v>
      </c>
      <c r="GH18" s="989">
        <f t="shared" si="155"/>
        <v>0</v>
      </c>
      <c r="GI18" s="989">
        <f t="shared" si="156"/>
        <v>0</v>
      </c>
      <c r="GJ18" s="989">
        <f t="shared" si="157"/>
        <v>0</v>
      </c>
      <c r="GK18" s="989">
        <f t="shared" si="158"/>
        <v>0</v>
      </c>
      <c r="GL18" s="989">
        <f t="shared" si="159"/>
        <v>0</v>
      </c>
      <c r="GM18" s="989">
        <f t="shared" si="160"/>
        <v>0</v>
      </c>
      <c r="GN18" s="989">
        <f t="shared" si="161"/>
        <v>0</v>
      </c>
      <c r="GO18" s="989">
        <f t="shared" si="162"/>
        <v>0</v>
      </c>
      <c r="GP18" s="989">
        <f t="shared" si="163"/>
        <v>0</v>
      </c>
      <c r="GQ18" s="989">
        <f t="shared" si="164"/>
        <v>0</v>
      </c>
      <c r="GR18" s="989">
        <f t="shared" si="165"/>
        <v>0</v>
      </c>
      <c r="GX18" s="1033">
        <v>16</v>
      </c>
      <c r="GY18" s="1">
        <v>9459949.6110878065</v>
      </c>
      <c r="GZ18" s="1848">
        <v>56.521739130434781</v>
      </c>
      <c r="HA18" s="1848">
        <v>43.478260869565219</v>
      </c>
      <c r="HB18" s="1848"/>
      <c r="HC18" s="1848"/>
      <c r="HD18" s="1848"/>
      <c r="HE18" s="1848"/>
      <c r="HF18" s="1848"/>
      <c r="HG18" s="1848"/>
      <c r="HH18" s="1848"/>
      <c r="HI18" s="1848"/>
      <c r="HJ18" s="1848"/>
      <c r="HK18" s="1848"/>
      <c r="HL18" s="1848"/>
      <c r="HM18" s="1848">
        <f t="shared" si="66"/>
        <v>100</v>
      </c>
      <c r="HN18" s="989">
        <f t="shared" si="67"/>
        <v>5346928.0410496294</v>
      </c>
      <c r="HO18" s="989">
        <f t="shared" si="68"/>
        <v>4113021.5700381766</v>
      </c>
      <c r="HP18" s="989">
        <f t="shared" si="69"/>
        <v>0</v>
      </c>
      <c r="HQ18" s="989">
        <f t="shared" si="70"/>
        <v>0</v>
      </c>
      <c r="HR18" s="989">
        <f t="shared" si="71"/>
        <v>0</v>
      </c>
      <c r="HS18" s="989">
        <f t="shared" si="72"/>
        <v>0</v>
      </c>
      <c r="HT18" s="989">
        <f t="shared" si="73"/>
        <v>0</v>
      </c>
      <c r="HU18" s="989">
        <f t="shared" si="74"/>
        <v>0</v>
      </c>
      <c r="HV18" s="989">
        <f t="shared" si="75"/>
        <v>0</v>
      </c>
      <c r="HW18" s="989">
        <f t="shared" si="76"/>
        <v>0</v>
      </c>
      <c r="HX18" s="989">
        <f t="shared" si="77"/>
        <v>0</v>
      </c>
      <c r="HY18" s="989">
        <f t="shared" si="78"/>
        <v>0</v>
      </c>
      <c r="HZ18" s="989">
        <f t="shared" si="79"/>
        <v>0</v>
      </c>
      <c r="IE18" s="2">
        <v>94133.248559221829</v>
      </c>
      <c r="IF18" s="1268">
        <v>11</v>
      </c>
      <c r="IG18" s="553">
        <v>100</v>
      </c>
      <c r="IH18" s="1006"/>
      <c r="II18" s="1006"/>
      <c r="IJ18" s="1006"/>
      <c r="IK18" s="1006"/>
      <c r="IL18" s="1006"/>
      <c r="IM18" s="1006"/>
      <c r="IN18" s="1006"/>
      <c r="IO18" s="1006"/>
      <c r="IP18" s="1006"/>
      <c r="IQ18" s="1006"/>
      <c r="IS18" s="1270">
        <v>11</v>
      </c>
      <c r="IT18" s="989">
        <f t="shared" si="80"/>
        <v>94133.248559221829</v>
      </c>
      <c r="IU18" s="989">
        <f t="shared" si="81"/>
        <v>0</v>
      </c>
      <c r="IV18" s="989">
        <f t="shared" si="82"/>
        <v>0</v>
      </c>
      <c r="IW18" s="989">
        <f t="shared" si="83"/>
        <v>0</v>
      </c>
      <c r="IX18" s="989">
        <f t="shared" si="84"/>
        <v>0</v>
      </c>
      <c r="IY18" s="989">
        <f t="shared" si="85"/>
        <v>0</v>
      </c>
      <c r="IZ18" s="989">
        <f t="shared" si="86"/>
        <v>0</v>
      </c>
      <c r="JA18" s="989">
        <f t="shared" si="87"/>
        <v>0</v>
      </c>
      <c r="JB18" s="989">
        <f t="shared" si="88"/>
        <v>0</v>
      </c>
      <c r="JC18" s="989">
        <f t="shared" si="89"/>
        <v>0</v>
      </c>
      <c r="JD18" s="989">
        <f t="shared" si="90"/>
        <v>0</v>
      </c>
      <c r="JE18" s="989">
        <f t="shared" si="91"/>
        <v>0</v>
      </c>
      <c r="JG18" s="1">
        <v>0</v>
      </c>
      <c r="JH18" s="1002">
        <v>11</v>
      </c>
      <c r="JJ18" s="1">
        <v>100</v>
      </c>
      <c r="JW18" s="989">
        <f t="shared" si="103"/>
        <v>0</v>
      </c>
      <c r="JX18" s="989">
        <f t="shared" si="104"/>
        <v>0</v>
      </c>
      <c r="JY18" s="989">
        <f t="shared" si="92"/>
        <v>0</v>
      </c>
      <c r="JZ18" s="989">
        <f t="shared" si="93"/>
        <v>0</v>
      </c>
      <c r="KA18" s="989">
        <f t="shared" si="94"/>
        <v>0</v>
      </c>
      <c r="KB18" s="989">
        <f t="shared" si="95"/>
        <v>0</v>
      </c>
      <c r="KC18" s="989">
        <f t="shared" si="96"/>
        <v>0</v>
      </c>
      <c r="KD18" s="989">
        <f t="shared" si="97"/>
        <v>0</v>
      </c>
      <c r="KE18" s="989">
        <f t="shared" si="98"/>
        <v>0</v>
      </c>
      <c r="KF18" s="989">
        <f t="shared" si="99"/>
        <v>0</v>
      </c>
      <c r="KG18" s="989">
        <f t="shared" si="100"/>
        <v>0</v>
      </c>
      <c r="KJ18" s="192">
        <f t="shared" si="105"/>
        <v>94133.248559221829</v>
      </c>
      <c r="KK18" s="192">
        <f t="shared" si="106"/>
        <v>0</v>
      </c>
      <c r="KL18" s="192">
        <f t="shared" si="107"/>
        <v>0</v>
      </c>
      <c r="KM18" s="192">
        <f t="shared" si="108"/>
        <v>0</v>
      </c>
      <c r="KN18" s="192">
        <f t="shared" si="109"/>
        <v>0</v>
      </c>
      <c r="KO18" s="192">
        <f t="shared" si="110"/>
        <v>0</v>
      </c>
      <c r="KP18" s="192">
        <f t="shared" si="111"/>
        <v>0</v>
      </c>
      <c r="KQ18" s="192">
        <f t="shared" si="112"/>
        <v>0</v>
      </c>
      <c r="KR18" s="192">
        <f t="shared" si="113"/>
        <v>0</v>
      </c>
      <c r="KS18" s="192">
        <f t="shared" si="114"/>
        <v>0</v>
      </c>
      <c r="KT18" s="192">
        <f t="shared" si="115"/>
        <v>0</v>
      </c>
      <c r="KV18" s="1033">
        <v>16</v>
      </c>
      <c r="KW18" s="2">
        <v>30083971.649797905</v>
      </c>
      <c r="KX18" s="1">
        <v>27.777777777777779</v>
      </c>
      <c r="KY18" s="1">
        <v>72.222222222222214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J18" s="989">
        <f t="shared" si="141"/>
        <v>8356658.7916105296</v>
      </c>
      <c r="LK18" s="989">
        <f t="shared" si="142"/>
        <v>21727312.858187374</v>
      </c>
      <c r="LL18" s="989">
        <f t="shared" si="143"/>
        <v>0</v>
      </c>
      <c r="LM18" s="989">
        <f t="shared" si="144"/>
        <v>0</v>
      </c>
      <c r="LN18" s="989">
        <f t="shared" si="145"/>
        <v>0</v>
      </c>
      <c r="LO18" s="989">
        <f t="shared" si="146"/>
        <v>0</v>
      </c>
      <c r="LP18" s="989">
        <f t="shared" si="147"/>
        <v>0</v>
      </c>
      <c r="LQ18" s="989">
        <f t="shared" si="148"/>
        <v>0</v>
      </c>
      <c r="LR18" s="989">
        <f t="shared" si="149"/>
        <v>0</v>
      </c>
      <c r="LS18" s="989">
        <f t="shared" si="150"/>
        <v>0</v>
      </c>
      <c r="LT18" s="989">
        <f t="shared" si="151"/>
        <v>0</v>
      </c>
      <c r="LV18" s="2">
        <v>52216.762559119728</v>
      </c>
      <c r="LW18" s="1">
        <v>100</v>
      </c>
      <c r="MH18" s="1">
        <f t="shared" si="166"/>
        <v>100</v>
      </c>
      <c r="MI18" s="989">
        <f t="shared" si="167"/>
        <v>52216.762559119721</v>
      </c>
      <c r="MJ18" s="989">
        <f t="shared" si="168"/>
        <v>0</v>
      </c>
      <c r="MK18" s="989">
        <f t="shared" si="169"/>
        <v>0</v>
      </c>
      <c r="ML18" s="989">
        <f t="shared" si="170"/>
        <v>0</v>
      </c>
      <c r="MM18" s="989">
        <f t="shared" si="171"/>
        <v>0</v>
      </c>
      <c r="MN18" s="989">
        <f t="shared" si="172"/>
        <v>0</v>
      </c>
      <c r="MO18" s="989">
        <f t="shared" si="173"/>
        <v>0</v>
      </c>
      <c r="MP18" s="989">
        <f t="shared" si="174"/>
        <v>0</v>
      </c>
      <c r="MQ18" s="989">
        <f t="shared" si="175"/>
        <v>0</v>
      </c>
      <c r="MR18" s="989">
        <f t="shared" si="176"/>
        <v>0</v>
      </c>
      <c r="MS18" s="989">
        <f t="shared" si="177"/>
        <v>0</v>
      </c>
      <c r="MU18" s="1033">
        <v>16</v>
      </c>
      <c r="MV18" s="57">
        <v>52902751.135958567</v>
      </c>
      <c r="MW18" s="1964">
        <v>13.64</v>
      </c>
      <c r="MX18" s="1964">
        <v>86.36</v>
      </c>
      <c r="MY18" s="1964"/>
      <c r="MZ18" s="1964"/>
      <c r="NA18" s="1964"/>
      <c r="NB18" s="1964"/>
      <c r="NC18" s="1964"/>
      <c r="ND18" s="1964"/>
      <c r="NE18" s="1964"/>
      <c r="NF18" s="1964"/>
      <c r="NG18" s="1964"/>
      <c r="NJ18" s="989">
        <f t="shared" si="116"/>
        <v>7215935.2549447492</v>
      </c>
      <c r="NK18" s="989">
        <f t="shared" si="117"/>
        <v>45686815.881013826</v>
      </c>
      <c r="NL18" s="989">
        <f t="shared" si="118"/>
        <v>0</v>
      </c>
      <c r="NM18" s="989">
        <f t="shared" si="119"/>
        <v>0</v>
      </c>
      <c r="NN18" s="989">
        <f t="shared" si="120"/>
        <v>0</v>
      </c>
      <c r="NO18" s="989">
        <f t="shared" si="121"/>
        <v>0</v>
      </c>
      <c r="NP18" s="989">
        <f t="shared" si="122"/>
        <v>0</v>
      </c>
      <c r="NQ18" s="989">
        <f t="shared" si="123"/>
        <v>0</v>
      </c>
      <c r="NR18" s="989">
        <f t="shared" si="124"/>
        <v>0</v>
      </c>
      <c r="NS18" s="989">
        <f t="shared" si="125"/>
        <v>0</v>
      </c>
      <c r="NT18" s="989">
        <f t="shared" si="126"/>
        <v>0</v>
      </c>
    </row>
    <row r="19" spans="1:384" ht="16.8" thickTop="1" thickBot="1">
      <c r="A19" s="1822">
        <v>18</v>
      </c>
      <c r="B19" s="1199"/>
      <c r="C19" s="1134">
        <v>327419.69911780057</v>
      </c>
      <c r="D19" s="1199">
        <v>2573323.0987156406</v>
      </c>
      <c r="E19" s="20"/>
      <c r="F19" s="1843">
        <f t="shared" si="12"/>
        <v>2900742.7978334413</v>
      </c>
      <c r="G19" s="951">
        <v>0</v>
      </c>
      <c r="H19" s="806">
        <v>97.408488089179855</v>
      </c>
      <c r="I19" s="806">
        <v>2.5915119108201412</v>
      </c>
      <c r="J19" s="806">
        <v>0</v>
      </c>
      <c r="K19" s="806">
        <v>0</v>
      </c>
      <c r="L19" s="806">
        <v>0</v>
      </c>
      <c r="M19" s="806">
        <v>0</v>
      </c>
      <c r="N19" s="806">
        <v>0</v>
      </c>
      <c r="O19" s="806">
        <v>0</v>
      </c>
      <c r="P19" s="806">
        <v>0</v>
      </c>
      <c r="Q19" s="806"/>
      <c r="R19" s="806"/>
      <c r="S19" s="2"/>
      <c r="T19" s="114">
        <v>18</v>
      </c>
      <c r="U19" s="2">
        <f t="shared" si="127"/>
        <v>0</v>
      </c>
      <c r="V19" s="2">
        <f t="shared" si="13"/>
        <v>2825569.7027253299</v>
      </c>
      <c r="W19" s="2">
        <f t="shared" si="14"/>
        <v>75173.09510811104</v>
      </c>
      <c r="X19" s="2">
        <f t="shared" si="15"/>
        <v>0</v>
      </c>
      <c r="Y19" s="2">
        <f t="shared" si="16"/>
        <v>0</v>
      </c>
      <c r="Z19" s="2">
        <f t="shared" si="17"/>
        <v>0</v>
      </c>
      <c r="AA19" s="2">
        <f t="shared" si="18"/>
        <v>0</v>
      </c>
      <c r="AB19" s="2">
        <f t="shared" si="19"/>
        <v>0</v>
      </c>
      <c r="AC19" s="2">
        <f t="shared" si="20"/>
        <v>0</v>
      </c>
      <c r="AD19" s="2">
        <f t="shared" si="21"/>
        <v>0</v>
      </c>
      <c r="AE19" s="2">
        <f t="shared" si="22"/>
        <v>0</v>
      </c>
      <c r="AF19" s="1844">
        <v>18</v>
      </c>
      <c r="AG19" s="1724">
        <f t="shared" si="23"/>
        <v>0</v>
      </c>
      <c r="AH19" s="1724">
        <f t="shared" si="24"/>
        <v>50860254.649055935</v>
      </c>
      <c r="AI19" s="1724">
        <f t="shared" si="25"/>
        <v>1353115.7119459987</v>
      </c>
      <c r="AJ19" s="1724">
        <f t="shared" si="26"/>
        <v>0</v>
      </c>
      <c r="AK19" s="1724">
        <f t="shared" si="27"/>
        <v>0</v>
      </c>
      <c r="AL19" s="1724">
        <f t="shared" si="28"/>
        <v>0</v>
      </c>
      <c r="AM19" s="1724">
        <f t="shared" si="29"/>
        <v>0</v>
      </c>
      <c r="AN19" s="1724">
        <f t="shared" si="30"/>
        <v>0</v>
      </c>
      <c r="AO19" s="1724">
        <f t="shared" si="31"/>
        <v>0</v>
      </c>
      <c r="AP19" s="1724">
        <f t="shared" si="32"/>
        <v>0</v>
      </c>
      <c r="AR19" s="1822">
        <v>18</v>
      </c>
      <c r="AS19" s="1199"/>
      <c r="AT19" s="1">
        <v>0</v>
      </c>
      <c r="AU19" s="1">
        <v>4926687.6501452662</v>
      </c>
      <c r="AV19" s="20"/>
      <c r="AW19" s="1843">
        <f t="shared" si="33"/>
        <v>4926687.6501452662</v>
      </c>
      <c r="AX19" s="807"/>
      <c r="AY19" s="953">
        <v>20</v>
      </c>
      <c r="AZ19" s="1849">
        <v>80</v>
      </c>
      <c r="BA19" s="1849"/>
      <c r="BB19" s="1849"/>
      <c r="BC19" s="1849"/>
      <c r="BD19" s="1849"/>
      <c r="BE19" s="1849"/>
      <c r="BF19" s="806"/>
      <c r="BG19" s="806"/>
      <c r="BH19" s="806"/>
      <c r="BI19" s="806"/>
      <c r="BJ19" s="2"/>
      <c r="BK19" s="114">
        <v>18</v>
      </c>
      <c r="BL19" s="2">
        <f t="shared" si="128"/>
        <v>0</v>
      </c>
      <c r="BM19" s="2">
        <f t="shared" si="129"/>
        <v>985337.53002905322</v>
      </c>
      <c r="BN19" s="2">
        <f t="shared" si="130"/>
        <v>3941350.1201162129</v>
      </c>
      <c r="BO19" s="2">
        <f t="shared" si="131"/>
        <v>0</v>
      </c>
      <c r="BP19" s="2">
        <f t="shared" si="132"/>
        <v>0</v>
      </c>
      <c r="BQ19" s="2">
        <f t="shared" si="133"/>
        <v>0</v>
      </c>
      <c r="BR19" s="2">
        <f t="shared" si="134"/>
        <v>0</v>
      </c>
      <c r="BS19" s="2">
        <f t="shared" si="135"/>
        <v>0</v>
      </c>
      <c r="BT19" s="2">
        <f t="shared" si="136"/>
        <v>0</v>
      </c>
      <c r="BU19" s="2">
        <f t="shared" si="137"/>
        <v>0</v>
      </c>
      <c r="BV19" s="2">
        <f t="shared" si="138"/>
        <v>0</v>
      </c>
      <c r="BW19" s="1844">
        <v>18</v>
      </c>
      <c r="BX19" s="1724">
        <f t="shared" si="139"/>
        <v>0</v>
      </c>
      <c r="BY19" s="1724">
        <f t="shared" si="3"/>
        <v>17736075.540522959</v>
      </c>
      <c r="BZ19" s="1724">
        <f t="shared" si="4"/>
        <v>70944302.162091836</v>
      </c>
      <c r="CA19" s="1724">
        <f t="shared" si="5"/>
        <v>0</v>
      </c>
      <c r="CB19" s="1724">
        <f t="shared" si="6"/>
        <v>0</v>
      </c>
      <c r="CC19" s="1724">
        <f t="shared" si="7"/>
        <v>0</v>
      </c>
      <c r="CD19" s="1724">
        <f t="shared" si="8"/>
        <v>0</v>
      </c>
      <c r="CE19" s="1724">
        <f t="shared" si="9"/>
        <v>0</v>
      </c>
      <c r="CF19" s="1724">
        <f t="shared" si="10"/>
        <v>0</v>
      </c>
      <c r="CG19" s="1724">
        <f t="shared" si="11"/>
        <v>0</v>
      </c>
      <c r="CH19" s="75"/>
      <c r="CM19" s="638"/>
      <c r="CN19" s="1847">
        <v>16</v>
      </c>
      <c r="CO19" s="1851"/>
      <c r="CP19" s="2">
        <v>45991794.936029203</v>
      </c>
      <c r="CQ19" s="2">
        <v>2420042.6892696326</v>
      </c>
      <c r="CR19" s="646">
        <f t="shared" si="63"/>
        <v>48411837.625298835</v>
      </c>
      <c r="CS19" s="1141"/>
      <c r="CT19" s="809"/>
      <c r="CU19" s="954"/>
      <c r="CV19" s="1850"/>
      <c r="CW19" s="1850"/>
      <c r="CX19" s="1850"/>
      <c r="CY19" s="1850"/>
      <c r="CZ19" s="1850"/>
      <c r="DA19" s="1850"/>
      <c r="DB19" s="808"/>
      <c r="DC19" s="808"/>
      <c r="DD19" s="808"/>
      <c r="DE19" s="808"/>
      <c r="DF19" s="451"/>
      <c r="DG19" s="647">
        <v>16</v>
      </c>
      <c r="DH19" s="2">
        <v>100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451">
        <v>0</v>
      </c>
      <c r="DS19" s="1847">
        <v>16</v>
      </c>
      <c r="DT19" s="192">
        <f t="shared" si="35"/>
        <v>48411837.625298835</v>
      </c>
      <c r="DU19" s="192">
        <f t="shared" si="36"/>
        <v>0</v>
      </c>
      <c r="DV19" s="192">
        <f t="shared" si="37"/>
        <v>0</v>
      </c>
      <c r="DW19" s="192">
        <f t="shared" si="38"/>
        <v>0</v>
      </c>
      <c r="DX19" s="192">
        <f t="shared" si="39"/>
        <v>0</v>
      </c>
      <c r="DY19" s="192">
        <f t="shared" si="40"/>
        <v>0</v>
      </c>
      <c r="DZ19" s="192">
        <f t="shared" si="41"/>
        <v>0</v>
      </c>
      <c r="EA19" s="192">
        <f t="shared" si="42"/>
        <v>0</v>
      </c>
      <c r="EB19" s="192">
        <f t="shared" si="43"/>
        <v>0</v>
      </c>
      <c r="EC19" s="192">
        <f t="shared" si="44"/>
        <v>0</v>
      </c>
      <c r="ED19" s="192">
        <f t="shared" si="45"/>
        <v>0</v>
      </c>
      <c r="EE19" s="667">
        <f t="shared" si="46"/>
        <v>48411837.625298835</v>
      </c>
      <c r="EH19" s="978">
        <v>17</v>
      </c>
      <c r="EI19" s="974">
        <v>36.507936507936506</v>
      </c>
      <c r="EJ19" s="974">
        <v>63.492063492063494</v>
      </c>
      <c r="EK19" s="974"/>
      <c r="EL19" s="974"/>
      <c r="EM19" s="974"/>
      <c r="EN19" s="974"/>
      <c r="EO19" s="974"/>
      <c r="EP19" s="974"/>
      <c r="EQ19" s="974"/>
      <c r="ER19" s="974"/>
      <c r="ES19" s="974"/>
      <c r="EX19" s="975">
        <v>100</v>
      </c>
      <c r="EY19" s="357">
        <v>11017076.011845034</v>
      </c>
      <c r="EZ19" s="989">
        <f t="shared" si="64"/>
        <v>4022107.1154354881</v>
      </c>
      <c r="FA19" s="989">
        <f t="shared" si="47"/>
        <v>6994968.8964095451</v>
      </c>
      <c r="FB19" s="989">
        <f t="shared" si="48"/>
        <v>0</v>
      </c>
      <c r="FC19" s="989">
        <f t="shared" si="49"/>
        <v>0</v>
      </c>
      <c r="FD19" s="989">
        <f t="shared" si="50"/>
        <v>0</v>
      </c>
      <c r="FE19" s="989">
        <f t="shared" si="51"/>
        <v>0</v>
      </c>
      <c r="FF19" s="989">
        <f t="shared" si="52"/>
        <v>0</v>
      </c>
      <c r="FG19" s="989">
        <f t="shared" si="53"/>
        <v>0</v>
      </c>
      <c r="FH19" s="989">
        <f t="shared" si="54"/>
        <v>0</v>
      </c>
      <c r="FI19" s="989">
        <f t="shared" si="55"/>
        <v>0</v>
      </c>
      <c r="FJ19" s="989">
        <f t="shared" si="56"/>
        <v>0</v>
      </c>
      <c r="FM19" s="1002">
        <v>17</v>
      </c>
      <c r="FN19" s="1003">
        <v>100</v>
      </c>
      <c r="FO19" s="1003"/>
      <c r="FP19" s="1003"/>
      <c r="FQ19" s="1003"/>
      <c r="FR19" s="1003"/>
      <c r="FS19" s="1003"/>
      <c r="FT19" s="1003"/>
      <c r="FU19" s="1003"/>
      <c r="FV19" s="1003"/>
      <c r="FW19" s="1003"/>
      <c r="FX19" s="1003"/>
      <c r="FY19" s="1003"/>
      <c r="FZ19" s="1003"/>
      <c r="GA19" s="1003"/>
      <c r="GB19" s="1004">
        <v>0</v>
      </c>
      <c r="GC19" s="1002">
        <v>17</v>
      </c>
      <c r="GD19" s="2">
        <v>1074114.7658389125</v>
      </c>
      <c r="GE19" s="989">
        <f t="shared" si="152"/>
        <v>1074114.7658389125</v>
      </c>
      <c r="GF19" s="989">
        <f t="shared" si="153"/>
        <v>0</v>
      </c>
      <c r="GG19" s="989">
        <f t="shared" si="154"/>
        <v>0</v>
      </c>
      <c r="GH19" s="989">
        <f t="shared" si="155"/>
        <v>0</v>
      </c>
      <c r="GI19" s="989">
        <f t="shared" si="156"/>
        <v>0</v>
      </c>
      <c r="GJ19" s="989">
        <f t="shared" si="157"/>
        <v>0</v>
      </c>
      <c r="GK19" s="989">
        <f t="shared" si="158"/>
        <v>0</v>
      </c>
      <c r="GL19" s="989">
        <f t="shared" si="159"/>
        <v>0</v>
      </c>
      <c r="GM19" s="989">
        <f t="shared" si="160"/>
        <v>0</v>
      </c>
      <c r="GN19" s="989">
        <f t="shared" si="161"/>
        <v>0</v>
      </c>
      <c r="GO19" s="989">
        <f t="shared" si="162"/>
        <v>0</v>
      </c>
      <c r="GP19" s="989">
        <f t="shared" si="163"/>
        <v>0</v>
      </c>
      <c r="GQ19" s="989">
        <f t="shared" si="164"/>
        <v>0</v>
      </c>
      <c r="GR19" s="989">
        <f t="shared" si="165"/>
        <v>0</v>
      </c>
      <c r="GX19" s="1034">
        <v>17</v>
      </c>
      <c r="GY19" s="1">
        <v>9103422.5478471052</v>
      </c>
      <c r="GZ19" s="1848">
        <v>28.07017543859649</v>
      </c>
      <c r="HA19" s="1848">
        <v>71.929824561403507</v>
      </c>
      <c r="HB19" s="1848"/>
      <c r="HC19" s="1848"/>
      <c r="HD19" s="1848"/>
      <c r="HE19" s="1848"/>
      <c r="HF19" s="1848"/>
      <c r="HG19" s="1848"/>
      <c r="HH19" s="1848"/>
      <c r="HI19" s="1848"/>
      <c r="HJ19" s="1848"/>
      <c r="HK19" s="1848"/>
      <c r="HL19" s="1848"/>
      <c r="HM19" s="1848">
        <f t="shared" si="66"/>
        <v>100</v>
      </c>
      <c r="HN19" s="989">
        <f t="shared" si="67"/>
        <v>2555346.6800974328</v>
      </c>
      <c r="HO19" s="989">
        <f t="shared" si="68"/>
        <v>6548075.8677496724</v>
      </c>
      <c r="HP19" s="989">
        <f t="shared" si="69"/>
        <v>0</v>
      </c>
      <c r="HQ19" s="989">
        <f t="shared" si="70"/>
        <v>0</v>
      </c>
      <c r="HR19" s="989">
        <f t="shared" si="71"/>
        <v>0</v>
      </c>
      <c r="HS19" s="989">
        <f t="shared" si="72"/>
        <v>0</v>
      </c>
      <c r="HT19" s="989">
        <f t="shared" si="73"/>
        <v>0</v>
      </c>
      <c r="HU19" s="989">
        <f t="shared" si="74"/>
        <v>0</v>
      </c>
      <c r="HV19" s="989">
        <f t="shared" si="75"/>
        <v>0</v>
      </c>
      <c r="HW19" s="989">
        <f t="shared" si="76"/>
        <v>0</v>
      </c>
      <c r="HX19" s="989">
        <f t="shared" si="77"/>
        <v>0</v>
      </c>
      <c r="HY19" s="989">
        <f t="shared" si="78"/>
        <v>0</v>
      </c>
      <c r="HZ19" s="989">
        <f t="shared" si="79"/>
        <v>0</v>
      </c>
      <c r="IE19" s="2">
        <v>1058936.4263628596</v>
      </c>
      <c r="IF19" s="1005">
        <v>12</v>
      </c>
      <c r="IG19" s="553">
        <v>100</v>
      </c>
      <c r="IH19" s="553"/>
      <c r="II19" s="553"/>
      <c r="IJ19" s="553"/>
      <c r="IK19" s="553"/>
      <c r="IL19" s="553"/>
      <c r="IM19" s="553"/>
      <c r="IN19" s="553"/>
      <c r="IO19" s="553"/>
      <c r="IP19" s="553"/>
      <c r="IQ19" s="553"/>
      <c r="IS19" s="1270">
        <v>12</v>
      </c>
      <c r="IT19" s="989">
        <f t="shared" si="80"/>
        <v>1058936.4263628596</v>
      </c>
      <c r="IU19" s="989">
        <f t="shared" si="81"/>
        <v>0</v>
      </c>
      <c r="IV19" s="989">
        <f t="shared" si="82"/>
        <v>0</v>
      </c>
      <c r="IW19" s="989">
        <f t="shared" si="83"/>
        <v>0</v>
      </c>
      <c r="IX19" s="989">
        <f t="shared" si="84"/>
        <v>0</v>
      </c>
      <c r="IY19" s="989">
        <f t="shared" si="85"/>
        <v>0</v>
      </c>
      <c r="IZ19" s="989">
        <f t="shared" si="86"/>
        <v>0</v>
      </c>
      <c r="JA19" s="989">
        <f t="shared" si="87"/>
        <v>0</v>
      </c>
      <c r="JB19" s="989">
        <f t="shared" si="88"/>
        <v>0</v>
      </c>
      <c r="JC19" s="989">
        <f t="shared" si="89"/>
        <v>0</v>
      </c>
      <c r="JD19" s="989">
        <f t="shared" si="90"/>
        <v>0</v>
      </c>
      <c r="JE19" s="989">
        <f t="shared" si="91"/>
        <v>0</v>
      </c>
      <c r="JG19" s="1">
        <v>0</v>
      </c>
      <c r="JH19" s="1005">
        <v>12</v>
      </c>
      <c r="JJ19" s="1">
        <v>100</v>
      </c>
      <c r="JW19" s="989">
        <f t="shared" si="103"/>
        <v>0</v>
      </c>
      <c r="JX19" s="989">
        <f t="shared" si="104"/>
        <v>0</v>
      </c>
      <c r="JY19" s="989">
        <f t="shared" si="92"/>
        <v>0</v>
      </c>
      <c r="JZ19" s="989">
        <f t="shared" si="93"/>
        <v>0</v>
      </c>
      <c r="KA19" s="989">
        <f t="shared" si="94"/>
        <v>0</v>
      </c>
      <c r="KB19" s="989">
        <f t="shared" si="95"/>
        <v>0</v>
      </c>
      <c r="KC19" s="989">
        <f t="shared" si="96"/>
        <v>0</v>
      </c>
      <c r="KD19" s="989">
        <f t="shared" si="97"/>
        <v>0</v>
      </c>
      <c r="KE19" s="989">
        <f t="shared" si="98"/>
        <v>0</v>
      </c>
      <c r="KF19" s="989">
        <f t="shared" si="99"/>
        <v>0</v>
      </c>
      <c r="KG19" s="989">
        <f t="shared" si="100"/>
        <v>0</v>
      </c>
      <c r="KJ19" s="192">
        <f t="shared" si="105"/>
        <v>1058936.4263628596</v>
      </c>
      <c r="KK19" s="192">
        <f t="shared" si="106"/>
        <v>0</v>
      </c>
      <c r="KL19" s="192">
        <f t="shared" si="107"/>
        <v>0</v>
      </c>
      <c r="KM19" s="192">
        <f t="shared" si="108"/>
        <v>0</v>
      </c>
      <c r="KN19" s="192">
        <f t="shared" si="109"/>
        <v>0</v>
      </c>
      <c r="KO19" s="192">
        <f t="shared" si="110"/>
        <v>0</v>
      </c>
      <c r="KP19" s="192">
        <f t="shared" si="111"/>
        <v>0</v>
      </c>
      <c r="KQ19" s="192">
        <f t="shared" si="112"/>
        <v>0</v>
      </c>
      <c r="KR19" s="192">
        <f t="shared" si="113"/>
        <v>0</v>
      </c>
      <c r="KS19" s="192">
        <f t="shared" si="114"/>
        <v>0</v>
      </c>
      <c r="KT19" s="192">
        <f t="shared" si="115"/>
        <v>0</v>
      </c>
      <c r="KV19" s="1034">
        <v>17</v>
      </c>
      <c r="KW19" s="2">
        <v>26919613.038889218</v>
      </c>
      <c r="KX19" s="1">
        <v>0</v>
      </c>
      <c r="KY19" s="1">
        <v>100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J19" s="989">
        <f t="shared" si="141"/>
        <v>0</v>
      </c>
      <c r="LK19" s="989">
        <f t="shared" si="142"/>
        <v>26919613.038889218</v>
      </c>
      <c r="LL19" s="989">
        <f t="shared" si="143"/>
        <v>0</v>
      </c>
      <c r="LM19" s="989">
        <f t="shared" si="144"/>
        <v>0</v>
      </c>
      <c r="LN19" s="989">
        <f t="shared" si="145"/>
        <v>0</v>
      </c>
      <c r="LO19" s="989">
        <f t="shared" si="146"/>
        <v>0</v>
      </c>
      <c r="LP19" s="989">
        <f t="shared" si="147"/>
        <v>0</v>
      </c>
      <c r="LQ19" s="989">
        <f t="shared" si="148"/>
        <v>0</v>
      </c>
      <c r="LR19" s="989">
        <f t="shared" si="149"/>
        <v>0</v>
      </c>
      <c r="LS19" s="989">
        <f t="shared" si="150"/>
        <v>0</v>
      </c>
      <c r="LT19" s="989">
        <f t="shared" si="151"/>
        <v>0</v>
      </c>
      <c r="LV19" s="2">
        <v>87027.937598532881</v>
      </c>
      <c r="LW19" s="1">
        <v>100</v>
      </c>
      <c r="MH19" s="1">
        <f t="shared" si="166"/>
        <v>100</v>
      </c>
      <c r="MI19" s="989">
        <f t="shared" si="167"/>
        <v>87027.937598532881</v>
      </c>
      <c r="MJ19" s="989">
        <f t="shared" si="168"/>
        <v>0</v>
      </c>
      <c r="MK19" s="989">
        <f t="shared" si="169"/>
        <v>0</v>
      </c>
      <c r="ML19" s="989">
        <f t="shared" si="170"/>
        <v>0</v>
      </c>
      <c r="MM19" s="989">
        <f t="shared" si="171"/>
        <v>0</v>
      </c>
      <c r="MN19" s="989">
        <f t="shared" si="172"/>
        <v>0</v>
      </c>
      <c r="MO19" s="989">
        <f t="shared" si="173"/>
        <v>0</v>
      </c>
      <c r="MP19" s="989">
        <f t="shared" si="174"/>
        <v>0</v>
      </c>
      <c r="MQ19" s="989">
        <f t="shared" si="175"/>
        <v>0</v>
      </c>
      <c r="MR19" s="989">
        <f t="shared" si="176"/>
        <v>0</v>
      </c>
      <c r="MS19" s="989">
        <f t="shared" si="177"/>
        <v>0</v>
      </c>
      <c r="MU19" s="1034">
        <v>17</v>
      </c>
      <c r="MV19" s="57">
        <v>38621228.427209511</v>
      </c>
      <c r="MW19" s="1964">
        <v>3.13</v>
      </c>
      <c r="MX19" s="1964">
        <v>96.87</v>
      </c>
      <c r="MY19" s="1964"/>
      <c r="MZ19" s="1964"/>
      <c r="NA19" s="1964"/>
      <c r="NB19" s="1964"/>
      <c r="NC19" s="1964"/>
      <c r="ND19" s="1964"/>
      <c r="NE19" s="1964"/>
      <c r="NF19" s="1964"/>
      <c r="NG19" s="1964"/>
      <c r="NJ19" s="989">
        <f t="shared" si="116"/>
        <v>1208844.4497716578</v>
      </c>
      <c r="NK19" s="989">
        <f t="shared" si="117"/>
        <v>37412383.977437854</v>
      </c>
      <c r="NL19" s="989">
        <f t="shared" si="118"/>
        <v>0</v>
      </c>
      <c r="NM19" s="989">
        <f t="shared" si="119"/>
        <v>0</v>
      </c>
      <c r="NN19" s="989">
        <f t="shared" si="120"/>
        <v>0</v>
      </c>
      <c r="NO19" s="989">
        <f t="shared" si="121"/>
        <v>0</v>
      </c>
      <c r="NP19" s="989">
        <f t="shared" si="122"/>
        <v>0</v>
      </c>
      <c r="NQ19" s="989">
        <f t="shared" si="123"/>
        <v>0</v>
      </c>
      <c r="NR19" s="989">
        <f t="shared" si="124"/>
        <v>0</v>
      </c>
      <c r="NS19" s="989">
        <f t="shared" si="125"/>
        <v>0</v>
      </c>
      <c r="NT19" s="989">
        <f t="shared" si="126"/>
        <v>0</v>
      </c>
    </row>
    <row r="20" spans="1:384" ht="16.8" thickTop="1" thickBot="1">
      <c r="A20" s="1822">
        <v>19</v>
      </c>
      <c r="B20" s="1199"/>
      <c r="C20" s="1134">
        <v>654839.39823560114</v>
      </c>
      <c r="D20" s="1199">
        <v>2930158.8793040309</v>
      </c>
      <c r="E20" s="20"/>
      <c r="F20" s="1843">
        <f t="shared" si="12"/>
        <v>3584998.2775396323</v>
      </c>
      <c r="G20" s="951">
        <v>0</v>
      </c>
      <c r="H20" s="806">
        <v>66.074136958286374</v>
      </c>
      <c r="I20" s="806">
        <v>33.925863041713619</v>
      </c>
      <c r="J20" s="806">
        <v>0</v>
      </c>
      <c r="K20" s="806">
        <v>0</v>
      </c>
      <c r="L20" s="806">
        <v>0</v>
      </c>
      <c r="M20" s="806">
        <v>0</v>
      </c>
      <c r="N20" s="806">
        <v>0</v>
      </c>
      <c r="O20" s="806">
        <v>0</v>
      </c>
      <c r="P20" s="806">
        <v>0</v>
      </c>
      <c r="Q20" s="806"/>
      <c r="R20" s="806"/>
      <c r="S20" s="2"/>
      <c r="T20" s="114">
        <v>19</v>
      </c>
      <c r="U20" s="2">
        <f t="shared" si="127"/>
        <v>0</v>
      </c>
      <c r="V20" s="2">
        <f t="shared" si="13"/>
        <v>2368756.671853744</v>
      </c>
      <c r="W20" s="2">
        <f t="shared" si="14"/>
        <v>1216241.6056858879</v>
      </c>
      <c r="X20" s="2">
        <f t="shared" si="15"/>
        <v>0</v>
      </c>
      <c r="Y20" s="2">
        <f t="shared" si="16"/>
        <v>0</v>
      </c>
      <c r="Z20" s="2">
        <f t="shared" si="17"/>
        <v>0</v>
      </c>
      <c r="AA20" s="2">
        <f t="shared" si="18"/>
        <v>0</v>
      </c>
      <c r="AB20" s="2">
        <f t="shared" si="19"/>
        <v>0</v>
      </c>
      <c r="AC20" s="2">
        <f t="shared" si="20"/>
        <v>0</v>
      </c>
      <c r="AD20" s="2">
        <f t="shared" si="21"/>
        <v>0</v>
      </c>
      <c r="AE20" s="2">
        <f t="shared" si="22"/>
        <v>0</v>
      </c>
      <c r="AF20" s="1844">
        <v>19</v>
      </c>
      <c r="AG20" s="1724">
        <f t="shared" si="23"/>
        <v>0</v>
      </c>
      <c r="AH20" s="1724">
        <f t="shared" si="24"/>
        <v>45006376.765221134</v>
      </c>
      <c r="AI20" s="1724">
        <f t="shared" si="25"/>
        <v>23108590.508031867</v>
      </c>
      <c r="AJ20" s="1724">
        <f t="shared" si="26"/>
        <v>0</v>
      </c>
      <c r="AK20" s="1724">
        <f t="shared" si="27"/>
        <v>0</v>
      </c>
      <c r="AL20" s="1724">
        <f t="shared" si="28"/>
        <v>0</v>
      </c>
      <c r="AM20" s="1724">
        <f t="shared" si="29"/>
        <v>0</v>
      </c>
      <c r="AN20" s="1724">
        <f t="shared" si="30"/>
        <v>0</v>
      </c>
      <c r="AO20" s="1724">
        <f t="shared" si="31"/>
        <v>0</v>
      </c>
      <c r="AP20" s="1724">
        <f t="shared" si="32"/>
        <v>0</v>
      </c>
      <c r="AR20" s="1822">
        <v>19</v>
      </c>
      <c r="AS20" s="1199"/>
      <c r="AT20" s="1">
        <v>90529.791515305027</v>
      </c>
      <c r="AU20" s="1">
        <v>13938271.200905178</v>
      </c>
      <c r="AV20" s="20"/>
      <c r="AW20" s="1843">
        <f t="shared" si="33"/>
        <v>14028800.992420483</v>
      </c>
      <c r="AX20" s="546"/>
      <c r="AY20" s="547">
        <v>20</v>
      </c>
      <c r="AZ20" s="548">
        <v>80</v>
      </c>
      <c r="BA20" s="548"/>
      <c r="BB20" s="548"/>
      <c r="BC20" s="548"/>
      <c r="BD20" s="548"/>
      <c r="BE20" s="548"/>
      <c r="BF20" s="806"/>
      <c r="BG20" s="806"/>
      <c r="BH20" s="806"/>
      <c r="BI20" s="806"/>
      <c r="BJ20" s="2"/>
      <c r="BK20" s="114">
        <v>19</v>
      </c>
      <c r="BL20" s="2">
        <f t="shared" si="128"/>
        <v>0</v>
      </c>
      <c r="BM20" s="2">
        <f t="shared" si="129"/>
        <v>2805760.1984840967</v>
      </c>
      <c r="BN20" s="2">
        <f t="shared" si="130"/>
        <v>11223040.793936387</v>
      </c>
      <c r="BO20" s="2">
        <f t="shared" si="131"/>
        <v>0</v>
      </c>
      <c r="BP20" s="2">
        <f t="shared" si="132"/>
        <v>0</v>
      </c>
      <c r="BQ20" s="2">
        <f t="shared" si="133"/>
        <v>0</v>
      </c>
      <c r="BR20" s="2">
        <f t="shared" si="134"/>
        <v>0</v>
      </c>
      <c r="BS20" s="2">
        <f t="shared" si="135"/>
        <v>0</v>
      </c>
      <c r="BT20" s="2">
        <f t="shared" si="136"/>
        <v>0</v>
      </c>
      <c r="BU20" s="2">
        <f t="shared" si="137"/>
        <v>0</v>
      </c>
      <c r="BV20" s="2">
        <f t="shared" si="138"/>
        <v>0</v>
      </c>
      <c r="BW20" s="1844">
        <v>19</v>
      </c>
      <c r="BX20" s="1724">
        <f t="shared" si="139"/>
        <v>0</v>
      </c>
      <c r="BY20" s="1724">
        <f t="shared" si="3"/>
        <v>53309443.771197841</v>
      </c>
      <c r="BZ20" s="1724">
        <f t="shared" si="4"/>
        <v>213237775.08479136</v>
      </c>
      <c r="CA20" s="1724">
        <f t="shared" si="5"/>
        <v>0</v>
      </c>
      <c r="CB20" s="1724">
        <f t="shared" si="6"/>
        <v>0</v>
      </c>
      <c r="CC20" s="1724">
        <f t="shared" si="7"/>
        <v>0</v>
      </c>
      <c r="CD20" s="1724">
        <f t="shared" si="8"/>
        <v>0</v>
      </c>
      <c r="CE20" s="1724">
        <f t="shared" si="9"/>
        <v>0</v>
      </c>
      <c r="CF20" s="1724">
        <f t="shared" si="10"/>
        <v>0</v>
      </c>
      <c r="CG20" s="1724">
        <f t="shared" si="11"/>
        <v>0</v>
      </c>
      <c r="CH20" s="75"/>
      <c r="CM20" s="638"/>
      <c r="CN20" s="1847">
        <v>17</v>
      </c>
      <c r="CO20" s="1851"/>
      <c r="CP20" s="2">
        <v>53141235.534026518</v>
      </c>
      <c r="CQ20" s="2">
        <v>2027960.0775767942</v>
      </c>
      <c r="CR20" s="646">
        <f t="shared" si="63"/>
        <v>55169195.611603312</v>
      </c>
      <c r="CS20" s="1141"/>
      <c r="CT20" s="648"/>
      <c r="CU20" s="649"/>
      <c r="CV20" s="650"/>
      <c r="CW20" s="650"/>
      <c r="CX20" s="650"/>
      <c r="CY20" s="650"/>
      <c r="CZ20" s="650"/>
      <c r="DA20" s="650"/>
      <c r="DB20" s="808"/>
      <c r="DC20" s="808"/>
      <c r="DD20" s="808"/>
      <c r="DE20" s="808"/>
      <c r="DF20" s="451"/>
      <c r="DG20" s="647">
        <v>17</v>
      </c>
      <c r="DH20" s="2">
        <v>100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451">
        <v>0</v>
      </c>
      <c r="DS20" s="1847">
        <v>17</v>
      </c>
      <c r="DT20" s="192">
        <f t="shared" si="35"/>
        <v>55169195.611603305</v>
      </c>
      <c r="DU20" s="192">
        <f t="shared" si="36"/>
        <v>0</v>
      </c>
      <c r="DV20" s="192">
        <f t="shared" si="37"/>
        <v>0</v>
      </c>
      <c r="DW20" s="192">
        <f t="shared" si="38"/>
        <v>0</v>
      </c>
      <c r="DX20" s="192">
        <f t="shared" si="39"/>
        <v>0</v>
      </c>
      <c r="DY20" s="192">
        <f t="shared" si="40"/>
        <v>0</v>
      </c>
      <c r="DZ20" s="192">
        <f t="shared" si="41"/>
        <v>0</v>
      </c>
      <c r="EA20" s="192">
        <f t="shared" si="42"/>
        <v>0</v>
      </c>
      <c r="EB20" s="192">
        <f t="shared" si="43"/>
        <v>0</v>
      </c>
      <c r="EC20" s="192">
        <f t="shared" si="44"/>
        <v>0</v>
      </c>
      <c r="ED20" s="192">
        <f t="shared" si="45"/>
        <v>0</v>
      </c>
      <c r="EE20" s="667">
        <f t="shared" si="46"/>
        <v>55169195.611603305</v>
      </c>
      <c r="EH20" s="973">
        <v>18</v>
      </c>
      <c r="EI20" s="974">
        <v>32</v>
      </c>
      <c r="EJ20" s="974">
        <v>66</v>
      </c>
      <c r="EK20" s="974">
        <v>2</v>
      </c>
      <c r="EL20" s="974"/>
      <c r="EM20" s="974"/>
      <c r="EN20" s="974"/>
      <c r="EO20" s="974"/>
      <c r="EP20" s="974"/>
      <c r="EQ20" s="974"/>
      <c r="ER20" s="974"/>
      <c r="ES20" s="974"/>
      <c r="EX20" s="977">
        <v>100</v>
      </c>
      <c r="EY20" s="357">
        <v>3356199.8562623695</v>
      </c>
      <c r="EZ20" s="989">
        <f t="shared" si="64"/>
        <v>1073983.9540039583</v>
      </c>
      <c r="FA20" s="989">
        <f t="shared" si="47"/>
        <v>2215091.905133164</v>
      </c>
      <c r="FB20" s="989">
        <f t="shared" si="48"/>
        <v>67123.997125247392</v>
      </c>
      <c r="FC20" s="989">
        <f t="shared" si="49"/>
        <v>0</v>
      </c>
      <c r="FD20" s="989">
        <f t="shared" si="50"/>
        <v>0</v>
      </c>
      <c r="FE20" s="989">
        <f t="shared" si="51"/>
        <v>0</v>
      </c>
      <c r="FF20" s="989">
        <f t="shared" si="52"/>
        <v>0</v>
      </c>
      <c r="FG20" s="989">
        <f t="shared" si="53"/>
        <v>0</v>
      </c>
      <c r="FH20" s="989">
        <f t="shared" si="54"/>
        <v>0</v>
      </c>
      <c r="FI20" s="989">
        <f t="shared" si="55"/>
        <v>0</v>
      </c>
      <c r="FJ20" s="989">
        <f t="shared" si="56"/>
        <v>0</v>
      </c>
      <c r="FM20" s="1002">
        <v>18</v>
      </c>
      <c r="FN20" s="1003">
        <v>100</v>
      </c>
      <c r="FO20" s="1003"/>
      <c r="FP20" s="1003"/>
      <c r="FQ20" s="1003"/>
      <c r="FR20" s="1003"/>
      <c r="FS20" s="1003"/>
      <c r="FT20" s="1003"/>
      <c r="FU20" s="1003"/>
      <c r="FV20" s="1003"/>
      <c r="FW20" s="1003"/>
      <c r="FX20" s="1003"/>
      <c r="FY20" s="1003"/>
      <c r="FZ20" s="1003"/>
      <c r="GA20" s="1003"/>
      <c r="GB20" s="1004">
        <v>0</v>
      </c>
      <c r="GC20" s="1002">
        <v>18</v>
      </c>
      <c r="GD20" s="2">
        <v>1752503.0390003307</v>
      </c>
      <c r="GE20" s="989">
        <f t="shared" si="152"/>
        <v>1752503.039000331</v>
      </c>
      <c r="GF20" s="989">
        <f t="shared" si="153"/>
        <v>0</v>
      </c>
      <c r="GG20" s="989">
        <f t="shared" si="154"/>
        <v>0</v>
      </c>
      <c r="GH20" s="989">
        <f t="shared" si="155"/>
        <v>0</v>
      </c>
      <c r="GI20" s="989">
        <f t="shared" si="156"/>
        <v>0</v>
      </c>
      <c r="GJ20" s="989">
        <f t="shared" si="157"/>
        <v>0</v>
      </c>
      <c r="GK20" s="989">
        <f t="shared" si="158"/>
        <v>0</v>
      </c>
      <c r="GL20" s="989">
        <f t="shared" si="159"/>
        <v>0</v>
      </c>
      <c r="GM20" s="989">
        <f t="shared" si="160"/>
        <v>0</v>
      </c>
      <c r="GN20" s="989">
        <f t="shared" si="161"/>
        <v>0</v>
      </c>
      <c r="GO20" s="989">
        <f t="shared" si="162"/>
        <v>0</v>
      </c>
      <c r="GP20" s="989">
        <f t="shared" si="163"/>
        <v>0</v>
      </c>
      <c r="GQ20" s="989">
        <f t="shared" si="164"/>
        <v>0</v>
      </c>
      <c r="GR20" s="989">
        <f t="shared" si="165"/>
        <v>0</v>
      </c>
      <c r="GX20" s="1032">
        <v>18</v>
      </c>
      <c r="GY20" s="1">
        <v>11925805.822964806</v>
      </c>
      <c r="GZ20" s="1848">
        <v>2</v>
      </c>
      <c r="HA20" s="1848">
        <v>98</v>
      </c>
      <c r="HB20" s="1848">
        <v>0</v>
      </c>
      <c r="HC20" s="1848"/>
      <c r="HD20" s="1848"/>
      <c r="HE20" s="1848"/>
      <c r="HF20" s="1848"/>
      <c r="HG20" s="1848"/>
      <c r="HH20" s="1848"/>
      <c r="HI20" s="1848"/>
      <c r="HJ20" s="1848"/>
      <c r="HK20" s="1848"/>
      <c r="HL20" s="1848"/>
      <c r="HM20" s="1848">
        <f t="shared" si="66"/>
        <v>100</v>
      </c>
      <c r="HN20" s="989">
        <f t="shared" si="67"/>
        <v>238516.11645929611</v>
      </c>
      <c r="HO20" s="989">
        <f t="shared" si="68"/>
        <v>11687289.706505511</v>
      </c>
      <c r="HP20" s="989">
        <f t="shared" si="69"/>
        <v>0</v>
      </c>
      <c r="HQ20" s="989">
        <f t="shared" si="70"/>
        <v>0</v>
      </c>
      <c r="HR20" s="989">
        <f t="shared" si="71"/>
        <v>0</v>
      </c>
      <c r="HS20" s="989">
        <f t="shared" si="72"/>
        <v>0</v>
      </c>
      <c r="HT20" s="989">
        <f t="shared" si="73"/>
        <v>0</v>
      </c>
      <c r="HU20" s="989">
        <f t="shared" si="74"/>
        <v>0</v>
      </c>
      <c r="HV20" s="989">
        <f t="shared" si="75"/>
        <v>0</v>
      </c>
      <c r="HW20" s="989">
        <f t="shared" si="76"/>
        <v>0</v>
      </c>
      <c r="HX20" s="989">
        <f t="shared" si="77"/>
        <v>0</v>
      </c>
      <c r="HY20" s="989">
        <f t="shared" si="78"/>
        <v>0</v>
      </c>
      <c r="HZ20" s="989">
        <f t="shared" si="79"/>
        <v>0</v>
      </c>
      <c r="IE20" s="2">
        <v>1058678.5586403925</v>
      </c>
      <c r="IF20" s="1268">
        <v>13</v>
      </c>
      <c r="IG20" s="553">
        <v>100</v>
      </c>
      <c r="IH20" s="553"/>
      <c r="II20" s="553"/>
      <c r="IJ20" s="553"/>
      <c r="IK20" s="553"/>
      <c r="IL20" s="553"/>
      <c r="IM20" s="553"/>
      <c r="IN20" s="553"/>
      <c r="IO20" s="553"/>
      <c r="IP20" s="553"/>
      <c r="IQ20" s="553"/>
      <c r="IS20" s="1270">
        <v>13</v>
      </c>
      <c r="IT20" s="989">
        <f t="shared" si="80"/>
        <v>1058678.5586403925</v>
      </c>
      <c r="IU20" s="989">
        <f t="shared" si="81"/>
        <v>0</v>
      </c>
      <c r="IV20" s="989">
        <f t="shared" si="82"/>
        <v>0</v>
      </c>
      <c r="IW20" s="989">
        <f t="shared" si="83"/>
        <v>0</v>
      </c>
      <c r="IX20" s="989">
        <f t="shared" si="84"/>
        <v>0</v>
      </c>
      <c r="IY20" s="989">
        <f t="shared" si="85"/>
        <v>0</v>
      </c>
      <c r="IZ20" s="989">
        <f t="shared" si="86"/>
        <v>0</v>
      </c>
      <c r="JA20" s="989">
        <f t="shared" si="87"/>
        <v>0</v>
      </c>
      <c r="JB20" s="989">
        <f t="shared" si="88"/>
        <v>0</v>
      </c>
      <c r="JC20" s="989">
        <f t="shared" si="89"/>
        <v>0</v>
      </c>
      <c r="JD20" s="989">
        <f t="shared" si="90"/>
        <v>0</v>
      </c>
      <c r="JE20" s="989">
        <f t="shared" si="91"/>
        <v>0</v>
      </c>
      <c r="JG20" s="1">
        <v>0</v>
      </c>
      <c r="JH20" s="1002">
        <v>13</v>
      </c>
      <c r="JJ20" s="1">
        <v>100</v>
      </c>
      <c r="JW20" s="989">
        <f t="shared" si="103"/>
        <v>0</v>
      </c>
      <c r="JX20" s="989">
        <f t="shared" si="104"/>
        <v>0</v>
      </c>
      <c r="JY20" s="989">
        <f t="shared" si="92"/>
        <v>0</v>
      </c>
      <c r="JZ20" s="989">
        <f t="shared" si="93"/>
        <v>0</v>
      </c>
      <c r="KA20" s="989">
        <f t="shared" si="94"/>
        <v>0</v>
      </c>
      <c r="KB20" s="989">
        <f t="shared" si="95"/>
        <v>0</v>
      </c>
      <c r="KC20" s="989">
        <f t="shared" si="96"/>
        <v>0</v>
      </c>
      <c r="KD20" s="989">
        <f t="shared" si="97"/>
        <v>0</v>
      </c>
      <c r="KE20" s="989">
        <f t="shared" si="98"/>
        <v>0</v>
      </c>
      <c r="KF20" s="989">
        <f t="shared" si="99"/>
        <v>0</v>
      </c>
      <c r="KG20" s="989">
        <f t="shared" si="100"/>
        <v>0</v>
      </c>
      <c r="KJ20" s="192">
        <f t="shared" si="105"/>
        <v>1058678.5586403925</v>
      </c>
      <c r="KK20" s="192">
        <f t="shared" si="106"/>
        <v>0</v>
      </c>
      <c r="KL20" s="192">
        <f t="shared" si="107"/>
        <v>0</v>
      </c>
      <c r="KM20" s="192">
        <f t="shared" si="108"/>
        <v>0</v>
      </c>
      <c r="KN20" s="192">
        <f t="shared" si="109"/>
        <v>0</v>
      </c>
      <c r="KO20" s="192">
        <f t="shared" si="110"/>
        <v>0</v>
      </c>
      <c r="KP20" s="192">
        <f t="shared" si="111"/>
        <v>0</v>
      </c>
      <c r="KQ20" s="192">
        <f t="shared" si="112"/>
        <v>0</v>
      </c>
      <c r="KR20" s="192">
        <f t="shared" si="113"/>
        <v>0</v>
      </c>
      <c r="KS20" s="192">
        <f t="shared" si="114"/>
        <v>0</v>
      </c>
      <c r="KT20" s="192">
        <f t="shared" si="115"/>
        <v>0</v>
      </c>
      <c r="KV20" s="1032">
        <v>18</v>
      </c>
      <c r="KW20" s="2">
        <v>21751962.562334463</v>
      </c>
      <c r="KX20" s="1">
        <v>0</v>
      </c>
      <c r="KY20" s="1">
        <v>100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J20" s="989">
        <f t="shared" si="141"/>
        <v>0</v>
      </c>
      <c r="LK20" s="989">
        <f t="shared" si="142"/>
        <v>21751962.562334463</v>
      </c>
      <c r="LL20" s="989">
        <f t="shared" si="143"/>
        <v>0</v>
      </c>
      <c r="LM20" s="989">
        <f t="shared" si="144"/>
        <v>0</v>
      </c>
      <c r="LN20" s="989">
        <f t="shared" si="145"/>
        <v>0</v>
      </c>
      <c r="LO20" s="989">
        <f t="shared" si="146"/>
        <v>0</v>
      </c>
      <c r="LP20" s="989">
        <f t="shared" si="147"/>
        <v>0</v>
      </c>
      <c r="LQ20" s="989">
        <f t="shared" si="148"/>
        <v>0</v>
      </c>
      <c r="LR20" s="989">
        <f t="shared" si="149"/>
        <v>0</v>
      </c>
      <c r="LS20" s="989">
        <f t="shared" si="150"/>
        <v>0</v>
      </c>
      <c r="LT20" s="989">
        <f t="shared" si="151"/>
        <v>0</v>
      </c>
      <c r="LV20" s="2">
        <v>179576.36782370973</v>
      </c>
      <c r="LW20" s="1">
        <v>100</v>
      </c>
      <c r="MH20" s="1">
        <f t="shared" si="166"/>
        <v>100</v>
      </c>
      <c r="MI20" s="989">
        <f t="shared" si="167"/>
        <v>179576.36782370973</v>
      </c>
      <c r="MJ20" s="989">
        <f t="shared" si="168"/>
        <v>0</v>
      </c>
      <c r="MK20" s="989">
        <f t="shared" si="169"/>
        <v>0</v>
      </c>
      <c r="ML20" s="989">
        <f t="shared" si="170"/>
        <v>0</v>
      </c>
      <c r="MM20" s="989">
        <f t="shared" si="171"/>
        <v>0</v>
      </c>
      <c r="MN20" s="989">
        <f t="shared" si="172"/>
        <v>0</v>
      </c>
      <c r="MO20" s="989">
        <f t="shared" si="173"/>
        <v>0</v>
      </c>
      <c r="MP20" s="989">
        <f t="shared" si="174"/>
        <v>0</v>
      </c>
      <c r="MQ20" s="989">
        <f t="shared" si="175"/>
        <v>0</v>
      </c>
      <c r="MR20" s="989">
        <f t="shared" si="176"/>
        <v>0</v>
      </c>
      <c r="MS20" s="989">
        <f t="shared" si="177"/>
        <v>0</v>
      </c>
      <c r="MU20" s="1032">
        <v>18</v>
      </c>
      <c r="MV20" s="57">
        <v>15599481.157413881</v>
      </c>
      <c r="MW20" s="1964"/>
      <c r="MX20" s="1964">
        <v>100</v>
      </c>
      <c r="MY20" s="1964"/>
      <c r="MZ20" s="1964"/>
      <c r="NA20" s="1964"/>
      <c r="NB20" s="1964"/>
      <c r="NC20" s="1964"/>
      <c r="ND20" s="1964"/>
      <c r="NE20" s="1964"/>
      <c r="NF20" s="1964"/>
      <c r="NG20" s="1964"/>
      <c r="NJ20" s="989">
        <f t="shared" si="116"/>
        <v>0</v>
      </c>
      <c r="NK20" s="989">
        <f t="shared" si="117"/>
        <v>15599481.157413881</v>
      </c>
      <c r="NL20" s="989">
        <f t="shared" si="118"/>
        <v>0</v>
      </c>
      <c r="NM20" s="989">
        <f t="shared" si="119"/>
        <v>0</v>
      </c>
      <c r="NN20" s="989">
        <f t="shared" si="120"/>
        <v>0</v>
      </c>
      <c r="NO20" s="989">
        <f t="shared" si="121"/>
        <v>0</v>
      </c>
      <c r="NP20" s="989">
        <f t="shared" si="122"/>
        <v>0</v>
      </c>
      <c r="NQ20" s="989">
        <f t="shared" si="123"/>
        <v>0</v>
      </c>
      <c r="NR20" s="989">
        <f t="shared" si="124"/>
        <v>0</v>
      </c>
      <c r="NS20" s="989">
        <f t="shared" si="125"/>
        <v>0</v>
      </c>
      <c r="NT20" s="989">
        <f t="shared" si="126"/>
        <v>0</v>
      </c>
    </row>
    <row r="21" spans="1:384" ht="16.8" thickTop="1" thickBot="1">
      <c r="A21" s="1822">
        <v>20</v>
      </c>
      <c r="B21" s="1199"/>
      <c r="C21" s="1134">
        <v>573845.64625814138</v>
      </c>
      <c r="D21" s="1199">
        <v>5144910.4079107707</v>
      </c>
      <c r="E21" s="20"/>
      <c r="F21" s="1843">
        <f t="shared" si="12"/>
        <v>5718756.0541689117</v>
      </c>
      <c r="G21" s="951">
        <v>0</v>
      </c>
      <c r="H21" s="806">
        <v>36.596907185419539</v>
      </c>
      <c r="I21" s="806">
        <v>63.403092814580461</v>
      </c>
      <c r="J21" s="806">
        <v>0</v>
      </c>
      <c r="K21" s="806">
        <v>0</v>
      </c>
      <c r="L21" s="806">
        <v>0</v>
      </c>
      <c r="M21" s="806">
        <v>0</v>
      </c>
      <c r="N21" s="806">
        <v>0</v>
      </c>
      <c r="O21" s="806">
        <v>0</v>
      </c>
      <c r="P21" s="806">
        <v>0</v>
      </c>
      <c r="Q21" s="806"/>
      <c r="R21" s="806"/>
      <c r="S21" s="2"/>
      <c r="T21" s="114">
        <v>20</v>
      </c>
      <c r="U21" s="2">
        <f t="shared" si="127"/>
        <v>0</v>
      </c>
      <c r="V21" s="2">
        <f t="shared" si="13"/>
        <v>2092887.8453047574</v>
      </c>
      <c r="W21" s="2">
        <f t="shared" si="14"/>
        <v>3625868.2088641543</v>
      </c>
      <c r="X21" s="2">
        <f t="shared" si="15"/>
        <v>0</v>
      </c>
      <c r="Y21" s="2">
        <f t="shared" si="16"/>
        <v>0</v>
      </c>
      <c r="Z21" s="2">
        <f t="shared" si="17"/>
        <v>0</v>
      </c>
      <c r="AA21" s="2">
        <f t="shared" si="18"/>
        <v>0</v>
      </c>
      <c r="AB21" s="2">
        <f t="shared" si="19"/>
        <v>0</v>
      </c>
      <c r="AC21" s="2">
        <f t="shared" si="20"/>
        <v>0</v>
      </c>
      <c r="AD21" s="2">
        <f t="shared" si="21"/>
        <v>0</v>
      </c>
      <c r="AE21" s="2">
        <f t="shared" si="22"/>
        <v>0</v>
      </c>
      <c r="AF21" s="1844">
        <v>20</v>
      </c>
      <c r="AG21" s="1724">
        <f t="shared" si="23"/>
        <v>0</v>
      </c>
      <c r="AH21" s="1724">
        <f t="shared" si="24"/>
        <v>41857756.906095147</v>
      </c>
      <c r="AI21" s="1724">
        <f t="shared" si="25"/>
        <v>72517364.177283078</v>
      </c>
      <c r="AJ21" s="1724">
        <f t="shared" si="26"/>
        <v>0</v>
      </c>
      <c r="AK21" s="1724">
        <f t="shared" si="27"/>
        <v>0</v>
      </c>
      <c r="AL21" s="1724">
        <f t="shared" si="28"/>
        <v>0</v>
      </c>
      <c r="AM21" s="1724">
        <f t="shared" si="29"/>
        <v>0</v>
      </c>
      <c r="AN21" s="1724">
        <f t="shared" si="30"/>
        <v>0</v>
      </c>
      <c r="AO21" s="1724">
        <f t="shared" si="31"/>
        <v>0</v>
      </c>
      <c r="AP21" s="1724">
        <f t="shared" si="32"/>
        <v>0</v>
      </c>
      <c r="AR21" s="1822">
        <v>20</v>
      </c>
      <c r="AS21" s="1199"/>
      <c r="AT21" s="1">
        <v>205698.39180139627</v>
      </c>
      <c r="AU21" s="1">
        <v>27777952.036617082</v>
      </c>
      <c r="AV21" s="20"/>
      <c r="AW21" s="1843">
        <f t="shared" si="33"/>
        <v>27983650.428418476</v>
      </c>
      <c r="AX21" s="807"/>
      <c r="AY21" s="953"/>
      <c r="AZ21" s="1849">
        <v>100</v>
      </c>
      <c r="BA21" s="1849"/>
      <c r="BB21" s="1849"/>
      <c r="BC21" s="1849"/>
      <c r="BD21" s="1849"/>
      <c r="BE21" s="1849"/>
      <c r="BF21" s="806"/>
      <c r="BG21" s="806"/>
      <c r="BH21" s="806"/>
      <c r="BI21" s="806"/>
      <c r="BJ21" s="2"/>
      <c r="BK21" s="114">
        <v>20</v>
      </c>
      <c r="BL21" s="2">
        <f t="shared" si="128"/>
        <v>0</v>
      </c>
      <c r="BM21" s="2">
        <f t="shared" si="129"/>
        <v>0</v>
      </c>
      <c r="BN21" s="2">
        <f t="shared" si="130"/>
        <v>27983650.428418472</v>
      </c>
      <c r="BO21" s="2">
        <f t="shared" si="131"/>
        <v>0</v>
      </c>
      <c r="BP21" s="2">
        <f t="shared" si="132"/>
        <v>0</v>
      </c>
      <c r="BQ21" s="2">
        <f t="shared" si="133"/>
        <v>0</v>
      </c>
      <c r="BR21" s="2">
        <f t="shared" si="134"/>
        <v>0</v>
      </c>
      <c r="BS21" s="2">
        <f t="shared" si="135"/>
        <v>0</v>
      </c>
      <c r="BT21" s="2">
        <f t="shared" si="136"/>
        <v>0</v>
      </c>
      <c r="BU21" s="2">
        <f t="shared" si="137"/>
        <v>0</v>
      </c>
      <c r="BV21" s="2">
        <f t="shared" si="138"/>
        <v>0</v>
      </c>
      <c r="BW21" s="1844">
        <v>20</v>
      </c>
      <c r="BX21" s="1724">
        <f t="shared" si="139"/>
        <v>0</v>
      </c>
      <c r="BY21" s="1724">
        <f t="shared" si="3"/>
        <v>0</v>
      </c>
      <c r="BZ21" s="1724">
        <f t="shared" si="4"/>
        <v>559673008.56836939</v>
      </c>
      <c r="CA21" s="1724">
        <f t="shared" si="5"/>
        <v>0</v>
      </c>
      <c r="CB21" s="1724">
        <f t="shared" si="6"/>
        <v>0</v>
      </c>
      <c r="CC21" s="1724">
        <f t="shared" si="7"/>
        <v>0</v>
      </c>
      <c r="CD21" s="1724">
        <f t="shared" si="8"/>
        <v>0</v>
      </c>
      <c r="CE21" s="1724">
        <f t="shared" si="9"/>
        <v>0</v>
      </c>
      <c r="CF21" s="1724">
        <f t="shared" si="10"/>
        <v>0</v>
      </c>
      <c r="CG21" s="1724">
        <f t="shared" si="11"/>
        <v>0</v>
      </c>
      <c r="CH21" s="75"/>
      <c r="CM21" s="638"/>
      <c r="CN21" s="1847">
        <v>18</v>
      </c>
      <c r="CO21" s="1851"/>
      <c r="CP21" s="2">
        <v>38729410.106792398</v>
      </c>
      <c r="CQ21" s="2">
        <v>2065787.5761841545</v>
      </c>
      <c r="CR21" s="646">
        <f t="shared" si="63"/>
        <v>40795197.682976551</v>
      </c>
      <c r="CS21" s="1141"/>
      <c r="CT21" s="809"/>
      <c r="CU21" s="954"/>
      <c r="CV21" s="1850"/>
      <c r="CW21" s="1850"/>
      <c r="CX21" s="1850"/>
      <c r="CY21" s="1850"/>
      <c r="CZ21" s="1850"/>
      <c r="DA21" s="1850"/>
      <c r="DB21" s="808"/>
      <c r="DC21" s="808"/>
      <c r="DD21" s="808"/>
      <c r="DE21" s="808"/>
      <c r="DF21" s="451"/>
      <c r="DG21" s="647">
        <v>18</v>
      </c>
      <c r="DH21" s="2">
        <v>100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451">
        <v>0</v>
      </c>
      <c r="DS21" s="1847">
        <v>18</v>
      </c>
      <c r="DT21" s="192">
        <f t="shared" si="35"/>
        <v>40795197.682976551</v>
      </c>
      <c r="DU21" s="192">
        <f t="shared" si="36"/>
        <v>0</v>
      </c>
      <c r="DV21" s="192">
        <f t="shared" si="37"/>
        <v>0</v>
      </c>
      <c r="DW21" s="192">
        <f t="shared" si="38"/>
        <v>0</v>
      </c>
      <c r="DX21" s="192">
        <f t="shared" si="39"/>
        <v>0</v>
      </c>
      <c r="DY21" s="192">
        <f t="shared" si="40"/>
        <v>0</v>
      </c>
      <c r="DZ21" s="192">
        <f t="shared" si="41"/>
        <v>0</v>
      </c>
      <c r="EA21" s="192">
        <f t="shared" si="42"/>
        <v>0</v>
      </c>
      <c r="EB21" s="192">
        <f t="shared" si="43"/>
        <v>0</v>
      </c>
      <c r="EC21" s="192">
        <f t="shared" si="44"/>
        <v>0</v>
      </c>
      <c r="ED21" s="192">
        <f t="shared" si="45"/>
        <v>0</v>
      </c>
      <c r="EE21" s="667">
        <f t="shared" si="46"/>
        <v>40795197.682976551</v>
      </c>
      <c r="EH21" s="976">
        <v>19</v>
      </c>
      <c r="EI21" s="974">
        <v>13.043478260869565</v>
      </c>
      <c r="EJ21" s="974">
        <v>80.434782608695656</v>
      </c>
      <c r="EK21" s="974">
        <v>6.5217391304347823</v>
      </c>
      <c r="EL21" s="974"/>
      <c r="EM21" s="974"/>
      <c r="EN21" s="974"/>
      <c r="EO21" s="974"/>
      <c r="EP21" s="974"/>
      <c r="EQ21" s="974"/>
      <c r="ER21" s="974"/>
      <c r="ES21" s="974"/>
      <c r="EX21" s="975">
        <v>100</v>
      </c>
      <c r="EY21" s="357">
        <v>5897013.1952622812</v>
      </c>
      <c r="EZ21" s="989">
        <f t="shared" si="64"/>
        <v>769175.63416464534</v>
      </c>
      <c r="FA21" s="989">
        <f t="shared" si="47"/>
        <v>4743249.7440153137</v>
      </c>
      <c r="FB21" s="989">
        <f t="shared" si="48"/>
        <v>384587.81708232267</v>
      </c>
      <c r="FC21" s="989">
        <f t="shared" si="49"/>
        <v>0</v>
      </c>
      <c r="FD21" s="989">
        <f t="shared" si="50"/>
        <v>0</v>
      </c>
      <c r="FE21" s="989">
        <f t="shared" si="51"/>
        <v>0</v>
      </c>
      <c r="FF21" s="989">
        <f t="shared" si="52"/>
        <v>0</v>
      </c>
      <c r="FG21" s="989">
        <f t="shared" si="53"/>
        <v>0</v>
      </c>
      <c r="FH21" s="989">
        <f t="shared" si="54"/>
        <v>0</v>
      </c>
      <c r="FI21" s="989">
        <f t="shared" si="55"/>
        <v>0</v>
      </c>
      <c r="FJ21" s="989">
        <f t="shared" si="56"/>
        <v>0</v>
      </c>
      <c r="FM21" s="1005">
        <v>19</v>
      </c>
      <c r="FN21" s="1003">
        <v>100</v>
      </c>
      <c r="FO21" s="1003"/>
      <c r="FP21" s="1003"/>
      <c r="FQ21" s="1003"/>
      <c r="FR21" s="1003"/>
      <c r="FS21" s="1003"/>
      <c r="FT21" s="1003"/>
      <c r="FU21" s="1003"/>
      <c r="FV21" s="1003"/>
      <c r="FW21" s="1003"/>
      <c r="FX21" s="1003"/>
      <c r="FY21" s="1003"/>
      <c r="FZ21" s="1003"/>
      <c r="GA21" s="1003"/>
      <c r="GB21" s="1004">
        <v>0</v>
      </c>
      <c r="GC21" s="1005">
        <v>19</v>
      </c>
      <c r="GD21" s="2">
        <v>2883150.1609360278</v>
      </c>
      <c r="GE21" s="989">
        <f t="shared" si="152"/>
        <v>2883150.1609360278</v>
      </c>
      <c r="GF21" s="989">
        <f t="shared" si="153"/>
        <v>0</v>
      </c>
      <c r="GG21" s="989">
        <f t="shared" si="154"/>
        <v>0</v>
      </c>
      <c r="GH21" s="989">
        <f t="shared" si="155"/>
        <v>0</v>
      </c>
      <c r="GI21" s="989">
        <f t="shared" si="156"/>
        <v>0</v>
      </c>
      <c r="GJ21" s="989">
        <f t="shared" si="157"/>
        <v>0</v>
      </c>
      <c r="GK21" s="989">
        <f t="shared" si="158"/>
        <v>0</v>
      </c>
      <c r="GL21" s="989">
        <f t="shared" si="159"/>
        <v>0</v>
      </c>
      <c r="GM21" s="989">
        <f t="shared" si="160"/>
        <v>0</v>
      </c>
      <c r="GN21" s="989">
        <f t="shared" si="161"/>
        <v>0</v>
      </c>
      <c r="GO21" s="989">
        <f t="shared" si="162"/>
        <v>0</v>
      </c>
      <c r="GP21" s="989">
        <f t="shared" si="163"/>
        <v>0</v>
      </c>
      <c r="GQ21" s="989">
        <f t="shared" si="164"/>
        <v>0</v>
      </c>
      <c r="GR21" s="989">
        <f t="shared" si="165"/>
        <v>0</v>
      </c>
      <c r="GX21" s="1033">
        <v>19</v>
      </c>
      <c r="GY21" s="1">
        <v>28069316.011195965</v>
      </c>
      <c r="GZ21" s="1848">
        <v>1.7857142857142858</v>
      </c>
      <c r="HA21" s="1848">
        <v>96.428571428571431</v>
      </c>
      <c r="HB21" s="1848">
        <v>1.7857142857142858</v>
      </c>
      <c r="HC21" s="1848"/>
      <c r="HD21" s="1848"/>
      <c r="HE21" s="1848"/>
      <c r="HF21" s="1848"/>
      <c r="HG21" s="1848"/>
      <c r="HH21" s="1848"/>
      <c r="HI21" s="1848"/>
      <c r="HJ21" s="1848"/>
      <c r="HK21" s="1848"/>
      <c r="HL21" s="1848"/>
      <c r="HM21" s="1848">
        <f t="shared" si="66"/>
        <v>100.00000000000001</v>
      </c>
      <c r="HN21" s="989">
        <f t="shared" si="67"/>
        <v>501237.78591421363</v>
      </c>
      <c r="HO21" s="989">
        <f t="shared" si="68"/>
        <v>27066840.439367536</v>
      </c>
      <c r="HP21" s="989">
        <f t="shared" si="69"/>
        <v>501237.78591421363</v>
      </c>
      <c r="HQ21" s="989">
        <f t="shared" si="70"/>
        <v>0</v>
      </c>
      <c r="HR21" s="989">
        <f t="shared" si="71"/>
        <v>0</v>
      </c>
      <c r="HS21" s="989">
        <f t="shared" si="72"/>
        <v>0</v>
      </c>
      <c r="HT21" s="989">
        <f t="shared" si="73"/>
        <v>0</v>
      </c>
      <c r="HU21" s="989">
        <f t="shared" si="74"/>
        <v>0</v>
      </c>
      <c r="HV21" s="989">
        <f t="shared" si="75"/>
        <v>0</v>
      </c>
      <c r="HW21" s="989">
        <f t="shared" si="76"/>
        <v>0</v>
      </c>
      <c r="HX21" s="989">
        <f t="shared" si="77"/>
        <v>0</v>
      </c>
      <c r="HY21" s="989">
        <f t="shared" si="78"/>
        <v>0</v>
      </c>
      <c r="HZ21" s="989">
        <f t="shared" si="79"/>
        <v>0</v>
      </c>
      <c r="IE21" s="2">
        <v>7417090.7195349494</v>
      </c>
      <c r="IF21" s="1005">
        <v>14</v>
      </c>
      <c r="IG21" s="553">
        <v>97.560975609756099</v>
      </c>
      <c r="IH21" s="553">
        <v>2.4390243902439024</v>
      </c>
      <c r="II21" s="553"/>
      <c r="IJ21" s="553"/>
      <c r="IK21" s="553"/>
      <c r="IL21" s="553"/>
      <c r="IM21" s="553"/>
      <c r="IN21" s="553"/>
      <c r="IO21" s="553"/>
      <c r="IP21" s="553"/>
      <c r="IQ21" s="553"/>
      <c r="IS21" s="1270">
        <v>14</v>
      </c>
      <c r="IT21" s="989">
        <f t="shared" si="80"/>
        <v>7236186.0678389752</v>
      </c>
      <c r="IU21" s="989">
        <f t="shared" si="81"/>
        <v>180904.65169597435</v>
      </c>
      <c r="IV21" s="989">
        <f t="shared" si="82"/>
        <v>0</v>
      </c>
      <c r="IW21" s="989">
        <f t="shared" si="83"/>
        <v>0</v>
      </c>
      <c r="IX21" s="989">
        <f t="shared" si="84"/>
        <v>0</v>
      </c>
      <c r="IY21" s="989">
        <f t="shared" si="85"/>
        <v>0</v>
      </c>
      <c r="IZ21" s="989">
        <f t="shared" si="86"/>
        <v>0</v>
      </c>
      <c r="JA21" s="989">
        <f t="shared" si="87"/>
        <v>0</v>
      </c>
      <c r="JB21" s="989">
        <f t="shared" si="88"/>
        <v>0</v>
      </c>
      <c r="JC21" s="989">
        <f t="shared" si="89"/>
        <v>0</v>
      </c>
      <c r="JD21" s="989">
        <f t="shared" si="90"/>
        <v>0</v>
      </c>
      <c r="JE21" s="989">
        <f t="shared" si="91"/>
        <v>0</v>
      </c>
      <c r="JG21" s="1">
        <v>0</v>
      </c>
      <c r="JH21" s="1005">
        <v>14</v>
      </c>
      <c r="JJ21" s="1">
        <v>100</v>
      </c>
      <c r="JW21" s="989">
        <f t="shared" si="103"/>
        <v>0</v>
      </c>
      <c r="JX21" s="989">
        <f t="shared" si="104"/>
        <v>0</v>
      </c>
      <c r="JY21" s="989">
        <f t="shared" si="92"/>
        <v>0</v>
      </c>
      <c r="JZ21" s="989">
        <f t="shared" si="93"/>
        <v>0</v>
      </c>
      <c r="KA21" s="989">
        <f t="shared" si="94"/>
        <v>0</v>
      </c>
      <c r="KB21" s="989">
        <f t="shared" si="95"/>
        <v>0</v>
      </c>
      <c r="KC21" s="989">
        <f t="shared" si="96"/>
        <v>0</v>
      </c>
      <c r="KD21" s="989">
        <f t="shared" si="97"/>
        <v>0</v>
      </c>
      <c r="KE21" s="989">
        <f t="shared" si="98"/>
        <v>0</v>
      </c>
      <c r="KF21" s="989">
        <f t="shared" si="99"/>
        <v>0</v>
      </c>
      <c r="KG21" s="989">
        <f t="shared" si="100"/>
        <v>0</v>
      </c>
      <c r="KJ21" s="192">
        <f t="shared" si="105"/>
        <v>7236186.0678389752</v>
      </c>
      <c r="KK21" s="192">
        <f t="shared" si="106"/>
        <v>180904.65169597435</v>
      </c>
      <c r="KL21" s="192">
        <f t="shared" si="107"/>
        <v>0</v>
      </c>
      <c r="KM21" s="192">
        <f t="shared" si="108"/>
        <v>0</v>
      </c>
      <c r="KN21" s="192">
        <f t="shared" si="109"/>
        <v>0</v>
      </c>
      <c r="KO21" s="192">
        <f t="shared" si="110"/>
        <v>0</v>
      </c>
      <c r="KP21" s="192">
        <f t="shared" si="111"/>
        <v>0</v>
      </c>
      <c r="KQ21" s="192">
        <f t="shared" si="112"/>
        <v>0</v>
      </c>
      <c r="KR21" s="192">
        <f t="shared" si="113"/>
        <v>0</v>
      </c>
      <c r="KS21" s="192">
        <f t="shared" si="114"/>
        <v>0</v>
      </c>
      <c r="KT21" s="192">
        <f t="shared" si="115"/>
        <v>0</v>
      </c>
      <c r="KV21" s="1033">
        <v>19</v>
      </c>
      <c r="KW21" s="2">
        <v>24789969.332361162</v>
      </c>
      <c r="KX21" s="1">
        <v>0</v>
      </c>
      <c r="KY21" s="1">
        <v>81.818181818181827</v>
      </c>
      <c r="KZ21" s="1">
        <v>18.181818181818183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J21" s="989">
        <f t="shared" si="141"/>
        <v>0</v>
      </c>
      <c r="LK21" s="989">
        <f t="shared" si="142"/>
        <v>20282702.181022771</v>
      </c>
      <c r="LL21" s="989">
        <f t="shared" si="143"/>
        <v>4507267.1513383938</v>
      </c>
      <c r="LM21" s="989">
        <f t="shared" si="144"/>
        <v>0</v>
      </c>
      <c r="LN21" s="989">
        <f t="shared" si="145"/>
        <v>0</v>
      </c>
      <c r="LO21" s="989">
        <f t="shared" si="146"/>
        <v>0</v>
      </c>
      <c r="LP21" s="989">
        <f t="shared" si="147"/>
        <v>0</v>
      </c>
      <c r="LQ21" s="989">
        <f t="shared" si="148"/>
        <v>0</v>
      </c>
      <c r="LR21" s="989">
        <f t="shared" si="149"/>
        <v>0</v>
      </c>
      <c r="LS21" s="989">
        <f t="shared" si="150"/>
        <v>0</v>
      </c>
      <c r="LT21" s="989">
        <f t="shared" si="151"/>
        <v>0</v>
      </c>
      <c r="LV21" s="2">
        <v>266242.48124081409</v>
      </c>
      <c r="LW21" s="1446">
        <v>100</v>
      </c>
      <c r="LX21" s="1446">
        <v>0</v>
      </c>
      <c r="LY21" s="1446">
        <v>0</v>
      </c>
      <c r="LZ21" s="1446">
        <v>0</v>
      </c>
      <c r="MA21" s="1446">
        <v>0</v>
      </c>
      <c r="MB21" s="1446">
        <v>0</v>
      </c>
      <c r="MC21" s="1446">
        <v>0</v>
      </c>
      <c r="MD21" s="1446">
        <v>0</v>
      </c>
      <c r="ME21" s="1446">
        <v>0</v>
      </c>
      <c r="MF21" s="1446">
        <v>0</v>
      </c>
      <c r="MH21" s="1">
        <f t="shared" si="166"/>
        <v>100</v>
      </c>
      <c r="MI21" s="989">
        <f t="shared" si="167"/>
        <v>266242.48124081409</v>
      </c>
      <c r="MJ21" s="989">
        <f t="shared" si="168"/>
        <v>0</v>
      </c>
      <c r="MK21" s="989">
        <f t="shared" si="169"/>
        <v>0</v>
      </c>
      <c r="ML21" s="989">
        <f t="shared" si="170"/>
        <v>0</v>
      </c>
      <c r="MM21" s="989">
        <f t="shared" si="171"/>
        <v>0</v>
      </c>
      <c r="MN21" s="989">
        <f t="shared" si="172"/>
        <v>0</v>
      </c>
      <c r="MO21" s="989">
        <f t="shared" si="173"/>
        <v>0</v>
      </c>
      <c r="MP21" s="989">
        <f t="shared" si="174"/>
        <v>0</v>
      </c>
      <c r="MQ21" s="989">
        <f t="shared" si="175"/>
        <v>0</v>
      </c>
      <c r="MR21" s="989">
        <f t="shared" si="176"/>
        <v>0</v>
      </c>
      <c r="MS21" s="989">
        <f t="shared" si="177"/>
        <v>0</v>
      </c>
      <c r="MU21" s="1033">
        <v>19</v>
      </c>
      <c r="MV21" s="57">
        <v>12175728.903476581</v>
      </c>
      <c r="MW21" s="1964"/>
      <c r="MX21" s="1964">
        <v>78.790000000000006</v>
      </c>
      <c r="MY21" s="1964">
        <v>21.21</v>
      </c>
      <c r="MZ21" s="1964"/>
      <c r="NA21" s="1964"/>
      <c r="NB21" s="1964"/>
      <c r="NC21" s="1964"/>
      <c r="ND21" s="1964"/>
      <c r="NE21" s="1964"/>
      <c r="NF21" s="1964"/>
      <c r="NG21" s="1964"/>
      <c r="NJ21" s="989">
        <f t="shared" si="116"/>
        <v>0</v>
      </c>
      <c r="NK21" s="989">
        <f t="shared" si="117"/>
        <v>9593256.8030491993</v>
      </c>
      <c r="NL21" s="989">
        <f t="shared" si="118"/>
        <v>2582472.1004273831</v>
      </c>
      <c r="NM21" s="989">
        <f t="shared" si="119"/>
        <v>0</v>
      </c>
      <c r="NN21" s="989">
        <f t="shared" si="120"/>
        <v>0</v>
      </c>
      <c r="NO21" s="989">
        <f t="shared" si="121"/>
        <v>0</v>
      </c>
      <c r="NP21" s="989">
        <f t="shared" si="122"/>
        <v>0</v>
      </c>
      <c r="NQ21" s="989">
        <f t="shared" si="123"/>
        <v>0</v>
      </c>
      <c r="NR21" s="989">
        <f t="shared" si="124"/>
        <v>0</v>
      </c>
      <c r="NS21" s="989">
        <f t="shared" si="125"/>
        <v>0</v>
      </c>
      <c r="NT21" s="989">
        <f t="shared" si="126"/>
        <v>0</v>
      </c>
    </row>
    <row r="22" spans="1:384" ht="16.8" thickTop="1" thickBot="1">
      <c r="A22" s="1822">
        <v>21</v>
      </c>
      <c r="B22" s="1199"/>
      <c r="C22" s="1134">
        <v>1305737.9219952861</v>
      </c>
      <c r="D22" s="1199">
        <v>8186030.9935890092</v>
      </c>
      <c r="E22" s="20"/>
      <c r="F22" s="1843">
        <f t="shared" si="12"/>
        <v>9491768.915584296</v>
      </c>
      <c r="G22" s="951">
        <v>0</v>
      </c>
      <c r="H22" s="806">
        <v>13.932562485159311</v>
      </c>
      <c r="I22" s="806">
        <v>74.525629988411197</v>
      </c>
      <c r="J22" s="806">
        <v>11.541807526429491</v>
      </c>
      <c r="K22" s="806">
        <v>0</v>
      </c>
      <c r="L22" s="806">
        <v>0</v>
      </c>
      <c r="M22" s="806">
        <v>0</v>
      </c>
      <c r="N22" s="806">
        <v>0</v>
      </c>
      <c r="O22" s="806">
        <v>0</v>
      </c>
      <c r="P22" s="806">
        <v>0</v>
      </c>
      <c r="Q22" s="806"/>
      <c r="R22" s="806"/>
      <c r="S22" s="2"/>
      <c r="T22" s="114">
        <v>21</v>
      </c>
      <c r="U22" s="2">
        <f t="shared" si="127"/>
        <v>0</v>
      </c>
      <c r="V22" s="2">
        <f t="shared" si="13"/>
        <v>1322446.6351107105</v>
      </c>
      <c r="W22" s="2">
        <f t="shared" si="14"/>
        <v>7073800.581383382</v>
      </c>
      <c r="X22" s="2">
        <f t="shared" si="15"/>
        <v>1095521.699090203</v>
      </c>
      <c r="Y22" s="2">
        <f t="shared" si="16"/>
        <v>0</v>
      </c>
      <c r="Z22" s="2">
        <f t="shared" si="17"/>
        <v>0</v>
      </c>
      <c r="AA22" s="2">
        <f t="shared" si="18"/>
        <v>0</v>
      </c>
      <c r="AB22" s="2">
        <f t="shared" si="19"/>
        <v>0</v>
      </c>
      <c r="AC22" s="2">
        <f t="shared" si="20"/>
        <v>0</v>
      </c>
      <c r="AD22" s="2">
        <f t="shared" si="21"/>
        <v>0</v>
      </c>
      <c r="AE22" s="2">
        <f t="shared" si="22"/>
        <v>0</v>
      </c>
      <c r="AF22" s="1844">
        <v>21</v>
      </c>
      <c r="AG22" s="1724">
        <f t="shared" si="23"/>
        <v>0</v>
      </c>
      <c r="AH22" s="1724">
        <f t="shared" si="24"/>
        <v>27771379.337324921</v>
      </c>
      <c r="AI22" s="1724">
        <f t="shared" si="25"/>
        <v>148549812.20905101</v>
      </c>
      <c r="AJ22" s="1724">
        <f t="shared" si="26"/>
        <v>23005955.680894263</v>
      </c>
      <c r="AK22" s="1724">
        <f t="shared" si="27"/>
        <v>0</v>
      </c>
      <c r="AL22" s="1724">
        <f t="shared" si="28"/>
        <v>0</v>
      </c>
      <c r="AM22" s="1724">
        <f t="shared" si="29"/>
        <v>0</v>
      </c>
      <c r="AN22" s="1724">
        <f t="shared" si="30"/>
        <v>0</v>
      </c>
      <c r="AO22" s="1724">
        <f t="shared" si="31"/>
        <v>0</v>
      </c>
      <c r="AP22" s="1724">
        <f t="shared" si="32"/>
        <v>0</v>
      </c>
      <c r="AR22" s="1822">
        <v>21</v>
      </c>
      <c r="AS22" s="1199"/>
      <c r="AT22" s="1">
        <v>374850.34716845059</v>
      </c>
      <c r="AU22" s="1">
        <v>17219716.042821482</v>
      </c>
      <c r="AV22" s="20"/>
      <c r="AW22" s="1843">
        <f t="shared" si="33"/>
        <v>17594566.389989931</v>
      </c>
      <c r="AX22" s="546"/>
      <c r="AY22" s="547"/>
      <c r="AZ22" s="548">
        <v>73.3</v>
      </c>
      <c r="BA22" s="548">
        <v>26.7</v>
      </c>
      <c r="BB22" s="548"/>
      <c r="BC22" s="548"/>
      <c r="BD22" s="548"/>
      <c r="BE22" s="548"/>
      <c r="BF22" s="806"/>
      <c r="BG22" s="806"/>
      <c r="BH22" s="806"/>
      <c r="BI22" s="806"/>
      <c r="BJ22" s="2"/>
      <c r="BK22" s="114">
        <v>21</v>
      </c>
      <c r="BL22" s="2">
        <f t="shared" si="128"/>
        <v>0</v>
      </c>
      <c r="BM22" s="2">
        <f t="shared" si="129"/>
        <v>0</v>
      </c>
      <c r="BN22" s="2">
        <f t="shared" si="130"/>
        <v>12896817.16386262</v>
      </c>
      <c r="BO22" s="2">
        <f t="shared" si="131"/>
        <v>4697749.2261273116</v>
      </c>
      <c r="BP22" s="2">
        <f t="shared" si="132"/>
        <v>0</v>
      </c>
      <c r="BQ22" s="2">
        <f t="shared" si="133"/>
        <v>0</v>
      </c>
      <c r="BR22" s="2">
        <f t="shared" si="134"/>
        <v>0</v>
      </c>
      <c r="BS22" s="2">
        <f t="shared" si="135"/>
        <v>0</v>
      </c>
      <c r="BT22" s="2">
        <f t="shared" si="136"/>
        <v>0</v>
      </c>
      <c r="BU22" s="2">
        <f t="shared" si="137"/>
        <v>0</v>
      </c>
      <c r="BV22" s="2">
        <f t="shared" si="138"/>
        <v>0</v>
      </c>
      <c r="BW22" s="1844">
        <v>21</v>
      </c>
      <c r="BX22" s="1724">
        <f t="shared" si="139"/>
        <v>0</v>
      </c>
      <c r="BY22" s="1724">
        <f t="shared" si="3"/>
        <v>0</v>
      </c>
      <c r="BZ22" s="1724">
        <f t="shared" si="4"/>
        <v>270833160.44111502</v>
      </c>
      <c r="CA22" s="1724">
        <f t="shared" si="5"/>
        <v>98652733.748673543</v>
      </c>
      <c r="CB22" s="1724">
        <f t="shared" si="6"/>
        <v>0</v>
      </c>
      <c r="CC22" s="1724">
        <f t="shared" si="7"/>
        <v>0</v>
      </c>
      <c r="CD22" s="1724">
        <f t="shared" si="8"/>
        <v>0</v>
      </c>
      <c r="CE22" s="1724">
        <f t="shared" si="9"/>
        <v>0</v>
      </c>
      <c r="CF22" s="1724">
        <f t="shared" si="10"/>
        <v>0</v>
      </c>
      <c r="CG22" s="1724">
        <f t="shared" si="11"/>
        <v>0</v>
      </c>
      <c r="CH22" s="75"/>
      <c r="CM22" s="638"/>
      <c r="CN22" s="1847">
        <v>19</v>
      </c>
      <c r="CO22" s="1851"/>
      <c r="CP22" s="2">
        <v>34558746.0249331</v>
      </c>
      <c r="CQ22" s="2">
        <v>2142557.9994446654</v>
      </c>
      <c r="CR22" s="646">
        <f t="shared" si="63"/>
        <v>36701304.024377763</v>
      </c>
      <c r="CS22" s="1141"/>
      <c r="CT22" s="648"/>
      <c r="CU22" s="649"/>
      <c r="CV22" s="650"/>
      <c r="CW22" s="650"/>
      <c r="CX22" s="650"/>
      <c r="CY22" s="650"/>
      <c r="CZ22" s="650"/>
      <c r="DA22" s="650"/>
      <c r="DB22" s="808"/>
      <c r="DC22" s="808"/>
      <c r="DD22" s="808"/>
      <c r="DE22" s="808"/>
      <c r="DF22" s="451"/>
      <c r="DG22" s="647">
        <v>19</v>
      </c>
      <c r="DH22" s="2">
        <v>100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451">
        <v>0</v>
      </c>
      <c r="DS22" s="1847">
        <v>19</v>
      </c>
      <c r="DT22" s="192">
        <f t="shared" si="35"/>
        <v>36701304.024377763</v>
      </c>
      <c r="DU22" s="192">
        <f t="shared" si="36"/>
        <v>0</v>
      </c>
      <c r="DV22" s="192">
        <f t="shared" si="37"/>
        <v>0</v>
      </c>
      <c r="DW22" s="192">
        <f t="shared" si="38"/>
        <v>0</v>
      </c>
      <c r="DX22" s="192">
        <f t="shared" si="39"/>
        <v>0</v>
      </c>
      <c r="DY22" s="192">
        <f t="shared" si="40"/>
        <v>0</v>
      </c>
      <c r="DZ22" s="192">
        <f t="shared" si="41"/>
        <v>0</v>
      </c>
      <c r="EA22" s="192">
        <f t="shared" si="42"/>
        <v>0</v>
      </c>
      <c r="EB22" s="192">
        <f t="shared" si="43"/>
        <v>0</v>
      </c>
      <c r="EC22" s="192">
        <f t="shared" si="44"/>
        <v>0</v>
      </c>
      <c r="ED22" s="192">
        <f t="shared" si="45"/>
        <v>0</v>
      </c>
      <c r="EE22" s="667">
        <f t="shared" si="46"/>
        <v>36701304.024377763</v>
      </c>
      <c r="EH22" s="973">
        <v>20</v>
      </c>
      <c r="EI22" s="974">
        <v>2.2727272727272729</v>
      </c>
      <c r="EJ22" s="974">
        <v>72.727272727272734</v>
      </c>
      <c r="EK22" s="974">
        <v>25</v>
      </c>
      <c r="EL22" s="974"/>
      <c r="EM22" s="974"/>
      <c r="EN22" s="974"/>
      <c r="EO22" s="974"/>
      <c r="EP22" s="974"/>
      <c r="EQ22" s="974"/>
      <c r="ER22" s="974"/>
      <c r="ES22" s="974"/>
      <c r="EX22" s="977">
        <v>100</v>
      </c>
      <c r="EY22" s="357">
        <v>11863978.100864561</v>
      </c>
      <c r="EZ22" s="989">
        <f t="shared" si="64"/>
        <v>269635.86592874007</v>
      </c>
      <c r="FA22" s="989">
        <f t="shared" si="47"/>
        <v>8628347.7097196821</v>
      </c>
      <c r="FB22" s="989">
        <f t="shared" si="48"/>
        <v>2965994.5252161403</v>
      </c>
      <c r="FC22" s="989">
        <f t="shared" si="49"/>
        <v>0</v>
      </c>
      <c r="FD22" s="989">
        <f t="shared" si="50"/>
        <v>0</v>
      </c>
      <c r="FE22" s="989">
        <f t="shared" si="51"/>
        <v>0</v>
      </c>
      <c r="FF22" s="989">
        <f t="shared" si="52"/>
        <v>0</v>
      </c>
      <c r="FG22" s="989">
        <f t="shared" si="53"/>
        <v>0</v>
      </c>
      <c r="FH22" s="989">
        <f t="shared" si="54"/>
        <v>0</v>
      </c>
      <c r="FI22" s="989">
        <f t="shared" si="55"/>
        <v>0</v>
      </c>
      <c r="FJ22" s="989">
        <f t="shared" si="56"/>
        <v>0</v>
      </c>
      <c r="FM22" s="1005">
        <v>20</v>
      </c>
      <c r="FN22" s="1003">
        <v>100</v>
      </c>
      <c r="FO22" s="1003"/>
      <c r="FP22" s="1003"/>
      <c r="FQ22" s="1003"/>
      <c r="FR22" s="1003"/>
      <c r="FS22" s="1003"/>
      <c r="FT22" s="1003"/>
      <c r="FU22" s="1003"/>
      <c r="FV22" s="1003"/>
      <c r="FW22" s="1003"/>
      <c r="FX22" s="1003"/>
      <c r="FY22" s="1003"/>
      <c r="FZ22" s="1003"/>
      <c r="GA22" s="1003"/>
      <c r="GB22" s="1004">
        <v>0</v>
      </c>
      <c r="GC22" s="1005">
        <v>20</v>
      </c>
      <c r="GD22" s="2">
        <v>3281456.5226317933</v>
      </c>
      <c r="GE22" s="989">
        <f t="shared" si="152"/>
        <v>3281456.5226317928</v>
      </c>
      <c r="GF22" s="989">
        <f t="shared" si="153"/>
        <v>0</v>
      </c>
      <c r="GG22" s="989">
        <f t="shared" si="154"/>
        <v>0</v>
      </c>
      <c r="GH22" s="989">
        <f t="shared" si="155"/>
        <v>0</v>
      </c>
      <c r="GI22" s="989">
        <f t="shared" si="156"/>
        <v>0</v>
      </c>
      <c r="GJ22" s="989">
        <f t="shared" si="157"/>
        <v>0</v>
      </c>
      <c r="GK22" s="989">
        <f t="shared" si="158"/>
        <v>0</v>
      </c>
      <c r="GL22" s="989">
        <f t="shared" si="159"/>
        <v>0</v>
      </c>
      <c r="GM22" s="989">
        <f t="shared" si="160"/>
        <v>0</v>
      </c>
      <c r="GN22" s="989">
        <f t="shared" si="161"/>
        <v>0</v>
      </c>
      <c r="GO22" s="989">
        <f t="shared" si="162"/>
        <v>0</v>
      </c>
      <c r="GP22" s="989">
        <f t="shared" si="163"/>
        <v>0</v>
      </c>
      <c r="GQ22" s="989">
        <f t="shared" si="164"/>
        <v>0</v>
      </c>
      <c r="GR22" s="989">
        <f t="shared" si="165"/>
        <v>0</v>
      </c>
      <c r="GX22" s="1032">
        <v>20</v>
      </c>
      <c r="GY22" s="1">
        <v>36019957.012815744</v>
      </c>
      <c r="GZ22" s="1038"/>
      <c r="HA22" s="1039">
        <v>18.181818181818183</v>
      </c>
      <c r="HB22" s="1039">
        <v>81.818181818181813</v>
      </c>
      <c r="HC22" s="1039"/>
      <c r="HD22" s="1039"/>
      <c r="HE22" s="1039"/>
      <c r="HF22" s="1039"/>
      <c r="HG22" s="1039"/>
      <c r="HH22" s="1039"/>
      <c r="HI22" s="1039"/>
      <c r="HJ22" s="1039"/>
      <c r="HK22" s="1039"/>
      <c r="HL22" s="1039"/>
      <c r="HM22" s="1848">
        <f t="shared" si="66"/>
        <v>100</v>
      </c>
      <c r="HN22" s="989">
        <f t="shared" si="67"/>
        <v>0</v>
      </c>
      <c r="HO22" s="989">
        <f t="shared" si="68"/>
        <v>6549083.0932392264</v>
      </c>
      <c r="HP22" s="989">
        <f t="shared" si="69"/>
        <v>29470873.919576515</v>
      </c>
      <c r="HQ22" s="989">
        <f t="shared" si="70"/>
        <v>0</v>
      </c>
      <c r="HR22" s="989">
        <f t="shared" si="71"/>
        <v>0</v>
      </c>
      <c r="HS22" s="989">
        <f t="shared" si="72"/>
        <v>0</v>
      </c>
      <c r="HT22" s="989">
        <f t="shared" si="73"/>
        <v>0</v>
      </c>
      <c r="HU22" s="989">
        <f t="shared" si="74"/>
        <v>0</v>
      </c>
      <c r="HV22" s="989">
        <f t="shared" si="75"/>
        <v>0</v>
      </c>
      <c r="HW22" s="989">
        <f t="shared" si="76"/>
        <v>0</v>
      </c>
      <c r="HX22" s="989">
        <f t="shared" si="77"/>
        <v>0</v>
      </c>
      <c r="HY22" s="989">
        <f t="shared" si="78"/>
        <v>0</v>
      </c>
      <c r="HZ22" s="989">
        <f t="shared" si="79"/>
        <v>0</v>
      </c>
      <c r="IE22" s="2">
        <v>19176613.276068356</v>
      </c>
      <c r="IF22" s="1002">
        <v>15</v>
      </c>
      <c r="IG22" s="553">
        <v>88.235294117647058</v>
      </c>
      <c r="IH22" s="553">
        <v>11.764705882352942</v>
      </c>
      <c r="II22" s="553"/>
      <c r="IJ22" s="553"/>
      <c r="IK22" s="553"/>
      <c r="IL22" s="553"/>
      <c r="IM22" s="553"/>
      <c r="IN22" s="553"/>
      <c r="IO22" s="553"/>
      <c r="IP22" s="553"/>
      <c r="IQ22" s="553"/>
      <c r="IS22" s="1270">
        <v>15</v>
      </c>
      <c r="IT22" s="989">
        <f t="shared" si="80"/>
        <v>16920541.125942666</v>
      </c>
      <c r="IU22" s="989">
        <f t="shared" si="81"/>
        <v>2256072.1501256893</v>
      </c>
      <c r="IV22" s="989">
        <f t="shared" si="82"/>
        <v>0</v>
      </c>
      <c r="IW22" s="989">
        <f t="shared" si="83"/>
        <v>0</v>
      </c>
      <c r="IX22" s="989">
        <f t="shared" si="84"/>
        <v>0</v>
      </c>
      <c r="IY22" s="989">
        <f t="shared" si="85"/>
        <v>0</v>
      </c>
      <c r="IZ22" s="989">
        <f t="shared" si="86"/>
        <v>0</v>
      </c>
      <c r="JA22" s="989">
        <f t="shared" si="87"/>
        <v>0</v>
      </c>
      <c r="JB22" s="989">
        <f t="shared" si="88"/>
        <v>0</v>
      </c>
      <c r="JC22" s="989">
        <f t="shared" si="89"/>
        <v>0</v>
      </c>
      <c r="JD22" s="989">
        <f t="shared" si="90"/>
        <v>0</v>
      </c>
      <c r="JE22" s="989">
        <f t="shared" si="91"/>
        <v>0</v>
      </c>
      <c r="JG22" s="1">
        <v>0</v>
      </c>
      <c r="JH22" s="1002">
        <v>15</v>
      </c>
      <c r="JJ22" s="1">
        <v>100</v>
      </c>
      <c r="JW22" s="989">
        <f t="shared" si="103"/>
        <v>0</v>
      </c>
      <c r="JX22" s="989">
        <f t="shared" si="104"/>
        <v>0</v>
      </c>
      <c r="JY22" s="989">
        <f t="shared" si="92"/>
        <v>0</v>
      </c>
      <c r="JZ22" s="989">
        <f t="shared" si="93"/>
        <v>0</v>
      </c>
      <c r="KA22" s="989">
        <f t="shared" si="94"/>
        <v>0</v>
      </c>
      <c r="KB22" s="989">
        <f t="shared" si="95"/>
        <v>0</v>
      </c>
      <c r="KC22" s="989">
        <f t="shared" si="96"/>
        <v>0</v>
      </c>
      <c r="KD22" s="989">
        <f t="shared" si="97"/>
        <v>0</v>
      </c>
      <c r="KE22" s="989">
        <f t="shared" si="98"/>
        <v>0</v>
      </c>
      <c r="KF22" s="989">
        <f t="shared" si="99"/>
        <v>0</v>
      </c>
      <c r="KG22" s="989">
        <f t="shared" si="100"/>
        <v>0</v>
      </c>
      <c r="KJ22" s="192">
        <f t="shared" si="105"/>
        <v>16920541.125942666</v>
      </c>
      <c r="KK22" s="192">
        <f t="shared" si="106"/>
        <v>2256072.1501256893</v>
      </c>
      <c r="KL22" s="192">
        <f t="shared" si="107"/>
        <v>0</v>
      </c>
      <c r="KM22" s="192">
        <f t="shared" si="108"/>
        <v>0</v>
      </c>
      <c r="KN22" s="192">
        <f t="shared" si="109"/>
        <v>0</v>
      </c>
      <c r="KO22" s="192">
        <f t="shared" si="110"/>
        <v>0</v>
      </c>
      <c r="KP22" s="192">
        <f t="shared" si="111"/>
        <v>0</v>
      </c>
      <c r="KQ22" s="192">
        <f t="shared" si="112"/>
        <v>0</v>
      </c>
      <c r="KR22" s="192">
        <f t="shared" si="113"/>
        <v>0</v>
      </c>
      <c r="KS22" s="192">
        <f t="shared" si="114"/>
        <v>0</v>
      </c>
      <c r="KT22" s="192">
        <f t="shared" si="115"/>
        <v>0</v>
      </c>
      <c r="KV22" s="1032">
        <v>20</v>
      </c>
      <c r="KW22" s="2">
        <v>37854330.466169491</v>
      </c>
      <c r="KX22" s="1">
        <v>0</v>
      </c>
      <c r="KY22" s="1">
        <v>80</v>
      </c>
      <c r="KZ22" s="1">
        <v>20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J22" s="989">
        <f t="shared" si="141"/>
        <v>0</v>
      </c>
      <c r="LK22" s="989">
        <f t="shared" si="142"/>
        <v>30283464.372935589</v>
      </c>
      <c r="LL22" s="989">
        <f t="shared" si="143"/>
        <v>7570866.0932338974</v>
      </c>
      <c r="LM22" s="989">
        <f t="shared" si="144"/>
        <v>0</v>
      </c>
      <c r="LN22" s="989">
        <f t="shared" si="145"/>
        <v>0</v>
      </c>
      <c r="LO22" s="989">
        <f t="shared" si="146"/>
        <v>0</v>
      </c>
      <c r="LP22" s="989">
        <f t="shared" si="147"/>
        <v>0</v>
      </c>
      <c r="LQ22" s="989">
        <f t="shared" si="148"/>
        <v>0</v>
      </c>
      <c r="LR22" s="989">
        <f t="shared" si="149"/>
        <v>0</v>
      </c>
      <c r="LS22" s="989">
        <f t="shared" si="150"/>
        <v>0</v>
      </c>
      <c r="LT22" s="989">
        <f t="shared" si="151"/>
        <v>0</v>
      </c>
      <c r="LV22" s="2">
        <v>539975.94052700023</v>
      </c>
      <c r="LW22" s="1446">
        <v>100</v>
      </c>
      <c r="LX22" s="1446">
        <v>0</v>
      </c>
      <c r="LY22" s="1446">
        <v>0</v>
      </c>
      <c r="LZ22" s="1446">
        <v>0</v>
      </c>
      <c r="MA22" s="1446">
        <v>0</v>
      </c>
      <c r="MB22" s="1446">
        <v>0</v>
      </c>
      <c r="MC22" s="1446">
        <v>0</v>
      </c>
      <c r="MD22" s="1446">
        <v>0</v>
      </c>
      <c r="ME22" s="1446">
        <v>0</v>
      </c>
      <c r="MF22" s="1446">
        <v>0</v>
      </c>
      <c r="MH22" s="1">
        <f t="shared" si="166"/>
        <v>100</v>
      </c>
      <c r="MI22" s="989">
        <f t="shared" si="167"/>
        <v>539975.94052700023</v>
      </c>
      <c r="MJ22" s="989">
        <f t="shared" si="168"/>
        <v>0</v>
      </c>
      <c r="MK22" s="989">
        <f t="shared" si="169"/>
        <v>0</v>
      </c>
      <c r="ML22" s="989">
        <f t="shared" si="170"/>
        <v>0</v>
      </c>
      <c r="MM22" s="989">
        <f t="shared" si="171"/>
        <v>0</v>
      </c>
      <c r="MN22" s="989">
        <f t="shared" si="172"/>
        <v>0</v>
      </c>
      <c r="MO22" s="989">
        <f t="shared" si="173"/>
        <v>0</v>
      </c>
      <c r="MP22" s="989">
        <f t="shared" si="174"/>
        <v>0</v>
      </c>
      <c r="MQ22" s="989">
        <f t="shared" si="175"/>
        <v>0</v>
      </c>
      <c r="MR22" s="989">
        <f t="shared" si="176"/>
        <v>0</v>
      </c>
      <c r="MS22" s="989">
        <f t="shared" si="177"/>
        <v>0</v>
      </c>
      <c r="MU22" s="1032">
        <v>20</v>
      </c>
      <c r="MV22" s="57">
        <v>28663353.481890094</v>
      </c>
      <c r="MW22" s="1964"/>
      <c r="MX22" s="1964">
        <v>75</v>
      </c>
      <c r="MY22" s="1964">
        <v>25</v>
      </c>
      <c r="MZ22" s="1964"/>
      <c r="NA22" s="1964"/>
      <c r="NB22" s="1964"/>
      <c r="NC22" s="1964"/>
      <c r="ND22" s="1964"/>
      <c r="NE22" s="1964"/>
      <c r="NF22" s="1964"/>
      <c r="NG22" s="1964"/>
      <c r="NJ22" s="989">
        <f t="shared" si="116"/>
        <v>0</v>
      </c>
      <c r="NK22" s="989">
        <f t="shared" si="117"/>
        <v>21497515.111417569</v>
      </c>
      <c r="NL22" s="989">
        <f t="shared" si="118"/>
        <v>7165838.3704725234</v>
      </c>
      <c r="NM22" s="989">
        <f t="shared" si="119"/>
        <v>0</v>
      </c>
      <c r="NN22" s="989">
        <f t="shared" si="120"/>
        <v>0</v>
      </c>
      <c r="NO22" s="989">
        <f t="shared" si="121"/>
        <v>0</v>
      </c>
      <c r="NP22" s="989">
        <f t="shared" si="122"/>
        <v>0</v>
      </c>
      <c r="NQ22" s="989">
        <f t="shared" si="123"/>
        <v>0</v>
      </c>
      <c r="NR22" s="989">
        <f t="shared" si="124"/>
        <v>0</v>
      </c>
      <c r="NS22" s="989">
        <f t="shared" si="125"/>
        <v>0</v>
      </c>
      <c r="NT22" s="989">
        <f t="shared" si="126"/>
        <v>0</v>
      </c>
    </row>
    <row r="23" spans="1:384" ht="16.8" thickTop="1" thickBot="1">
      <c r="A23" s="1822">
        <v>22</v>
      </c>
      <c r="B23" s="1199"/>
      <c r="C23" s="1134">
        <v>1918202.258729015</v>
      </c>
      <c r="D23" s="1199">
        <v>15436159.12566592</v>
      </c>
      <c r="E23" s="20"/>
      <c r="F23" s="1843">
        <f t="shared" si="12"/>
        <v>17354361.384394936</v>
      </c>
      <c r="G23" s="951">
        <v>0</v>
      </c>
      <c r="H23" s="806">
        <v>4.9030406928755408</v>
      </c>
      <c r="I23" s="806">
        <v>52.866132733392554</v>
      </c>
      <c r="J23" s="806">
        <v>42.23082657373191</v>
      </c>
      <c r="K23" s="806">
        <v>0</v>
      </c>
      <c r="L23" s="806">
        <v>0</v>
      </c>
      <c r="M23" s="806">
        <v>0</v>
      </c>
      <c r="N23" s="806">
        <v>0</v>
      </c>
      <c r="O23" s="806">
        <v>0</v>
      </c>
      <c r="P23" s="806">
        <v>0</v>
      </c>
      <c r="Q23" s="806"/>
      <c r="R23" s="806"/>
      <c r="S23" s="2"/>
      <c r="T23" s="114">
        <v>22</v>
      </c>
      <c r="U23" s="2">
        <f t="shared" si="127"/>
        <v>0</v>
      </c>
      <c r="V23" s="2">
        <f t="shared" si="13"/>
        <v>850891.40066556272</v>
      </c>
      <c r="W23" s="2">
        <f t="shared" si="14"/>
        <v>9174579.7245068494</v>
      </c>
      <c r="X23" s="2">
        <f t="shared" si="15"/>
        <v>7328890.2592225252</v>
      </c>
      <c r="Y23" s="2">
        <f t="shared" si="16"/>
        <v>0</v>
      </c>
      <c r="Z23" s="2">
        <f t="shared" si="17"/>
        <v>0</v>
      </c>
      <c r="AA23" s="2">
        <f t="shared" si="18"/>
        <v>0</v>
      </c>
      <c r="AB23" s="2">
        <f t="shared" si="19"/>
        <v>0</v>
      </c>
      <c r="AC23" s="2">
        <f t="shared" si="20"/>
        <v>0</v>
      </c>
      <c r="AD23" s="2">
        <f t="shared" si="21"/>
        <v>0</v>
      </c>
      <c r="AE23" s="2">
        <f t="shared" si="22"/>
        <v>0</v>
      </c>
      <c r="AF23" s="1844">
        <v>22</v>
      </c>
      <c r="AG23" s="1724">
        <f t="shared" si="23"/>
        <v>0</v>
      </c>
      <c r="AH23" s="1724">
        <f t="shared" si="24"/>
        <v>18719610.814642381</v>
      </c>
      <c r="AI23" s="1724">
        <f t="shared" si="25"/>
        <v>201840753.93915069</v>
      </c>
      <c r="AJ23" s="1724">
        <f t="shared" si="26"/>
        <v>161235585.70289555</v>
      </c>
      <c r="AK23" s="1724">
        <f t="shared" si="27"/>
        <v>0</v>
      </c>
      <c r="AL23" s="1724">
        <f t="shared" si="28"/>
        <v>0</v>
      </c>
      <c r="AM23" s="1724">
        <f t="shared" si="29"/>
        <v>0</v>
      </c>
      <c r="AN23" s="1724">
        <f t="shared" si="30"/>
        <v>0</v>
      </c>
      <c r="AO23" s="1724">
        <f t="shared" si="31"/>
        <v>0</v>
      </c>
      <c r="AP23" s="1724">
        <f t="shared" si="32"/>
        <v>0</v>
      </c>
      <c r="AR23" s="1822">
        <v>22</v>
      </c>
      <c r="AS23" s="1199"/>
      <c r="AT23" s="1">
        <v>1576274.6741245536</v>
      </c>
      <c r="AU23" s="1">
        <v>22765389.947389688</v>
      </c>
      <c r="AV23" s="20"/>
      <c r="AW23" s="1843">
        <f t="shared" si="33"/>
        <v>24341664.621514242</v>
      </c>
      <c r="AX23" s="807"/>
      <c r="AY23" s="953"/>
      <c r="AZ23" s="1849">
        <v>46.7</v>
      </c>
      <c r="BA23" s="1849">
        <v>53.3</v>
      </c>
      <c r="BB23" s="1849"/>
      <c r="BC23" s="1849"/>
      <c r="BD23" s="1849"/>
      <c r="BE23" s="1849"/>
      <c r="BF23" s="806"/>
      <c r="BG23" s="806"/>
      <c r="BH23" s="806"/>
      <c r="BI23" s="806"/>
      <c r="BJ23" s="2"/>
      <c r="BK23" s="114">
        <v>22</v>
      </c>
      <c r="BL23" s="2">
        <f t="shared" si="128"/>
        <v>0</v>
      </c>
      <c r="BM23" s="2">
        <f t="shared" si="129"/>
        <v>0</v>
      </c>
      <c r="BN23" s="2">
        <f t="shared" si="130"/>
        <v>11367557.378247151</v>
      </c>
      <c r="BO23" s="2">
        <f t="shared" si="131"/>
        <v>12974107.243267091</v>
      </c>
      <c r="BP23" s="2">
        <f t="shared" si="132"/>
        <v>0</v>
      </c>
      <c r="BQ23" s="2">
        <f t="shared" si="133"/>
        <v>0</v>
      </c>
      <c r="BR23" s="2">
        <f t="shared" si="134"/>
        <v>0</v>
      </c>
      <c r="BS23" s="2">
        <f t="shared" si="135"/>
        <v>0</v>
      </c>
      <c r="BT23" s="2">
        <f t="shared" si="136"/>
        <v>0</v>
      </c>
      <c r="BU23" s="2">
        <f t="shared" si="137"/>
        <v>0</v>
      </c>
      <c r="BV23" s="2">
        <f t="shared" si="138"/>
        <v>0</v>
      </c>
      <c r="BW23" s="1844">
        <v>22</v>
      </c>
      <c r="BX23" s="1724">
        <f t="shared" si="139"/>
        <v>0</v>
      </c>
      <c r="BY23" s="1724">
        <f t="shared" si="3"/>
        <v>0</v>
      </c>
      <c r="BZ23" s="1724">
        <f t="shared" si="4"/>
        <v>250086262.32143733</v>
      </c>
      <c r="CA23" s="1724">
        <f t="shared" si="5"/>
        <v>285430359.35187602</v>
      </c>
      <c r="CB23" s="1724">
        <f t="shared" si="6"/>
        <v>0</v>
      </c>
      <c r="CC23" s="1724">
        <f t="shared" si="7"/>
        <v>0</v>
      </c>
      <c r="CD23" s="1724">
        <f t="shared" si="8"/>
        <v>0</v>
      </c>
      <c r="CE23" s="1724">
        <f t="shared" si="9"/>
        <v>0</v>
      </c>
      <c r="CF23" s="1724">
        <f t="shared" si="10"/>
        <v>0</v>
      </c>
      <c r="CG23" s="1724">
        <f t="shared" si="11"/>
        <v>0</v>
      </c>
      <c r="CH23" s="75"/>
      <c r="CM23" s="638"/>
      <c r="CN23" s="1847">
        <v>20</v>
      </c>
      <c r="CO23" s="1851"/>
      <c r="CP23" s="2">
        <v>12119938.982944766</v>
      </c>
      <c r="CQ23" s="2">
        <v>2649948.2556435815</v>
      </c>
      <c r="CR23" s="646">
        <f t="shared" si="63"/>
        <v>14769887.238588348</v>
      </c>
      <c r="CS23" s="1141"/>
      <c r="CT23" s="809"/>
      <c r="CU23" s="954"/>
      <c r="CV23" s="1850"/>
      <c r="CW23" s="1850"/>
      <c r="CX23" s="1850"/>
      <c r="CY23" s="1850"/>
      <c r="CZ23" s="1850"/>
      <c r="DA23" s="1850"/>
      <c r="DB23" s="808"/>
      <c r="DC23" s="808"/>
      <c r="DD23" s="808"/>
      <c r="DE23" s="808"/>
      <c r="DF23" s="451"/>
      <c r="DG23" s="647">
        <v>20</v>
      </c>
      <c r="DH23" s="553"/>
      <c r="DI23" s="554">
        <v>100</v>
      </c>
      <c r="DJ23" s="555"/>
      <c r="DK23" s="555"/>
      <c r="DL23" s="555"/>
      <c r="DM23" s="555"/>
      <c r="DN23" s="555"/>
      <c r="DO23" s="555"/>
      <c r="DP23" s="556"/>
      <c r="DQ23" s="556"/>
      <c r="DR23" s="556"/>
      <c r="DS23" s="1847">
        <v>20</v>
      </c>
      <c r="DT23" s="192">
        <f t="shared" si="35"/>
        <v>0</v>
      </c>
      <c r="DU23" s="192">
        <f t="shared" si="36"/>
        <v>14769887.238588348</v>
      </c>
      <c r="DV23" s="192">
        <f t="shared" si="37"/>
        <v>0</v>
      </c>
      <c r="DW23" s="192">
        <f t="shared" si="38"/>
        <v>0</v>
      </c>
      <c r="DX23" s="192">
        <f t="shared" si="39"/>
        <v>0</v>
      </c>
      <c r="DY23" s="192">
        <f t="shared" si="40"/>
        <v>0</v>
      </c>
      <c r="DZ23" s="192">
        <f t="shared" si="41"/>
        <v>0</v>
      </c>
      <c r="EA23" s="192">
        <f t="shared" si="42"/>
        <v>0</v>
      </c>
      <c r="EB23" s="192">
        <f t="shared" si="43"/>
        <v>0</v>
      </c>
      <c r="EC23" s="192">
        <f t="shared" si="44"/>
        <v>0</v>
      </c>
      <c r="ED23" s="192">
        <f t="shared" si="45"/>
        <v>0</v>
      </c>
      <c r="EE23" s="667">
        <f t="shared" si="46"/>
        <v>14769887.238588348</v>
      </c>
      <c r="EH23" s="973">
        <v>21</v>
      </c>
      <c r="EI23" s="974"/>
      <c r="EJ23" s="974">
        <v>37.5</v>
      </c>
      <c r="EK23" s="974">
        <v>52.083333333333336</v>
      </c>
      <c r="EL23" s="974">
        <v>10.416666666666666</v>
      </c>
      <c r="EM23" s="974"/>
      <c r="EN23" s="974"/>
      <c r="EO23" s="974"/>
      <c r="EP23" s="974"/>
      <c r="EQ23" s="974"/>
      <c r="ER23" s="974"/>
      <c r="ES23" s="974"/>
      <c r="EX23" s="975">
        <v>100.00000000000001</v>
      </c>
      <c r="EY23" s="357">
        <v>8893114.3668015841</v>
      </c>
      <c r="EZ23" s="989">
        <f t="shared" si="64"/>
        <v>0</v>
      </c>
      <c r="FA23" s="989">
        <f t="shared" si="47"/>
        <v>3334917.8875505943</v>
      </c>
      <c r="FB23" s="989">
        <f t="shared" si="48"/>
        <v>4631830.3993758252</v>
      </c>
      <c r="FC23" s="989">
        <f t="shared" si="49"/>
        <v>926366.0798751649</v>
      </c>
      <c r="FD23" s="989">
        <f t="shared" si="50"/>
        <v>0</v>
      </c>
      <c r="FE23" s="989">
        <f t="shared" si="51"/>
        <v>0</v>
      </c>
      <c r="FF23" s="989">
        <f t="shared" si="52"/>
        <v>0</v>
      </c>
      <c r="FG23" s="989">
        <f t="shared" si="53"/>
        <v>0</v>
      </c>
      <c r="FH23" s="989">
        <f t="shared" si="54"/>
        <v>0</v>
      </c>
      <c r="FI23" s="989">
        <f t="shared" si="55"/>
        <v>0</v>
      </c>
      <c r="FJ23" s="989">
        <f t="shared" si="56"/>
        <v>0</v>
      </c>
      <c r="FM23" s="1002">
        <v>21</v>
      </c>
      <c r="FN23" s="1003"/>
      <c r="FO23" s="1006">
        <v>100</v>
      </c>
      <c r="FP23" s="1006"/>
      <c r="FQ23" s="1006"/>
      <c r="FR23" s="1006"/>
      <c r="FS23" s="1006"/>
      <c r="FT23" s="1006"/>
      <c r="FU23" s="1006"/>
      <c r="FV23" s="1006"/>
      <c r="FW23" s="1006"/>
      <c r="FX23" s="1006"/>
      <c r="FY23" s="1006"/>
      <c r="FZ23" s="1006"/>
      <c r="GA23" s="1003"/>
      <c r="GB23" s="1004">
        <v>100</v>
      </c>
      <c r="GC23" s="1002">
        <v>21</v>
      </c>
      <c r="GD23" s="2">
        <v>8326132.2168873316</v>
      </c>
      <c r="GE23" s="989">
        <f t="shared" si="152"/>
        <v>0</v>
      </c>
      <c r="GF23" s="989">
        <f t="shared" si="153"/>
        <v>8326132.2168873306</v>
      </c>
      <c r="GG23" s="989">
        <f t="shared" si="154"/>
        <v>0</v>
      </c>
      <c r="GH23" s="989">
        <f t="shared" si="155"/>
        <v>0</v>
      </c>
      <c r="GI23" s="989">
        <f t="shared" si="156"/>
        <v>0</v>
      </c>
      <c r="GJ23" s="989">
        <f t="shared" si="157"/>
        <v>0</v>
      </c>
      <c r="GK23" s="989">
        <f t="shared" si="158"/>
        <v>0</v>
      </c>
      <c r="GL23" s="989">
        <f t="shared" si="159"/>
        <v>0</v>
      </c>
      <c r="GM23" s="989">
        <f t="shared" si="160"/>
        <v>0</v>
      </c>
      <c r="GN23" s="989">
        <f t="shared" si="161"/>
        <v>0</v>
      </c>
      <c r="GO23" s="989">
        <f t="shared" si="162"/>
        <v>0</v>
      </c>
      <c r="GP23" s="989">
        <f t="shared" si="163"/>
        <v>0</v>
      </c>
      <c r="GQ23" s="989">
        <f t="shared" si="164"/>
        <v>0</v>
      </c>
      <c r="GR23" s="989">
        <f t="shared" si="165"/>
        <v>0</v>
      </c>
      <c r="GX23" s="1032">
        <v>21</v>
      </c>
      <c r="GY23" s="1">
        <v>26268675.754229531</v>
      </c>
      <c r="GZ23" s="1041"/>
      <c r="HA23" s="1039">
        <v>29.166666666666668</v>
      </c>
      <c r="HB23" s="1039">
        <v>70.833333333333329</v>
      </c>
      <c r="HC23" s="1039"/>
      <c r="HD23" s="1039"/>
      <c r="HE23" s="1039"/>
      <c r="HF23" s="1039"/>
      <c r="HG23" s="1039"/>
      <c r="HH23" s="1039"/>
      <c r="HI23" s="1039"/>
      <c r="HJ23" s="1039"/>
      <c r="HK23" s="1039"/>
      <c r="HL23" s="1039"/>
      <c r="HM23" s="1848">
        <f t="shared" si="66"/>
        <v>100</v>
      </c>
      <c r="HN23" s="989">
        <f t="shared" si="67"/>
        <v>0</v>
      </c>
      <c r="HO23" s="989">
        <f t="shared" si="68"/>
        <v>7661697.0949836131</v>
      </c>
      <c r="HP23" s="989">
        <f t="shared" si="69"/>
        <v>18606978.659245916</v>
      </c>
      <c r="HQ23" s="989">
        <f t="shared" si="70"/>
        <v>0</v>
      </c>
      <c r="HR23" s="989">
        <f t="shared" si="71"/>
        <v>0</v>
      </c>
      <c r="HS23" s="989">
        <f t="shared" si="72"/>
        <v>0</v>
      </c>
      <c r="HT23" s="989">
        <f t="shared" si="73"/>
        <v>0</v>
      </c>
      <c r="HU23" s="989">
        <f t="shared" si="74"/>
        <v>0</v>
      </c>
      <c r="HV23" s="989">
        <f t="shared" si="75"/>
        <v>0</v>
      </c>
      <c r="HW23" s="989">
        <f t="shared" si="76"/>
        <v>0</v>
      </c>
      <c r="HX23" s="989">
        <f t="shared" si="77"/>
        <v>0</v>
      </c>
      <c r="HY23" s="989">
        <f t="shared" si="78"/>
        <v>0</v>
      </c>
      <c r="HZ23" s="989">
        <f t="shared" si="79"/>
        <v>0</v>
      </c>
      <c r="IE23" s="2">
        <v>17386538.733122312</v>
      </c>
      <c r="IF23" s="1268">
        <v>16</v>
      </c>
      <c r="IG23" s="553">
        <v>64.285714285714292</v>
      </c>
      <c r="IH23" s="553">
        <v>35.714285714285715</v>
      </c>
      <c r="II23" s="553"/>
      <c r="IJ23" s="553"/>
      <c r="IK23" s="553"/>
      <c r="IL23" s="553"/>
      <c r="IM23" s="553"/>
      <c r="IN23" s="553"/>
      <c r="IO23" s="553"/>
      <c r="IP23" s="553"/>
      <c r="IQ23" s="553"/>
      <c r="IS23" s="1270">
        <v>16</v>
      </c>
      <c r="IT23" s="989">
        <f t="shared" si="80"/>
        <v>11177060.614150058</v>
      </c>
      <c r="IU23" s="989">
        <f t="shared" si="81"/>
        <v>6209478.118972254</v>
      </c>
      <c r="IV23" s="989">
        <f t="shared" si="82"/>
        <v>0</v>
      </c>
      <c r="IW23" s="989">
        <f t="shared" si="83"/>
        <v>0</v>
      </c>
      <c r="IX23" s="989">
        <f t="shared" si="84"/>
        <v>0</v>
      </c>
      <c r="IY23" s="989">
        <f t="shared" si="85"/>
        <v>0</v>
      </c>
      <c r="IZ23" s="989">
        <f t="shared" si="86"/>
        <v>0</v>
      </c>
      <c r="JA23" s="989">
        <f t="shared" si="87"/>
        <v>0</v>
      </c>
      <c r="JB23" s="989">
        <f t="shared" si="88"/>
        <v>0</v>
      </c>
      <c r="JC23" s="989">
        <f t="shared" si="89"/>
        <v>0</v>
      </c>
      <c r="JD23" s="989">
        <f t="shared" si="90"/>
        <v>0</v>
      </c>
      <c r="JE23" s="989">
        <f t="shared" si="91"/>
        <v>0</v>
      </c>
      <c r="JG23" s="1">
        <v>0</v>
      </c>
      <c r="JH23" s="1005">
        <v>16</v>
      </c>
      <c r="JJ23" s="1">
        <v>100</v>
      </c>
      <c r="JW23" s="989">
        <f t="shared" si="103"/>
        <v>0</v>
      </c>
      <c r="JX23" s="989">
        <f t="shared" si="104"/>
        <v>0</v>
      </c>
      <c r="JY23" s="989">
        <f t="shared" si="92"/>
        <v>0</v>
      </c>
      <c r="JZ23" s="989">
        <f t="shared" si="93"/>
        <v>0</v>
      </c>
      <c r="KA23" s="989">
        <f t="shared" si="94"/>
        <v>0</v>
      </c>
      <c r="KB23" s="989">
        <f t="shared" si="95"/>
        <v>0</v>
      </c>
      <c r="KC23" s="989">
        <f t="shared" si="96"/>
        <v>0</v>
      </c>
      <c r="KD23" s="989">
        <f t="shared" si="97"/>
        <v>0</v>
      </c>
      <c r="KE23" s="989">
        <f t="shared" si="98"/>
        <v>0</v>
      </c>
      <c r="KF23" s="989">
        <f t="shared" si="99"/>
        <v>0</v>
      </c>
      <c r="KG23" s="989">
        <f t="shared" si="100"/>
        <v>0</v>
      </c>
      <c r="KJ23" s="192">
        <f t="shared" si="105"/>
        <v>11177060.614150058</v>
      </c>
      <c r="KK23" s="192">
        <f t="shared" si="106"/>
        <v>6209478.118972254</v>
      </c>
      <c r="KL23" s="192">
        <f t="shared" si="107"/>
        <v>0</v>
      </c>
      <c r="KM23" s="192">
        <f t="shared" si="108"/>
        <v>0</v>
      </c>
      <c r="KN23" s="192">
        <f t="shared" si="109"/>
        <v>0</v>
      </c>
      <c r="KO23" s="192">
        <f t="shared" si="110"/>
        <v>0</v>
      </c>
      <c r="KP23" s="192">
        <f t="shared" si="111"/>
        <v>0</v>
      </c>
      <c r="KQ23" s="192">
        <f t="shared" si="112"/>
        <v>0</v>
      </c>
      <c r="KR23" s="192">
        <f t="shared" si="113"/>
        <v>0</v>
      </c>
      <c r="KS23" s="192">
        <f t="shared" si="114"/>
        <v>0</v>
      </c>
      <c r="KT23" s="192">
        <f t="shared" si="115"/>
        <v>0</v>
      </c>
      <c r="KV23" s="1032">
        <v>21</v>
      </c>
      <c r="KW23" s="2">
        <v>39696124.231511183</v>
      </c>
      <c r="KX23" s="1">
        <v>0</v>
      </c>
      <c r="KY23" s="1">
        <v>46.15384615384616</v>
      </c>
      <c r="KZ23" s="1">
        <v>53.846153846153847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J23" s="989">
        <f t="shared" si="141"/>
        <v>0</v>
      </c>
      <c r="LK23" s="989">
        <f t="shared" si="142"/>
        <v>18321288.106851317</v>
      </c>
      <c r="LL23" s="989">
        <f t="shared" si="143"/>
        <v>21374836.124659866</v>
      </c>
      <c r="LM23" s="989">
        <f t="shared" si="144"/>
        <v>0</v>
      </c>
      <c r="LN23" s="989">
        <f t="shared" si="145"/>
        <v>0</v>
      </c>
      <c r="LO23" s="989">
        <f t="shared" si="146"/>
        <v>0</v>
      </c>
      <c r="LP23" s="989">
        <f t="shared" si="147"/>
        <v>0</v>
      </c>
      <c r="LQ23" s="989">
        <f t="shared" si="148"/>
        <v>0</v>
      </c>
      <c r="LR23" s="989">
        <f t="shared" si="149"/>
        <v>0</v>
      </c>
      <c r="LS23" s="989">
        <f t="shared" si="150"/>
        <v>0</v>
      </c>
      <c r="LT23" s="989">
        <f t="shared" si="151"/>
        <v>0</v>
      </c>
      <c r="LV23" s="2">
        <v>1270282.5562842279</v>
      </c>
      <c r="LW23" s="1446">
        <v>80</v>
      </c>
      <c r="LX23" s="1446">
        <v>20</v>
      </c>
      <c r="LY23" s="1446">
        <v>0</v>
      </c>
      <c r="LZ23" s="1446">
        <v>0</v>
      </c>
      <c r="MA23" s="1446">
        <v>0</v>
      </c>
      <c r="MB23" s="1446">
        <v>0</v>
      </c>
      <c r="MC23" s="1446">
        <v>0</v>
      </c>
      <c r="MD23" s="1446">
        <v>0</v>
      </c>
      <c r="ME23" s="1446">
        <v>0</v>
      </c>
      <c r="MF23" s="1446">
        <v>0</v>
      </c>
      <c r="MH23" s="1">
        <f t="shared" si="166"/>
        <v>100</v>
      </c>
      <c r="MI23" s="989">
        <f t="shared" si="167"/>
        <v>1016226.0450273823</v>
      </c>
      <c r="MJ23" s="989">
        <f t="shared" si="168"/>
        <v>254056.51125684558</v>
      </c>
      <c r="MK23" s="989">
        <f t="shared" si="169"/>
        <v>0</v>
      </c>
      <c r="ML23" s="989">
        <f t="shared" si="170"/>
        <v>0</v>
      </c>
      <c r="MM23" s="989">
        <f t="shared" si="171"/>
        <v>0</v>
      </c>
      <c r="MN23" s="989">
        <f t="shared" si="172"/>
        <v>0</v>
      </c>
      <c r="MO23" s="989">
        <f t="shared" si="173"/>
        <v>0</v>
      </c>
      <c r="MP23" s="989">
        <f t="shared" si="174"/>
        <v>0</v>
      </c>
      <c r="MQ23" s="989">
        <f t="shared" si="175"/>
        <v>0</v>
      </c>
      <c r="MR23" s="989">
        <f t="shared" si="176"/>
        <v>0</v>
      </c>
      <c r="MS23" s="989">
        <f t="shared" si="177"/>
        <v>0</v>
      </c>
      <c r="MU23" s="1032">
        <v>21</v>
      </c>
      <c r="MV23" s="57">
        <v>12370513.376846274</v>
      </c>
      <c r="MW23" s="1964"/>
      <c r="MX23" s="1964">
        <v>32</v>
      </c>
      <c r="MY23" s="1964">
        <v>68</v>
      </c>
      <c r="MZ23" s="1964"/>
      <c r="NA23" s="1964"/>
      <c r="NB23" s="1964"/>
      <c r="NC23" s="1964"/>
      <c r="ND23" s="1964"/>
      <c r="NE23" s="1964"/>
      <c r="NF23" s="1964"/>
      <c r="NG23" s="1964"/>
      <c r="NJ23" s="989">
        <f t="shared" si="116"/>
        <v>0</v>
      </c>
      <c r="NK23" s="989">
        <f t="shared" si="117"/>
        <v>3958564.280590808</v>
      </c>
      <c r="NL23" s="989">
        <f t="shared" si="118"/>
        <v>8411949.0962554663</v>
      </c>
      <c r="NM23" s="989">
        <f t="shared" si="119"/>
        <v>0</v>
      </c>
      <c r="NN23" s="989">
        <f t="shared" si="120"/>
        <v>0</v>
      </c>
      <c r="NO23" s="989">
        <f t="shared" si="121"/>
        <v>0</v>
      </c>
      <c r="NP23" s="989">
        <f t="shared" si="122"/>
        <v>0</v>
      </c>
      <c r="NQ23" s="989">
        <f t="shared" si="123"/>
        <v>0</v>
      </c>
      <c r="NR23" s="989">
        <f t="shared" si="124"/>
        <v>0</v>
      </c>
      <c r="NS23" s="989">
        <f t="shared" si="125"/>
        <v>0</v>
      </c>
      <c r="NT23" s="989">
        <f t="shared" si="126"/>
        <v>0</v>
      </c>
    </row>
    <row r="24" spans="1:384" ht="16.8" thickTop="1" thickBot="1">
      <c r="A24" s="1822">
        <v>23</v>
      </c>
      <c r="B24" s="1199"/>
      <c r="C24" s="1134">
        <v>4728092.8589389399</v>
      </c>
      <c r="D24" s="1199">
        <v>21517208.79283167</v>
      </c>
      <c r="E24" s="20"/>
      <c r="F24" s="1843">
        <f t="shared" si="12"/>
        <v>26245301.65177061</v>
      </c>
      <c r="G24" s="951">
        <v>0</v>
      </c>
      <c r="H24" s="806">
        <v>0</v>
      </c>
      <c r="I24" s="806">
        <v>28.621035772245801</v>
      </c>
      <c r="J24" s="806">
        <v>71.315023419702101</v>
      </c>
      <c r="K24" s="806">
        <v>6.3940808052095982E-2</v>
      </c>
      <c r="L24" s="806">
        <v>0</v>
      </c>
      <c r="M24" s="806">
        <v>0</v>
      </c>
      <c r="N24" s="806">
        <v>0</v>
      </c>
      <c r="O24" s="806">
        <v>0</v>
      </c>
      <c r="P24" s="806">
        <v>0</v>
      </c>
      <c r="Q24" s="806"/>
      <c r="R24" s="806"/>
      <c r="S24" s="2"/>
      <c r="T24" s="114">
        <v>23</v>
      </c>
      <c r="U24" s="2">
        <f t="shared" si="127"/>
        <v>0</v>
      </c>
      <c r="V24" s="2">
        <f t="shared" si="13"/>
        <v>0</v>
      </c>
      <c r="W24" s="2">
        <f t="shared" si="14"/>
        <v>7511677.1742870845</v>
      </c>
      <c r="X24" s="2">
        <f t="shared" si="15"/>
        <v>18716843.019531671</v>
      </c>
      <c r="Y24" s="2">
        <f t="shared" si="16"/>
        <v>16781.457951852222</v>
      </c>
      <c r="Z24" s="2">
        <f t="shared" si="17"/>
        <v>0</v>
      </c>
      <c r="AA24" s="2">
        <f t="shared" si="18"/>
        <v>0</v>
      </c>
      <c r="AB24" s="2">
        <f t="shared" si="19"/>
        <v>0</v>
      </c>
      <c r="AC24" s="2">
        <f t="shared" si="20"/>
        <v>0</v>
      </c>
      <c r="AD24" s="2">
        <f t="shared" si="21"/>
        <v>0</v>
      </c>
      <c r="AE24" s="2">
        <f t="shared" si="22"/>
        <v>0</v>
      </c>
      <c r="AF24" s="1844">
        <v>23</v>
      </c>
      <c r="AG24" s="1724">
        <f t="shared" si="23"/>
        <v>0</v>
      </c>
      <c r="AH24" s="1724">
        <f t="shared" si="24"/>
        <v>0</v>
      </c>
      <c r="AI24" s="1724">
        <f t="shared" si="25"/>
        <v>172768575.00860295</v>
      </c>
      <c r="AJ24" s="1724">
        <f t="shared" si="26"/>
        <v>430487389.44922841</v>
      </c>
      <c r="AK24" s="1724">
        <f t="shared" si="27"/>
        <v>385973.5328926011</v>
      </c>
      <c r="AL24" s="1724">
        <f t="shared" si="28"/>
        <v>0</v>
      </c>
      <c r="AM24" s="1724">
        <f t="shared" si="29"/>
        <v>0</v>
      </c>
      <c r="AN24" s="1724">
        <f t="shared" si="30"/>
        <v>0</v>
      </c>
      <c r="AO24" s="1724">
        <f t="shared" si="31"/>
        <v>0</v>
      </c>
      <c r="AP24" s="1724">
        <f t="shared" si="32"/>
        <v>0</v>
      </c>
      <c r="AR24" s="1822">
        <v>23</v>
      </c>
      <c r="AS24" s="1199"/>
      <c r="AT24" s="1">
        <v>1761319.1101441039</v>
      </c>
      <c r="AU24" s="1">
        <v>12081467.615253882</v>
      </c>
      <c r="AV24" s="20"/>
      <c r="AW24" s="1843">
        <f t="shared" si="33"/>
        <v>13842786.725397985</v>
      </c>
      <c r="AX24" s="546"/>
      <c r="AY24" s="547"/>
      <c r="AZ24" s="548">
        <v>20</v>
      </c>
      <c r="BA24" s="548">
        <v>80</v>
      </c>
      <c r="BB24" s="548"/>
      <c r="BC24" s="548"/>
      <c r="BD24" s="548"/>
      <c r="BE24" s="548"/>
      <c r="BF24" s="806"/>
      <c r="BG24" s="806"/>
      <c r="BH24" s="806"/>
      <c r="BI24" s="806"/>
      <c r="BJ24" s="2"/>
      <c r="BK24" s="114">
        <v>23</v>
      </c>
      <c r="BL24" s="2">
        <f t="shared" si="128"/>
        <v>0</v>
      </c>
      <c r="BM24" s="2">
        <f t="shared" si="129"/>
        <v>0</v>
      </c>
      <c r="BN24" s="2">
        <f t="shared" si="130"/>
        <v>2768557.3450795971</v>
      </c>
      <c r="BO24" s="2">
        <f t="shared" si="131"/>
        <v>11074229.380318388</v>
      </c>
      <c r="BP24" s="2">
        <f t="shared" si="132"/>
        <v>0</v>
      </c>
      <c r="BQ24" s="2">
        <f t="shared" si="133"/>
        <v>0</v>
      </c>
      <c r="BR24" s="2">
        <f t="shared" si="134"/>
        <v>0</v>
      </c>
      <c r="BS24" s="2">
        <f t="shared" si="135"/>
        <v>0</v>
      </c>
      <c r="BT24" s="2">
        <f t="shared" si="136"/>
        <v>0</v>
      </c>
      <c r="BU24" s="2">
        <f t="shared" si="137"/>
        <v>0</v>
      </c>
      <c r="BV24" s="2">
        <f t="shared" si="138"/>
        <v>0</v>
      </c>
      <c r="BW24" s="1844">
        <v>23</v>
      </c>
      <c r="BX24" s="1724">
        <f t="shared" si="139"/>
        <v>0</v>
      </c>
      <c r="BY24" s="1724">
        <f t="shared" si="3"/>
        <v>0</v>
      </c>
      <c r="BZ24" s="1724">
        <f t="shared" si="4"/>
        <v>63676818.936830729</v>
      </c>
      <c r="CA24" s="1724">
        <f t="shared" si="5"/>
        <v>254707275.74732292</v>
      </c>
      <c r="CB24" s="1724">
        <f t="shared" si="6"/>
        <v>0</v>
      </c>
      <c r="CC24" s="1724">
        <f t="shared" si="7"/>
        <v>0</v>
      </c>
      <c r="CD24" s="1724">
        <f t="shared" si="8"/>
        <v>0</v>
      </c>
      <c r="CE24" s="1724">
        <f t="shared" si="9"/>
        <v>0</v>
      </c>
      <c r="CF24" s="1724">
        <f t="shared" si="10"/>
        <v>0</v>
      </c>
      <c r="CG24" s="1724">
        <f t="shared" si="11"/>
        <v>0</v>
      </c>
      <c r="CH24" s="75"/>
      <c r="CM24" s="638"/>
      <c r="CN24" s="1847">
        <v>21</v>
      </c>
      <c r="CO24" s="1851"/>
      <c r="CP24" s="2">
        <v>4242348.4900135994</v>
      </c>
      <c r="CQ24" s="2">
        <v>10391612.471623123</v>
      </c>
      <c r="CR24" s="646">
        <f t="shared" si="63"/>
        <v>14633960.961636722</v>
      </c>
      <c r="CS24" s="1141"/>
      <c r="CT24" s="648"/>
      <c r="CU24" s="649"/>
      <c r="CV24" s="650"/>
      <c r="CW24" s="650"/>
      <c r="CX24" s="650"/>
      <c r="CY24" s="650"/>
      <c r="CZ24" s="650"/>
      <c r="DA24" s="650"/>
      <c r="DB24" s="808"/>
      <c r="DC24" s="808"/>
      <c r="DD24" s="808"/>
      <c r="DE24" s="808"/>
      <c r="DF24" s="451"/>
      <c r="DG24" s="647">
        <v>21</v>
      </c>
      <c r="DH24" s="666"/>
      <c r="DI24" s="955">
        <v>10</v>
      </c>
      <c r="DJ24" s="1852">
        <v>90</v>
      </c>
      <c r="DK24" s="1852"/>
      <c r="DL24" s="1852"/>
      <c r="DM24" s="1852"/>
      <c r="DN24" s="1852"/>
      <c r="DO24" s="1852"/>
      <c r="DP24" s="1456"/>
      <c r="DQ24" s="1456"/>
      <c r="DR24" s="1456"/>
      <c r="DS24" s="1847">
        <v>21</v>
      </c>
      <c r="DT24" s="192">
        <f t="shared" si="35"/>
        <v>0</v>
      </c>
      <c r="DU24" s="192">
        <f t="shared" si="36"/>
        <v>1463396.0961636722</v>
      </c>
      <c r="DV24" s="192">
        <f t="shared" si="37"/>
        <v>13170564.865473051</v>
      </c>
      <c r="DW24" s="192">
        <f t="shared" si="38"/>
        <v>0</v>
      </c>
      <c r="DX24" s="192">
        <f t="shared" si="39"/>
        <v>0</v>
      </c>
      <c r="DY24" s="192">
        <f t="shared" si="40"/>
        <v>0</v>
      </c>
      <c r="DZ24" s="192">
        <f t="shared" si="41"/>
        <v>0</v>
      </c>
      <c r="EA24" s="192">
        <f t="shared" si="42"/>
        <v>0</v>
      </c>
      <c r="EB24" s="192">
        <f t="shared" si="43"/>
        <v>0</v>
      </c>
      <c r="EC24" s="192">
        <f t="shared" si="44"/>
        <v>0</v>
      </c>
      <c r="ED24" s="192">
        <f t="shared" si="45"/>
        <v>0</v>
      </c>
      <c r="EE24" s="667">
        <f t="shared" si="46"/>
        <v>14633960.961636722</v>
      </c>
      <c r="EH24" s="976">
        <v>22</v>
      </c>
      <c r="EI24" s="974"/>
      <c r="EJ24" s="974">
        <v>21.428571428571427</v>
      </c>
      <c r="EK24" s="974">
        <v>61.428571428571431</v>
      </c>
      <c r="EL24" s="974">
        <v>17.142857142857142</v>
      </c>
      <c r="EM24" s="974"/>
      <c r="EN24" s="974"/>
      <c r="EO24" s="974"/>
      <c r="EP24" s="974"/>
      <c r="EQ24" s="974"/>
      <c r="ER24" s="974"/>
      <c r="ES24" s="974"/>
      <c r="EX24" s="977">
        <v>100</v>
      </c>
      <c r="EY24" s="357">
        <v>14708771.687366478</v>
      </c>
      <c r="EZ24" s="989">
        <f t="shared" si="64"/>
        <v>0</v>
      </c>
      <c r="FA24" s="989">
        <f t="shared" si="47"/>
        <v>3151879.6472928165</v>
      </c>
      <c r="FB24" s="989">
        <f t="shared" si="48"/>
        <v>9035388.3222394083</v>
      </c>
      <c r="FC24" s="989">
        <f t="shared" si="49"/>
        <v>2521503.7178342533</v>
      </c>
      <c r="FD24" s="989">
        <f t="shared" si="50"/>
        <v>0</v>
      </c>
      <c r="FE24" s="989">
        <f t="shared" si="51"/>
        <v>0</v>
      </c>
      <c r="FF24" s="989">
        <f t="shared" si="52"/>
        <v>0</v>
      </c>
      <c r="FG24" s="989">
        <f t="shared" si="53"/>
        <v>0</v>
      </c>
      <c r="FH24" s="989">
        <f t="shared" si="54"/>
        <v>0</v>
      </c>
      <c r="FI24" s="989">
        <f t="shared" si="55"/>
        <v>0</v>
      </c>
      <c r="FJ24" s="989">
        <f t="shared" si="56"/>
        <v>0</v>
      </c>
      <c r="FM24" s="1002">
        <v>22</v>
      </c>
      <c r="FN24" s="1003"/>
      <c r="FO24" s="1006">
        <v>100</v>
      </c>
      <c r="FP24" s="1006"/>
      <c r="FQ24" s="1006"/>
      <c r="FR24" s="1006"/>
      <c r="FS24" s="1006"/>
      <c r="FT24" s="1006"/>
      <c r="FU24" s="1006"/>
      <c r="FV24" s="1006"/>
      <c r="FW24" s="1006"/>
      <c r="FX24" s="1006"/>
      <c r="FY24" s="1006"/>
      <c r="FZ24" s="1006"/>
      <c r="GA24" s="1003"/>
      <c r="GB24" s="1004">
        <v>0</v>
      </c>
      <c r="GC24" s="1002">
        <v>22</v>
      </c>
      <c r="GD24" s="2">
        <v>18462291.28303818</v>
      </c>
      <c r="GE24" s="989">
        <f t="shared" si="152"/>
        <v>0</v>
      </c>
      <c r="GF24" s="989">
        <f t="shared" si="153"/>
        <v>18462291.28303818</v>
      </c>
      <c r="GG24" s="989">
        <f t="shared" si="154"/>
        <v>0</v>
      </c>
      <c r="GH24" s="989">
        <f t="shared" si="155"/>
        <v>0</v>
      </c>
      <c r="GI24" s="989">
        <f t="shared" si="156"/>
        <v>0</v>
      </c>
      <c r="GJ24" s="989">
        <f t="shared" si="157"/>
        <v>0</v>
      </c>
      <c r="GK24" s="989">
        <f t="shared" si="158"/>
        <v>0</v>
      </c>
      <c r="GL24" s="989">
        <f t="shared" si="159"/>
        <v>0</v>
      </c>
      <c r="GM24" s="989">
        <f t="shared" si="160"/>
        <v>0</v>
      </c>
      <c r="GN24" s="989">
        <f t="shared" si="161"/>
        <v>0</v>
      </c>
      <c r="GO24" s="989">
        <f t="shared" si="162"/>
        <v>0</v>
      </c>
      <c r="GP24" s="989">
        <f t="shared" si="163"/>
        <v>0</v>
      </c>
      <c r="GQ24" s="989">
        <f t="shared" si="164"/>
        <v>0</v>
      </c>
      <c r="GR24" s="989">
        <f t="shared" si="165"/>
        <v>0</v>
      </c>
      <c r="GX24" s="1033">
        <v>22</v>
      </c>
      <c r="GY24" s="1">
        <v>54221647.674419038</v>
      </c>
      <c r="GZ24" s="1041"/>
      <c r="HA24" s="1039"/>
      <c r="HB24" s="1039">
        <v>40</v>
      </c>
      <c r="HC24" s="1039">
        <v>60</v>
      </c>
      <c r="HD24" s="1039"/>
      <c r="HE24" s="1039"/>
      <c r="HF24" s="1039"/>
      <c r="HG24" s="1039"/>
      <c r="HH24" s="1039"/>
      <c r="HI24" s="1039"/>
      <c r="HJ24" s="1039"/>
      <c r="HK24" s="1039"/>
      <c r="HL24" s="1039"/>
      <c r="HM24" s="1848">
        <f t="shared" si="66"/>
        <v>100</v>
      </c>
      <c r="HN24" s="989">
        <f t="shared" si="67"/>
        <v>0</v>
      </c>
      <c r="HO24" s="989">
        <f t="shared" si="68"/>
        <v>0</v>
      </c>
      <c r="HP24" s="989">
        <f t="shared" si="69"/>
        <v>21688659.069767613</v>
      </c>
      <c r="HQ24" s="989">
        <f t="shared" si="70"/>
        <v>32532988.604651421</v>
      </c>
      <c r="HR24" s="989">
        <f t="shared" si="71"/>
        <v>0</v>
      </c>
      <c r="HS24" s="989">
        <f t="shared" si="72"/>
        <v>0</v>
      </c>
      <c r="HT24" s="989">
        <f t="shared" si="73"/>
        <v>0</v>
      </c>
      <c r="HU24" s="989">
        <f t="shared" si="74"/>
        <v>0</v>
      </c>
      <c r="HV24" s="989">
        <f t="shared" si="75"/>
        <v>0</v>
      </c>
      <c r="HW24" s="989">
        <f t="shared" si="76"/>
        <v>0</v>
      </c>
      <c r="HX24" s="989">
        <f t="shared" si="77"/>
        <v>0</v>
      </c>
      <c r="HY24" s="989">
        <f t="shared" si="78"/>
        <v>0</v>
      </c>
      <c r="HZ24" s="989">
        <f t="shared" si="79"/>
        <v>0</v>
      </c>
      <c r="IE24" s="2">
        <v>26218298.347025175</v>
      </c>
      <c r="IF24" s="1005">
        <v>17</v>
      </c>
      <c r="IG24" s="553">
        <v>28</v>
      </c>
      <c r="IH24" s="553">
        <v>72</v>
      </c>
      <c r="II24" s="553"/>
      <c r="IJ24" s="553"/>
      <c r="IK24" s="553"/>
      <c r="IL24" s="553"/>
      <c r="IM24" s="553"/>
      <c r="IN24" s="553"/>
      <c r="IO24" s="553"/>
      <c r="IP24" s="553"/>
      <c r="IQ24" s="553"/>
      <c r="IS24" s="1270">
        <v>17</v>
      </c>
      <c r="IT24" s="989">
        <f t="shared" si="80"/>
        <v>7341123.5371670481</v>
      </c>
      <c r="IU24" s="989">
        <f t="shared" si="81"/>
        <v>18877174.809858128</v>
      </c>
      <c r="IV24" s="989">
        <f t="shared" si="82"/>
        <v>0</v>
      </c>
      <c r="IW24" s="989">
        <f t="shared" si="83"/>
        <v>0</v>
      </c>
      <c r="IX24" s="989">
        <f t="shared" si="84"/>
        <v>0</v>
      </c>
      <c r="IY24" s="989">
        <f t="shared" si="85"/>
        <v>0</v>
      </c>
      <c r="IZ24" s="989">
        <f t="shared" si="86"/>
        <v>0</v>
      </c>
      <c r="JA24" s="989">
        <f t="shared" si="87"/>
        <v>0</v>
      </c>
      <c r="JB24" s="989">
        <f t="shared" si="88"/>
        <v>0</v>
      </c>
      <c r="JC24" s="989">
        <f t="shared" si="89"/>
        <v>0</v>
      </c>
      <c r="JD24" s="989">
        <f t="shared" si="90"/>
        <v>0</v>
      </c>
      <c r="JE24" s="989">
        <f t="shared" si="91"/>
        <v>0</v>
      </c>
      <c r="JG24" s="1">
        <v>0</v>
      </c>
      <c r="JH24" s="1002">
        <v>17</v>
      </c>
      <c r="JJ24" s="1">
        <v>100</v>
      </c>
      <c r="JW24" s="989">
        <f t="shared" si="103"/>
        <v>0</v>
      </c>
      <c r="JX24" s="989">
        <f t="shared" si="104"/>
        <v>0</v>
      </c>
      <c r="JY24" s="989">
        <f t="shared" si="92"/>
        <v>0</v>
      </c>
      <c r="JZ24" s="989">
        <f t="shared" si="93"/>
        <v>0</v>
      </c>
      <c r="KA24" s="989">
        <f t="shared" si="94"/>
        <v>0</v>
      </c>
      <c r="KB24" s="989">
        <f t="shared" si="95"/>
        <v>0</v>
      </c>
      <c r="KC24" s="989">
        <f t="shared" si="96"/>
        <v>0</v>
      </c>
      <c r="KD24" s="989">
        <f t="shared" si="97"/>
        <v>0</v>
      </c>
      <c r="KE24" s="989">
        <f t="shared" si="98"/>
        <v>0</v>
      </c>
      <c r="KF24" s="989">
        <f t="shared" si="99"/>
        <v>0</v>
      </c>
      <c r="KG24" s="989">
        <f t="shared" si="100"/>
        <v>0</v>
      </c>
      <c r="KJ24" s="192">
        <f t="shared" ref="KJ24:KJ53" si="178">IT24+JW24</f>
        <v>7341123.5371670481</v>
      </c>
      <c r="KK24" s="192">
        <f t="shared" ref="KK24:KK53" si="179">IU24+JX24</f>
        <v>18877174.809858128</v>
      </c>
      <c r="KL24" s="192">
        <f t="shared" ref="KL24:KL53" si="180">IV24+JY24</f>
        <v>0</v>
      </c>
      <c r="KM24" s="192">
        <f t="shared" ref="KM24:KM53" si="181">IW24+JZ24</f>
        <v>0</v>
      </c>
      <c r="KN24" s="192">
        <f t="shared" ref="KN24:KN53" si="182">IX24+KA24</f>
        <v>0</v>
      </c>
      <c r="KO24" s="192">
        <f t="shared" ref="KO24:KO53" si="183">IY24+KB24</f>
        <v>0</v>
      </c>
      <c r="KP24" s="192">
        <f t="shared" ref="KP24:KP53" si="184">IZ24+KC24</f>
        <v>0</v>
      </c>
      <c r="KQ24" s="192">
        <f t="shared" ref="KQ24:KQ53" si="185">JA24+KD24</f>
        <v>0</v>
      </c>
      <c r="KR24" s="192">
        <f t="shared" ref="KR24:KR53" si="186">JB24+KE24</f>
        <v>0</v>
      </c>
      <c r="KS24" s="192">
        <f t="shared" ref="KS24:KS53" si="187">JC24+KF24</f>
        <v>0</v>
      </c>
      <c r="KT24" s="192">
        <f t="shared" ref="KT24:KT53" si="188">JD24+KG24</f>
        <v>0</v>
      </c>
      <c r="KV24" s="1033">
        <v>22</v>
      </c>
      <c r="KW24" s="2">
        <v>52842212.586680762</v>
      </c>
      <c r="KX24" s="1">
        <v>0</v>
      </c>
      <c r="KY24" s="1">
        <v>35</v>
      </c>
      <c r="KZ24" s="1">
        <v>64.999999999999986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J24" s="989">
        <f t="shared" si="141"/>
        <v>0</v>
      </c>
      <c r="LK24" s="989">
        <f t="shared" si="142"/>
        <v>18494774.405338265</v>
      </c>
      <c r="LL24" s="989">
        <f t="shared" si="143"/>
        <v>34347438.18134249</v>
      </c>
      <c r="LM24" s="989">
        <f t="shared" si="144"/>
        <v>0</v>
      </c>
      <c r="LN24" s="989">
        <f t="shared" si="145"/>
        <v>0</v>
      </c>
      <c r="LO24" s="989">
        <f t="shared" si="146"/>
        <v>0</v>
      </c>
      <c r="LP24" s="989">
        <f t="shared" si="147"/>
        <v>0</v>
      </c>
      <c r="LQ24" s="989">
        <f t="shared" si="148"/>
        <v>0</v>
      </c>
      <c r="LR24" s="989">
        <f t="shared" si="149"/>
        <v>0</v>
      </c>
      <c r="LS24" s="989">
        <f t="shared" si="150"/>
        <v>0</v>
      </c>
      <c r="LT24" s="989">
        <f t="shared" si="151"/>
        <v>0</v>
      </c>
      <c r="LV24" s="2">
        <v>5261685.9085400365</v>
      </c>
      <c r="LW24" s="1446">
        <v>37.499999999999993</v>
      </c>
      <c r="LX24" s="1446">
        <v>62.5</v>
      </c>
      <c r="LY24" s="1446">
        <v>0</v>
      </c>
      <c r="LZ24" s="1446">
        <v>0</v>
      </c>
      <c r="MA24" s="1446">
        <v>0</v>
      </c>
      <c r="MB24" s="1446">
        <v>0</v>
      </c>
      <c r="MC24" s="1446">
        <v>0</v>
      </c>
      <c r="MD24" s="1446">
        <v>0</v>
      </c>
      <c r="ME24" s="1446">
        <v>0</v>
      </c>
      <c r="MF24" s="1446">
        <v>0</v>
      </c>
      <c r="MH24" s="1">
        <f t="shared" si="166"/>
        <v>100</v>
      </c>
      <c r="MI24" s="989">
        <f t="shared" si="167"/>
        <v>1973132.2157025135</v>
      </c>
      <c r="MJ24" s="989">
        <f t="shared" si="168"/>
        <v>3288553.6928375228</v>
      </c>
      <c r="MK24" s="989">
        <f t="shared" si="169"/>
        <v>0</v>
      </c>
      <c r="ML24" s="989">
        <f t="shared" si="170"/>
        <v>0</v>
      </c>
      <c r="MM24" s="989">
        <f t="shared" si="171"/>
        <v>0</v>
      </c>
      <c r="MN24" s="989">
        <f t="shared" si="172"/>
        <v>0</v>
      </c>
      <c r="MO24" s="989">
        <f t="shared" si="173"/>
        <v>0</v>
      </c>
      <c r="MP24" s="989">
        <f t="shared" si="174"/>
        <v>0</v>
      </c>
      <c r="MQ24" s="989">
        <f t="shared" si="175"/>
        <v>0</v>
      </c>
      <c r="MR24" s="989">
        <f t="shared" si="176"/>
        <v>0</v>
      </c>
      <c r="MS24" s="989">
        <f t="shared" si="177"/>
        <v>0</v>
      </c>
      <c r="MU24" s="1033">
        <v>22</v>
      </c>
      <c r="MV24" s="57">
        <v>11567162.363845441</v>
      </c>
      <c r="MW24" s="1964"/>
      <c r="MX24" s="1964">
        <v>12.5</v>
      </c>
      <c r="MY24" s="1964">
        <v>87.5</v>
      </c>
      <c r="MZ24" s="1964"/>
      <c r="NA24" s="1964"/>
      <c r="NB24" s="1964"/>
      <c r="NC24" s="1964"/>
      <c r="ND24" s="1964"/>
      <c r="NE24" s="1964"/>
      <c r="NF24" s="1964"/>
      <c r="NG24" s="1964"/>
      <c r="NJ24" s="989">
        <f t="shared" si="116"/>
        <v>0</v>
      </c>
      <c r="NK24" s="989">
        <f t="shared" si="117"/>
        <v>1445895.2954806802</v>
      </c>
      <c r="NL24" s="989">
        <f t="shared" si="118"/>
        <v>10121267.068364762</v>
      </c>
      <c r="NM24" s="989">
        <f t="shared" si="119"/>
        <v>0</v>
      </c>
      <c r="NN24" s="989">
        <f t="shared" si="120"/>
        <v>0</v>
      </c>
      <c r="NO24" s="989">
        <f t="shared" si="121"/>
        <v>0</v>
      </c>
      <c r="NP24" s="989">
        <f t="shared" si="122"/>
        <v>0</v>
      </c>
      <c r="NQ24" s="989">
        <f t="shared" si="123"/>
        <v>0</v>
      </c>
      <c r="NR24" s="989">
        <f t="shared" si="124"/>
        <v>0</v>
      </c>
      <c r="NS24" s="989">
        <f t="shared" si="125"/>
        <v>0</v>
      </c>
      <c r="NT24" s="989">
        <f t="shared" si="126"/>
        <v>0</v>
      </c>
    </row>
    <row r="25" spans="1:384" ht="15" thickTop="1" thickBot="1">
      <c r="A25" s="1822">
        <v>24</v>
      </c>
      <c r="B25" s="1199"/>
      <c r="C25" s="1822">
        <v>4511008.3675423916</v>
      </c>
      <c r="D25" s="1199">
        <v>22152215.060673378</v>
      </c>
      <c r="E25" s="20"/>
      <c r="F25" s="1843">
        <f t="shared" si="12"/>
        <v>26663223.428215772</v>
      </c>
      <c r="G25" s="951">
        <v>0</v>
      </c>
      <c r="H25" s="806">
        <v>0</v>
      </c>
      <c r="I25" s="806">
        <v>6.1188724576756641</v>
      </c>
      <c r="J25" s="806">
        <v>80.876378347705852</v>
      </c>
      <c r="K25" s="806">
        <v>13.004749194618478</v>
      </c>
      <c r="L25" s="806">
        <v>0</v>
      </c>
      <c r="M25" s="806">
        <v>0</v>
      </c>
      <c r="N25" s="806">
        <v>0</v>
      </c>
      <c r="O25" s="806">
        <v>0</v>
      </c>
      <c r="P25" s="806">
        <v>0</v>
      </c>
      <c r="Q25" s="806"/>
      <c r="R25" s="806"/>
      <c r="S25" s="2"/>
      <c r="T25" s="114">
        <v>24</v>
      </c>
      <c r="U25" s="2">
        <f t="shared" si="127"/>
        <v>0</v>
      </c>
      <c r="V25" s="2">
        <f t="shared" si="13"/>
        <v>0</v>
      </c>
      <c r="W25" s="2">
        <f t="shared" si="14"/>
        <v>1631488.6346776199</v>
      </c>
      <c r="X25" s="2">
        <f t="shared" si="15"/>
        <v>21564249.459497932</v>
      </c>
      <c r="Y25" s="2">
        <f t="shared" si="16"/>
        <v>3467485.3340402162</v>
      </c>
      <c r="Z25" s="2">
        <f t="shared" si="17"/>
        <v>0</v>
      </c>
      <c r="AA25" s="2">
        <f t="shared" si="18"/>
        <v>0</v>
      </c>
      <c r="AB25" s="2">
        <f t="shared" si="19"/>
        <v>0</v>
      </c>
      <c r="AC25" s="2">
        <f t="shared" si="20"/>
        <v>0</v>
      </c>
      <c r="AD25" s="2">
        <f t="shared" si="21"/>
        <v>0</v>
      </c>
      <c r="AE25" s="2">
        <f t="shared" si="22"/>
        <v>0</v>
      </c>
      <c r="AF25" s="1844">
        <v>24</v>
      </c>
      <c r="AG25" s="1724">
        <f t="shared" si="23"/>
        <v>0</v>
      </c>
      <c r="AH25" s="1724">
        <f t="shared" si="24"/>
        <v>0</v>
      </c>
      <c r="AI25" s="1724">
        <f t="shared" si="25"/>
        <v>39155727.23226288</v>
      </c>
      <c r="AJ25" s="1724">
        <f t="shared" si="26"/>
        <v>517541987.02795041</v>
      </c>
      <c r="AK25" s="1724">
        <f t="shared" si="27"/>
        <v>83219648.016965181</v>
      </c>
      <c r="AL25" s="1724">
        <f t="shared" si="28"/>
        <v>0</v>
      </c>
      <c r="AM25" s="1724">
        <f t="shared" si="29"/>
        <v>0</v>
      </c>
      <c r="AN25" s="1724">
        <f t="shared" si="30"/>
        <v>0</v>
      </c>
      <c r="AO25" s="1724">
        <f t="shared" si="31"/>
        <v>0</v>
      </c>
      <c r="AP25" s="1724">
        <f t="shared" si="32"/>
        <v>0</v>
      </c>
      <c r="AR25" s="1822">
        <v>24</v>
      </c>
      <c r="AS25" s="1199"/>
      <c r="AT25" s="1">
        <v>999845.91737223603</v>
      </c>
      <c r="AU25" s="1">
        <v>15923453.191568859</v>
      </c>
      <c r="AV25" s="20"/>
      <c r="AW25" s="1843">
        <f t="shared" si="33"/>
        <v>16923299.108941093</v>
      </c>
      <c r="AX25" s="807"/>
      <c r="AY25" s="953"/>
      <c r="AZ25" s="1849"/>
      <c r="BA25" s="1849">
        <v>80</v>
      </c>
      <c r="BB25" s="1849">
        <v>20</v>
      </c>
      <c r="BC25" s="1849"/>
      <c r="BD25" s="1849"/>
      <c r="BE25" s="1849"/>
      <c r="BF25" s="806"/>
      <c r="BG25" s="806"/>
      <c r="BH25" s="806"/>
      <c r="BI25" s="806"/>
      <c r="BJ25" s="2"/>
      <c r="BK25" s="114">
        <v>24</v>
      </c>
      <c r="BL25" s="2">
        <f t="shared" si="128"/>
        <v>0</v>
      </c>
      <c r="BM25" s="2">
        <f t="shared" si="129"/>
        <v>0</v>
      </c>
      <c r="BN25" s="2">
        <f t="shared" si="130"/>
        <v>0</v>
      </c>
      <c r="BO25" s="2">
        <f t="shared" si="131"/>
        <v>13538639.287152875</v>
      </c>
      <c r="BP25" s="2">
        <f t="shared" si="132"/>
        <v>3384659.8217882188</v>
      </c>
      <c r="BQ25" s="2">
        <f t="shared" si="133"/>
        <v>0</v>
      </c>
      <c r="BR25" s="2">
        <f t="shared" si="134"/>
        <v>0</v>
      </c>
      <c r="BS25" s="2">
        <f t="shared" si="135"/>
        <v>0</v>
      </c>
      <c r="BT25" s="2">
        <f t="shared" si="136"/>
        <v>0</v>
      </c>
      <c r="BU25" s="2">
        <f t="shared" si="137"/>
        <v>0</v>
      </c>
      <c r="BV25" s="2">
        <f t="shared" si="138"/>
        <v>0</v>
      </c>
      <c r="BW25" s="1844">
        <v>24</v>
      </c>
      <c r="BX25" s="1724">
        <f t="shared" si="139"/>
        <v>0</v>
      </c>
      <c r="BY25" s="1724">
        <f t="shared" si="3"/>
        <v>0</v>
      </c>
      <c r="BZ25" s="1724">
        <f t="shared" si="4"/>
        <v>0</v>
      </c>
      <c r="CA25" s="1724">
        <f t="shared" si="5"/>
        <v>324927342.89166903</v>
      </c>
      <c r="CB25" s="1724">
        <f t="shared" si="6"/>
        <v>81231835.722917259</v>
      </c>
      <c r="CC25" s="1724">
        <f t="shared" si="7"/>
        <v>0</v>
      </c>
      <c r="CD25" s="1724">
        <f t="shared" si="8"/>
        <v>0</v>
      </c>
      <c r="CE25" s="1724">
        <f t="shared" si="9"/>
        <v>0</v>
      </c>
      <c r="CF25" s="1724">
        <f t="shared" si="10"/>
        <v>0</v>
      </c>
      <c r="CG25" s="1724">
        <f t="shared" si="11"/>
        <v>0</v>
      </c>
      <c r="CH25" s="75"/>
      <c r="CM25" s="638"/>
      <c r="CN25" s="1847">
        <v>22</v>
      </c>
      <c r="CO25" s="1851"/>
      <c r="CP25" s="2">
        <v>871283.19666007964</v>
      </c>
      <c r="CQ25" s="2">
        <v>27940299.41130174</v>
      </c>
      <c r="CR25" s="646">
        <f t="shared" si="63"/>
        <v>28811582.607961819</v>
      </c>
      <c r="CS25" s="1141"/>
      <c r="CT25" s="809"/>
      <c r="CU25" s="954"/>
      <c r="CV25" s="1850"/>
      <c r="CW25" s="1850"/>
      <c r="CX25" s="1850"/>
      <c r="CY25" s="1850"/>
      <c r="CZ25" s="1850"/>
      <c r="DA25" s="1850"/>
      <c r="DB25" s="808"/>
      <c r="DC25" s="808"/>
      <c r="DD25" s="808"/>
      <c r="DE25" s="808"/>
      <c r="DF25" s="451"/>
      <c r="DG25" s="647">
        <v>22</v>
      </c>
      <c r="DH25" s="666"/>
      <c r="DI25" s="955"/>
      <c r="DJ25" s="1852">
        <v>81.818181818181813</v>
      </c>
      <c r="DK25" s="1852">
        <v>18.181818181818183</v>
      </c>
      <c r="DL25" s="1852"/>
      <c r="DM25" s="1852"/>
      <c r="DN25" s="1852"/>
      <c r="DO25" s="1852"/>
      <c r="DP25" s="1456"/>
      <c r="DQ25" s="1456"/>
      <c r="DR25" s="1456"/>
      <c r="DS25" s="1847">
        <v>22</v>
      </c>
      <c r="DT25" s="192">
        <f t="shared" si="35"/>
        <v>0</v>
      </c>
      <c r="DU25" s="192">
        <f t="shared" si="36"/>
        <v>0</v>
      </c>
      <c r="DV25" s="192">
        <f t="shared" si="37"/>
        <v>23573113.042877849</v>
      </c>
      <c r="DW25" s="192">
        <f t="shared" si="38"/>
        <v>5238469.5650839675</v>
      </c>
      <c r="DX25" s="192">
        <f t="shared" si="39"/>
        <v>0</v>
      </c>
      <c r="DY25" s="192">
        <f t="shared" si="40"/>
        <v>0</v>
      </c>
      <c r="DZ25" s="192">
        <f t="shared" si="41"/>
        <v>0</v>
      </c>
      <c r="EA25" s="192">
        <f t="shared" si="42"/>
        <v>0</v>
      </c>
      <c r="EB25" s="192">
        <f t="shared" si="43"/>
        <v>0</v>
      </c>
      <c r="EC25" s="192">
        <f t="shared" si="44"/>
        <v>0</v>
      </c>
      <c r="ED25" s="192">
        <f t="shared" si="45"/>
        <v>0</v>
      </c>
      <c r="EE25" s="667">
        <f t="shared" si="46"/>
        <v>28811582.607961819</v>
      </c>
      <c r="EH25" s="978">
        <v>23</v>
      </c>
      <c r="EI25" s="974"/>
      <c r="EJ25" s="974">
        <v>19.444444444444443</v>
      </c>
      <c r="EK25" s="974">
        <v>51.388888888888886</v>
      </c>
      <c r="EL25" s="974">
        <v>29.166666666666668</v>
      </c>
      <c r="EM25" s="974"/>
      <c r="EN25" s="974"/>
      <c r="EO25" s="974"/>
      <c r="EP25" s="974"/>
      <c r="EQ25" s="974"/>
      <c r="ER25" s="974"/>
      <c r="ES25" s="974"/>
      <c r="EX25" s="975">
        <v>100</v>
      </c>
      <c r="EY25" s="357">
        <v>36460475.332681686</v>
      </c>
      <c r="EZ25" s="989">
        <f t="shared" si="64"/>
        <v>0</v>
      </c>
      <c r="FA25" s="989">
        <f t="shared" si="47"/>
        <v>7089536.8702436602</v>
      </c>
      <c r="FB25" s="989">
        <f t="shared" si="48"/>
        <v>18736633.157072533</v>
      </c>
      <c r="FC25" s="989">
        <f t="shared" si="49"/>
        <v>10634305.305365492</v>
      </c>
      <c r="FD25" s="989">
        <f t="shared" si="50"/>
        <v>0</v>
      </c>
      <c r="FE25" s="989">
        <f t="shared" si="51"/>
        <v>0</v>
      </c>
      <c r="FF25" s="989">
        <f t="shared" si="52"/>
        <v>0</v>
      </c>
      <c r="FG25" s="989">
        <f t="shared" si="53"/>
        <v>0</v>
      </c>
      <c r="FH25" s="989">
        <f t="shared" si="54"/>
        <v>0</v>
      </c>
      <c r="FI25" s="989">
        <f t="shared" si="55"/>
        <v>0</v>
      </c>
      <c r="FJ25" s="989">
        <f t="shared" si="56"/>
        <v>0</v>
      </c>
      <c r="FM25" s="1005">
        <v>23</v>
      </c>
      <c r="FN25" s="1003"/>
      <c r="FO25" s="1006"/>
      <c r="FP25" s="1006">
        <v>62.5</v>
      </c>
      <c r="FQ25" s="1006">
        <v>37.5</v>
      </c>
      <c r="FR25" s="1006"/>
      <c r="FS25" s="1006"/>
      <c r="FT25" s="1006"/>
      <c r="FU25" s="1006"/>
      <c r="FV25" s="1006"/>
      <c r="FW25" s="1006"/>
      <c r="FX25" s="1006"/>
      <c r="FY25" s="1006"/>
      <c r="FZ25" s="1006"/>
      <c r="GA25" s="1003"/>
      <c r="GB25" s="1004">
        <v>100</v>
      </c>
      <c r="GC25" s="1005">
        <v>23</v>
      </c>
      <c r="GD25" s="2">
        <v>25835369.464366946</v>
      </c>
      <c r="GE25" s="989">
        <f t="shared" si="152"/>
        <v>0</v>
      </c>
      <c r="GF25" s="989">
        <f t="shared" si="153"/>
        <v>0</v>
      </c>
      <c r="GG25" s="989">
        <f t="shared" si="154"/>
        <v>16147105.915229343</v>
      </c>
      <c r="GH25" s="989">
        <f t="shared" si="155"/>
        <v>9688263.5491376054</v>
      </c>
      <c r="GI25" s="989">
        <f t="shared" si="156"/>
        <v>0</v>
      </c>
      <c r="GJ25" s="989">
        <f t="shared" si="157"/>
        <v>0</v>
      </c>
      <c r="GK25" s="989">
        <f t="shared" si="158"/>
        <v>0</v>
      </c>
      <c r="GL25" s="989">
        <f t="shared" si="159"/>
        <v>0</v>
      </c>
      <c r="GM25" s="989">
        <f t="shared" si="160"/>
        <v>0</v>
      </c>
      <c r="GN25" s="989">
        <f t="shared" si="161"/>
        <v>0</v>
      </c>
      <c r="GO25" s="989">
        <f t="shared" si="162"/>
        <v>0</v>
      </c>
      <c r="GP25" s="989">
        <f t="shared" si="163"/>
        <v>0</v>
      </c>
      <c r="GQ25" s="989">
        <f t="shared" si="164"/>
        <v>0</v>
      </c>
      <c r="GR25" s="989">
        <f t="shared" si="165"/>
        <v>0</v>
      </c>
      <c r="GX25" s="1034">
        <v>23</v>
      </c>
      <c r="GY25" s="1">
        <v>39257072.425045274</v>
      </c>
      <c r="GZ25" s="1042"/>
      <c r="HA25" s="1039"/>
      <c r="HB25" s="1039">
        <v>16</v>
      </c>
      <c r="HC25" s="1039">
        <v>84</v>
      </c>
      <c r="HD25" s="1039"/>
      <c r="HE25" s="1039"/>
      <c r="HF25" s="1039"/>
      <c r="HG25" s="1039"/>
      <c r="HH25" s="1039"/>
      <c r="HI25" s="1039"/>
      <c r="HJ25" s="1039"/>
      <c r="HK25" s="1039"/>
      <c r="HL25" s="1039"/>
      <c r="HM25" s="1040">
        <f t="shared" ref="HM25:HM46" si="189">SUM(HA25:HL25)</f>
        <v>100</v>
      </c>
      <c r="HN25" s="989">
        <f t="shared" si="67"/>
        <v>0</v>
      </c>
      <c r="HO25" s="989">
        <f t="shared" si="68"/>
        <v>0</v>
      </c>
      <c r="HP25" s="989">
        <f t="shared" si="69"/>
        <v>6281131.5880072443</v>
      </c>
      <c r="HQ25" s="989">
        <f t="shared" si="70"/>
        <v>32975940.837038029</v>
      </c>
      <c r="HR25" s="989">
        <f t="shared" si="71"/>
        <v>0</v>
      </c>
      <c r="HS25" s="989">
        <f t="shared" si="72"/>
        <v>0</v>
      </c>
      <c r="HT25" s="989">
        <f t="shared" si="73"/>
        <v>0</v>
      </c>
      <c r="HU25" s="989">
        <f t="shared" si="74"/>
        <v>0</v>
      </c>
      <c r="HV25" s="989">
        <f t="shared" si="75"/>
        <v>0</v>
      </c>
      <c r="HW25" s="989">
        <f t="shared" si="76"/>
        <v>0</v>
      </c>
      <c r="HX25" s="989">
        <f t="shared" si="77"/>
        <v>0</v>
      </c>
      <c r="HY25" s="989">
        <f t="shared" si="78"/>
        <v>0</v>
      </c>
      <c r="HZ25" s="989">
        <f t="shared" si="79"/>
        <v>0</v>
      </c>
      <c r="IE25" s="2">
        <v>41663507.283538558</v>
      </c>
      <c r="IF25" s="1002">
        <v>18</v>
      </c>
      <c r="IG25" s="553">
        <v>6.25</v>
      </c>
      <c r="IH25" s="553">
        <v>87.5</v>
      </c>
      <c r="II25" s="553">
        <v>6.25</v>
      </c>
      <c r="IJ25" s="553"/>
      <c r="IK25" s="553"/>
      <c r="IL25" s="553"/>
      <c r="IM25" s="553"/>
      <c r="IN25" s="553"/>
      <c r="IO25" s="553"/>
      <c r="IP25" s="553"/>
      <c r="IQ25" s="553"/>
      <c r="IS25" s="1270">
        <v>18</v>
      </c>
      <c r="IT25" s="989">
        <f>$IE25*IG25/100</f>
        <v>2603969.2052211598</v>
      </c>
      <c r="IU25" s="989">
        <f t="shared" si="81"/>
        <v>36455568.873096235</v>
      </c>
      <c r="IV25" s="989">
        <f t="shared" si="82"/>
        <v>2603969.2052211598</v>
      </c>
      <c r="IW25" s="989">
        <f t="shared" si="83"/>
        <v>0</v>
      </c>
      <c r="IX25" s="989">
        <f t="shared" si="84"/>
        <v>0</v>
      </c>
      <c r="IY25" s="989">
        <f t="shared" si="85"/>
        <v>0</v>
      </c>
      <c r="IZ25" s="989">
        <f t="shared" si="86"/>
        <v>0</v>
      </c>
      <c r="JA25" s="989">
        <f t="shared" si="87"/>
        <v>0</v>
      </c>
      <c r="JB25" s="989">
        <f t="shared" si="88"/>
        <v>0</v>
      </c>
      <c r="JC25" s="989">
        <f t="shared" si="89"/>
        <v>0</v>
      </c>
      <c r="JD25" s="989">
        <f t="shared" si="90"/>
        <v>0</v>
      </c>
      <c r="JE25" s="989">
        <f>$IE25*IR25/100</f>
        <v>0</v>
      </c>
      <c r="JG25" s="1">
        <v>0</v>
      </c>
      <c r="JH25" s="1005">
        <v>18</v>
      </c>
      <c r="JJ25" s="1">
        <v>100</v>
      </c>
      <c r="JW25" s="989">
        <f t="shared" si="103"/>
        <v>0</v>
      </c>
      <c r="JX25" s="989">
        <f t="shared" si="104"/>
        <v>0</v>
      </c>
      <c r="JY25" s="989">
        <f t="shared" si="92"/>
        <v>0</v>
      </c>
      <c r="JZ25" s="989">
        <f t="shared" si="93"/>
        <v>0</v>
      </c>
      <c r="KA25" s="989">
        <f t="shared" si="94"/>
        <v>0</v>
      </c>
      <c r="KB25" s="989">
        <f t="shared" si="95"/>
        <v>0</v>
      </c>
      <c r="KC25" s="989">
        <f t="shared" si="96"/>
        <v>0</v>
      </c>
      <c r="KD25" s="989">
        <f t="shared" si="97"/>
        <v>0</v>
      </c>
      <c r="KE25" s="989">
        <f t="shared" si="98"/>
        <v>0</v>
      </c>
      <c r="KF25" s="989">
        <f t="shared" si="99"/>
        <v>0</v>
      </c>
      <c r="KG25" s="989">
        <f t="shared" si="100"/>
        <v>0</v>
      </c>
      <c r="KJ25" s="192">
        <f t="shared" si="178"/>
        <v>2603969.2052211598</v>
      </c>
      <c r="KK25" s="192">
        <f t="shared" si="179"/>
        <v>36455568.873096235</v>
      </c>
      <c r="KL25" s="192">
        <f t="shared" si="180"/>
        <v>2603969.2052211598</v>
      </c>
      <c r="KM25" s="192">
        <f t="shared" si="181"/>
        <v>0</v>
      </c>
      <c r="KN25" s="192">
        <f t="shared" si="182"/>
        <v>0</v>
      </c>
      <c r="KO25" s="192">
        <f t="shared" si="183"/>
        <v>0</v>
      </c>
      <c r="KP25" s="192">
        <f t="shared" si="184"/>
        <v>0</v>
      </c>
      <c r="KQ25" s="192">
        <f t="shared" si="185"/>
        <v>0</v>
      </c>
      <c r="KR25" s="192">
        <f t="shared" si="186"/>
        <v>0</v>
      </c>
      <c r="KS25" s="192">
        <f t="shared" si="187"/>
        <v>0</v>
      </c>
      <c r="KT25" s="192">
        <f t="shared" si="188"/>
        <v>0</v>
      </c>
      <c r="KV25" s="1034">
        <v>23</v>
      </c>
      <c r="KW25" s="2">
        <v>65463825.100977406</v>
      </c>
      <c r="KX25" s="1">
        <v>0</v>
      </c>
      <c r="KY25" s="1">
        <v>0</v>
      </c>
      <c r="KZ25" s="1">
        <v>84.615384615384613</v>
      </c>
      <c r="LA25" s="1">
        <v>15.384615384615389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J25" s="989">
        <f t="shared" si="141"/>
        <v>0</v>
      </c>
      <c r="LK25" s="989">
        <f t="shared" si="142"/>
        <v>0</v>
      </c>
      <c r="LL25" s="989">
        <f t="shared" si="143"/>
        <v>55392467.393134728</v>
      </c>
      <c r="LM25" s="989">
        <f t="shared" si="144"/>
        <v>10071357.70784268</v>
      </c>
      <c r="LN25" s="989">
        <f t="shared" si="145"/>
        <v>0</v>
      </c>
      <c r="LO25" s="989">
        <f t="shared" si="146"/>
        <v>0</v>
      </c>
      <c r="LP25" s="989">
        <f t="shared" si="147"/>
        <v>0</v>
      </c>
      <c r="LQ25" s="989">
        <f t="shared" si="148"/>
        <v>0</v>
      </c>
      <c r="LR25" s="989">
        <f t="shared" si="149"/>
        <v>0</v>
      </c>
      <c r="LS25" s="989">
        <f t="shared" si="150"/>
        <v>0</v>
      </c>
      <c r="LT25" s="989">
        <f t="shared" si="151"/>
        <v>0</v>
      </c>
      <c r="LV25" s="2">
        <v>7709924.4314512089</v>
      </c>
      <c r="LW25" s="1446">
        <v>0</v>
      </c>
      <c r="LX25" s="1446">
        <v>90</v>
      </c>
      <c r="LY25" s="1446">
        <v>9.9999999999999982</v>
      </c>
      <c r="LZ25" s="1446">
        <v>0</v>
      </c>
      <c r="MA25" s="1446">
        <v>0</v>
      </c>
      <c r="MB25" s="1446">
        <v>0</v>
      </c>
      <c r="MC25" s="1446">
        <v>0</v>
      </c>
      <c r="MD25" s="1446">
        <v>0</v>
      </c>
      <c r="ME25" s="1446">
        <v>0</v>
      </c>
      <c r="MF25" s="1446">
        <v>0</v>
      </c>
      <c r="MH25" s="1">
        <f t="shared" si="166"/>
        <v>100</v>
      </c>
      <c r="MI25" s="989">
        <f t="shared" si="167"/>
        <v>0</v>
      </c>
      <c r="MJ25" s="989">
        <f t="shared" si="168"/>
        <v>6938931.9883060884</v>
      </c>
      <c r="MK25" s="989">
        <f t="shared" si="169"/>
        <v>770992.44314512075</v>
      </c>
      <c r="ML25" s="989">
        <f t="shared" si="170"/>
        <v>0</v>
      </c>
      <c r="MM25" s="989">
        <f t="shared" si="171"/>
        <v>0</v>
      </c>
      <c r="MN25" s="989">
        <f t="shared" si="172"/>
        <v>0</v>
      </c>
      <c r="MO25" s="989">
        <f t="shared" si="173"/>
        <v>0</v>
      </c>
      <c r="MP25" s="989">
        <f t="shared" si="174"/>
        <v>0</v>
      </c>
      <c r="MQ25" s="989">
        <f t="shared" si="175"/>
        <v>0</v>
      </c>
      <c r="MR25" s="989">
        <f t="shared" si="176"/>
        <v>0</v>
      </c>
      <c r="MS25" s="989">
        <f t="shared" si="177"/>
        <v>0</v>
      </c>
      <c r="MU25" s="1034">
        <v>23</v>
      </c>
      <c r="MV25" s="57">
        <v>13267496.46480789</v>
      </c>
      <c r="MW25" s="1964"/>
      <c r="MX25" s="1964"/>
      <c r="MY25" s="1964">
        <v>94.44</v>
      </c>
      <c r="MZ25" s="1964">
        <v>5.56</v>
      </c>
      <c r="NA25" s="1964"/>
      <c r="NB25" s="1964"/>
      <c r="NC25" s="1964"/>
      <c r="ND25" s="1964"/>
      <c r="NE25" s="1964"/>
      <c r="NF25" s="1964"/>
      <c r="NG25" s="1964"/>
      <c r="NJ25" s="989">
        <f t="shared" si="116"/>
        <v>0</v>
      </c>
      <c r="NK25" s="989">
        <f t="shared" si="117"/>
        <v>0</v>
      </c>
      <c r="NL25" s="989">
        <f t="shared" si="118"/>
        <v>12529823.661364572</v>
      </c>
      <c r="NM25" s="989">
        <f t="shared" si="119"/>
        <v>737672.80344331858</v>
      </c>
      <c r="NN25" s="989">
        <f t="shared" si="120"/>
        <v>0</v>
      </c>
      <c r="NO25" s="989">
        <f t="shared" si="121"/>
        <v>0</v>
      </c>
      <c r="NP25" s="989">
        <f t="shared" si="122"/>
        <v>0</v>
      </c>
      <c r="NQ25" s="989">
        <f t="shared" si="123"/>
        <v>0</v>
      </c>
      <c r="NR25" s="989">
        <f t="shared" si="124"/>
        <v>0</v>
      </c>
      <c r="NS25" s="989">
        <f t="shared" si="125"/>
        <v>0</v>
      </c>
      <c r="NT25" s="989">
        <f t="shared" si="126"/>
        <v>0</v>
      </c>
    </row>
    <row r="26" spans="1:384" ht="15" thickTop="1" thickBot="1">
      <c r="A26" s="1822">
        <v>25</v>
      </c>
      <c r="B26" s="1199"/>
      <c r="C26" s="1822">
        <v>5782985.2861020444</v>
      </c>
      <c r="D26" s="1199">
        <v>23062714.212103777</v>
      </c>
      <c r="E26" s="20"/>
      <c r="F26" s="1843">
        <f t="shared" si="12"/>
        <v>28845699.498205822</v>
      </c>
      <c r="G26" s="951">
        <v>0</v>
      </c>
      <c r="H26" s="806">
        <v>0</v>
      </c>
      <c r="I26" s="806">
        <v>1.2224143307777025</v>
      </c>
      <c r="J26" s="806">
        <v>68.954513479689311</v>
      </c>
      <c r="K26" s="806">
        <v>29.823072189532979</v>
      </c>
      <c r="L26" s="806">
        <v>0</v>
      </c>
      <c r="M26" s="806">
        <v>0</v>
      </c>
      <c r="N26" s="806">
        <v>0</v>
      </c>
      <c r="O26" s="806">
        <v>0</v>
      </c>
      <c r="P26" s="806">
        <v>0</v>
      </c>
      <c r="Q26" s="806"/>
      <c r="R26" s="806"/>
      <c r="S26" s="2"/>
      <c r="T26" s="114">
        <v>25</v>
      </c>
      <c r="U26" s="2">
        <f t="shared" si="127"/>
        <v>0</v>
      </c>
      <c r="V26" s="2">
        <f t="shared" si="13"/>
        <v>0</v>
      </c>
      <c r="W26" s="2">
        <f t="shared" si="14"/>
        <v>352613.96447913977</v>
      </c>
      <c r="X26" s="2">
        <f t="shared" si="15"/>
        <v>19890411.748801004</v>
      </c>
      <c r="Y26" s="2">
        <f t="shared" si="16"/>
        <v>8602673.784925675</v>
      </c>
      <c r="Z26" s="2">
        <f t="shared" si="17"/>
        <v>0</v>
      </c>
      <c r="AA26" s="2">
        <f t="shared" si="18"/>
        <v>0</v>
      </c>
      <c r="AB26" s="2">
        <f t="shared" si="19"/>
        <v>0</v>
      </c>
      <c r="AC26" s="2">
        <f t="shared" si="20"/>
        <v>0</v>
      </c>
      <c r="AD26" s="2">
        <f t="shared" si="21"/>
        <v>0</v>
      </c>
      <c r="AE26" s="2">
        <f t="shared" si="22"/>
        <v>0</v>
      </c>
      <c r="AF26" s="1844">
        <v>25</v>
      </c>
      <c r="AG26" s="1724">
        <f t="shared" si="23"/>
        <v>0</v>
      </c>
      <c r="AH26" s="1724">
        <f t="shared" si="24"/>
        <v>0</v>
      </c>
      <c r="AI26" s="1724">
        <f t="shared" si="25"/>
        <v>8815349.1119784936</v>
      </c>
      <c r="AJ26" s="1724">
        <f t="shared" si="26"/>
        <v>497260293.72002512</v>
      </c>
      <c r="AK26" s="1724">
        <f t="shared" si="27"/>
        <v>215066844.62314188</v>
      </c>
      <c r="AL26" s="1724">
        <f t="shared" si="28"/>
        <v>0</v>
      </c>
      <c r="AM26" s="1724">
        <f t="shared" si="29"/>
        <v>0</v>
      </c>
      <c r="AN26" s="1724">
        <f t="shared" si="30"/>
        <v>0</v>
      </c>
      <c r="AO26" s="1724">
        <f t="shared" si="31"/>
        <v>0</v>
      </c>
      <c r="AP26" s="1724">
        <f t="shared" si="32"/>
        <v>0</v>
      </c>
      <c r="AR26" s="1822">
        <v>25</v>
      </c>
      <c r="AS26" s="1199"/>
      <c r="AT26" s="1">
        <v>2947024.5890069511</v>
      </c>
      <c r="AU26" s="1">
        <v>9104945.9563973304</v>
      </c>
      <c r="AV26" s="20"/>
      <c r="AW26" s="1843">
        <f t="shared" si="33"/>
        <v>12051970.545404281</v>
      </c>
      <c r="AX26" s="546"/>
      <c r="AY26" s="547"/>
      <c r="AZ26" s="548"/>
      <c r="BA26" s="548">
        <v>40</v>
      </c>
      <c r="BB26" s="548">
        <v>60</v>
      </c>
      <c r="BC26" s="548"/>
      <c r="BD26" s="548"/>
      <c r="BE26" s="548"/>
      <c r="BF26" s="806"/>
      <c r="BG26" s="806"/>
      <c r="BH26" s="806"/>
      <c r="BI26" s="806"/>
      <c r="BJ26" s="2"/>
      <c r="BK26" s="114">
        <v>25</v>
      </c>
      <c r="BL26" s="2">
        <f t="shared" si="128"/>
        <v>0</v>
      </c>
      <c r="BM26" s="2">
        <f t="shared" si="129"/>
        <v>0</v>
      </c>
      <c r="BN26" s="2">
        <f t="shared" si="130"/>
        <v>0</v>
      </c>
      <c r="BO26" s="2">
        <f t="shared" si="131"/>
        <v>4820788.2181617133</v>
      </c>
      <c r="BP26" s="2">
        <f t="shared" si="132"/>
        <v>7231182.3272425691</v>
      </c>
      <c r="BQ26" s="2">
        <f t="shared" si="133"/>
        <v>0</v>
      </c>
      <c r="BR26" s="2">
        <f t="shared" si="134"/>
        <v>0</v>
      </c>
      <c r="BS26" s="2">
        <f t="shared" si="135"/>
        <v>0</v>
      </c>
      <c r="BT26" s="2">
        <f t="shared" si="136"/>
        <v>0</v>
      </c>
      <c r="BU26" s="2">
        <f t="shared" si="137"/>
        <v>0</v>
      </c>
      <c r="BV26" s="2">
        <f t="shared" si="138"/>
        <v>0</v>
      </c>
      <c r="BW26" s="1844">
        <v>25</v>
      </c>
      <c r="BX26" s="1724">
        <f t="shared" si="139"/>
        <v>0</v>
      </c>
      <c r="BY26" s="1724">
        <f t="shared" si="3"/>
        <v>0</v>
      </c>
      <c r="BZ26" s="1724">
        <f t="shared" si="4"/>
        <v>0</v>
      </c>
      <c r="CA26" s="1724">
        <f t="shared" si="5"/>
        <v>120519705.45404284</v>
      </c>
      <c r="CB26" s="1724">
        <f t="shared" si="6"/>
        <v>180779558.18106422</v>
      </c>
      <c r="CC26" s="1724">
        <f t="shared" si="7"/>
        <v>0</v>
      </c>
      <c r="CD26" s="1724">
        <f t="shared" si="8"/>
        <v>0</v>
      </c>
      <c r="CE26" s="1724">
        <f t="shared" si="9"/>
        <v>0</v>
      </c>
      <c r="CF26" s="1724">
        <f t="shared" si="10"/>
        <v>0</v>
      </c>
      <c r="CG26" s="1724">
        <f t="shared" si="11"/>
        <v>0</v>
      </c>
      <c r="CH26" s="75"/>
      <c r="CM26" s="638"/>
      <c r="CN26" s="1847">
        <v>23</v>
      </c>
      <c r="CO26" s="1851"/>
      <c r="CP26" s="2">
        <v>3527374.0077904393</v>
      </c>
      <c r="CQ26" s="2">
        <v>37212329.342340708</v>
      </c>
      <c r="CR26" s="646">
        <f t="shared" si="63"/>
        <v>40739703.350131147</v>
      </c>
      <c r="CS26" s="1141"/>
      <c r="CT26" s="648"/>
      <c r="CU26" s="649"/>
      <c r="CV26" s="650"/>
      <c r="CW26" s="650"/>
      <c r="CX26" s="650"/>
      <c r="CY26" s="650"/>
      <c r="CZ26" s="650"/>
      <c r="DA26" s="650"/>
      <c r="DB26" s="808"/>
      <c r="DC26" s="808"/>
      <c r="DD26" s="808"/>
      <c r="DE26" s="808"/>
      <c r="DF26" s="451"/>
      <c r="DG26" s="647">
        <v>23</v>
      </c>
      <c r="DH26" s="557"/>
      <c r="DI26" s="558"/>
      <c r="DJ26" s="559">
        <v>53.846153846153847</v>
      </c>
      <c r="DK26" s="559">
        <v>46.153846153846153</v>
      </c>
      <c r="DL26" s="559"/>
      <c r="DM26" s="559"/>
      <c r="DN26" s="559"/>
      <c r="DO26" s="559"/>
      <c r="DP26" s="560"/>
      <c r="DQ26" s="560"/>
      <c r="DR26" s="560"/>
      <c r="DS26" s="1847">
        <v>23</v>
      </c>
      <c r="DT26" s="192">
        <f t="shared" ref="DT26:DT48" si="190">$CR26*DH26/100</f>
        <v>0</v>
      </c>
      <c r="DU26" s="192">
        <f t="shared" ref="DU26:DU48" si="191">$CR26*DI26/100</f>
        <v>0</v>
      </c>
      <c r="DV26" s="192">
        <f t="shared" ref="DV26:DV48" si="192">$CR26*DJ26/100</f>
        <v>21936763.342378311</v>
      </c>
      <c r="DW26" s="192">
        <f t="shared" ref="DW26:DW48" si="193">$CR26*DK26/100</f>
        <v>18802940.007752836</v>
      </c>
      <c r="DX26" s="192">
        <f t="shared" ref="DX26:DX48" si="194">$CR26*DL26/100</f>
        <v>0</v>
      </c>
      <c r="DY26" s="192">
        <f t="shared" ref="DY26:DY48" si="195">$CR26*DM26/100</f>
        <v>0</v>
      </c>
      <c r="DZ26" s="192">
        <f t="shared" ref="DZ26:DZ48" si="196">$CR26*DN26/100</f>
        <v>0</v>
      </c>
      <c r="EA26" s="192">
        <f t="shared" ref="EA26:EA48" si="197">$CR26*DO26/100</f>
        <v>0</v>
      </c>
      <c r="EB26" s="192">
        <f t="shared" ref="EB26:EB48" si="198">$CR26*DP26/100</f>
        <v>0</v>
      </c>
      <c r="EC26" s="192">
        <f t="shared" ref="EC26:EC48" si="199">$CR26*DQ26/100</f>
        <v>0</v>
      </c>
      <c r="ED26" s="192">
        <f t="shared" ref="ED26:ED48" si="200">$CR26*DR26/100</f>
        <v>0</v>
      </c>
      <c r="EE26" s="667">
        <f t="shared" si="46"/>
        <v>40739703.350131147</v>
      </c>
      <c r="EH26" s="973">
        <v>24</v>
      </c>
      <c r="EI26" s="974"/>
      <c r="EJ26" s="974">
        <v>19.35483870967742</v>
      </c>
      <c r="EK26" s="974">
        <v>31.182795698924732</v>
      </c>
      <c r="EL26" s="974">
        <v>49.462365591397848</v>
      </c>
      <c r="EM26" s="974"/>
      <c r="EN26" s="974"/>
      <c r="EO26" s="974"/>
      <c r="EP26" s="974"/>
      <c r="EQ26" s="974"/>
      <c r="ER26" s="974"/>
      <c r="ES26" s="974"/>
      <c r="EX26" s="977">
        <v>100</v>
      </c>
      <c r="EY26" s="357">
        <v>39277750.778775066</v>
      </c>
      <c r="EZ26" s="989">
        <f t="shared" si="64"/>
        <v>0</v>
      </c>
      <c r="FA26" s="989">
        <f t="shared" si="47"/>
        <v>7602145.3120209817</v>
      </c>
      <c r="FB26" s="989">
        <f t="shared" si="48"/>
        <v>12247900.780478247</v>
      </c>
      <c r="FC26" s="989">
        <f t="shared" si="49"/>
        <v>19427704.68627584</v>
      </c>
      <c r="FD26" s="989">
        <f t="shared" si="50"/>
        <v>0</v>
      </c>
      <c r="FE26" s="989">
        <f t="shared" si="51"/>
        <v>0</v>
      </c>
      <c r="FF26" s="989">
        <f t="shared" si="52"/>
        <v>0</v>
      </c>
      <c r="FG26" s="989">
        <f t="shared" si="53"/>
        <v>0</v>
      </c>
      <c r="FH26" s="989">
        <f t="shared" si="54"/>
        <v>0</v>
      </c>
      <c r="FI26" s="989">
        <f t="shared" si="55"/>
        <v>0</v>
      </c>
      <c r="FJ26" s="989">
        <f t="shared" si="56"/>
        <v>0</v>
      </c>
      <c r="FM26" s="1002">
        <v>24</v>
      </c>
      <c r="FN26" s="1003"/>
      <c r="FO26" s="1006"/>
      <c r="FP26" s="1006">
        <v>8</v>
      </c>
      <c r="FQ26" s="1006">
        <v>64</v>
      </c>
      <c r="FR26" s="1006">
        <v>28</v>
      </c>
      <c r="FS26" s="1006"/>
      <c r="FT26" s="1006"/>
      <c r="FU26" s="1006"/>
      <c r="FV26" s="1006"/>
      <c r="FW26" s="1006"/>
      <c r="FX26" s="1006"/>
      <c r="FY26" s="1006"/>
      <c r="FZ26" s="1006"/>
      <c r="GA26" s="1003"/>
      <c r="GB26" s="1004">
        <v>100</v>
      </c>
      <c r="GC26" s="1002">
        <v>24</v>
      </c>
      <c r="GD26" s="2">
        <v>25793227.263517637</v>
      </c>
      <c r="GE26" s="989">
        <f t="shared" si="152"/>
        <v>0</v>
      </c>
      <c r="GF26" s="989">
        <f t="shared" si="153"/>
        <v>0</v>
      </c>
      <c r="GG26" s="989">
        <f t="shared" si="154"/>
        <v>2063458.181081411</v>
      </c>
      <c r="GH26" s="989">
        <f t="shared" si="155"/>
        <v>16507665.448651288</v>
      </c>
      <c r="GI26" s="989">
        <f t="shared" si="156"/>
        <v>7222103.6337849377</v>
      </c>
      <c r="GJ26" s="989">
        <f t="shared" si="157"/>
        <v>0</v>
      </c>
      <c r="GK26" s="989">
        <f t="shared" si="158"/>
        <v>0</v>
      </c>
      <c r="GL26" s="989">
        <f t="shared" si="159"/>
        <v>0</v>
      </c>
      <c r="GM26" s="989">
        <f t="shared" si="160"/>
        <v>0</v>
      </c>
      <c r="GN26" s="989">
        <f t="shared" si="161"/>
        <v>0</v>
      </c>
      <c r="GO26" s="989">
        <f t="shared" si="162"/>
        <v>0</v>
      </c>
      <c r="GP26" s="989">
        <f t="shared" si="163"/>
        <v>0</v>
      </c>
      <c r="GQ26" s="989">
        <f t="shared" si="164"/>
        <v>0</v>
      </c>
      <c r="GR26" s="989">
        <f t="shared" si="165"/>
        <v>0</v>
      </c>
      <c r="GX26" s="1032">
        <v>24</v>
      </c>
      <c r="GY26" s="1">
        <v>35353114.064844109</v>
      </c>
      <c r="GZ26" s="1038"/>
      <c r="HA26" s="1039"/>
      <c r="HB26" s="1039"/>
      <c r="HC26" s="1039">
        <v>86.666666666666671</v>
      </c>
      <c r="HD26" s="1039">
        <v>13.333333333333334</v>
      </c>
      <c r="HE26" s="1039"/>
      <c r="HF26" s="1039"/>
      <c r="HG26" s="1039"/>
      <c r="HH26" s="1039"/>
      <c r="HI26" s="1039"/>
      <c r="HJ26" s="1039"/>
      <c r="HK26" s="1039"/>
      <c r="HL26" s="1039"/>
      <c r="HM26" s="1040">
        <f t="shared" si="189"/>
        <v>100</v>
      </c>
      <c r="HN26" s="989">
        <f t="shared" si="67"/>
        <v>0</v>
      </c>
      <c r="HO26" s="989">
        <f t="shared" si="68"/>
        <v>0</v>
      </c>
      <c r="HP26" s="989">
        <f t="shared" si="69"/>
        <v>0</v>
      </c>
      <c r="HQ26" s="989">
        <f t="shared" si="70"/>
        <v>30639365.522864893</v>
      </c>
      <c r="HR26" s="989">
        <f t="shared" si="71"/>
        <v>4713748.5419792142</v>
      </c>
      <c r="HS26" s="989">
        <f t="shared" si="72"/>
        <v>0</v>
      </c>
      <c r="HT26" s="989">
        <f t="shared" si="73"/>
        <v>0</v>
      </c>
      <c r="HU26" s="989">
        <f t="shared" si="74"/>
        <v>0</v>
      </c>
      <c r="HV26" s="989">
        <f t="shared" si="75"/>
        <v>0</v>
      </c>
      <c r="HW26" s="989">
        <f t="shared" si="76"/>
        <v>0</v>
      </c>
      <c r="HX26" s="989">
        <f t="shared" si="77"/>
        <v>0</v>
      </c>
      <c r="HY26" s="989">
        <f t="shared" si="78"/>
        <v>0</v>
      </c>
      <c r="HZ26" s="989">
        <f t="shared" si="79"/>
        <v>0</v>
      </c>
      <c r="IE26" s="2">
        <v>53958202.049973086</v>
      </c>
      <c r="IF26" s="1268">
        <v>19</v>
      </c>
      <c r="IG26" s="553">
        <v>0</v>
      </c>
      <c r="IH26" s="553">
        <v>71.875</v>
      </c>
      <c r="II26" s="553">
        <v>28.125</v>
      </c>
      <c r="IJ26" s="553"/>
      <c r="IK26" s="553"/>
      <c r="IL26" s="553"/>
      <c r="IM26" s="553"/>
      <c r="IN26" s="553"/>
      <c r="IO26" s="553"/>
      <c r="IP26" s="553"/>
      <c r="IQ26" s="553"/>
      <c r="IS26" s="1270">
        <v>19</v>
      </c>
      <c r="IT26" s="989">
        <f t="shared" ref="IT26:IT35" si="201">$IE26*IG26/100</f>
        <v>0</v>
      </c>
      <c r="IU26" s="989">
        <f t="shared" ref="IU26:IU52" si="202">$IE26*IH26/100</f>
        <v>38782457.723418154</v>
      </c>
      <c r="IV26" s="989">
        <f t="shared" ref="IV26:IV52" si="203">$IE26*II26/100</f>
        <v>15175744.32655493</v>
      </c>
      <c r="IW26" s="989">
        <f t="shared" ref="IW26:IW52" si="204">$IE26*IJ26/100</f>
        <v>0</v>
      </c>
      <c r="IX26" s="989">
        <f t="shared" ref="IX26:IX52" si="205">$IE26*IK26/100</f>
        <v>0</v>
      </c>
      <c r="IY26" s="989">
        <f t="shared" ref="IY26:IY52" si="206">$IE26*IL26/100</f>
        <v>0</v>
      </c>
      <c r="IZ26" s="989">
        <f t="shared" ref="IZ26:IZ52" si="207">$IE26*IM26/100</f>
        <v>0</v>
      </c>
      <c r="JA26" s="989">
        <f t="shared" ref="JA26:JA52" si="208">$IE26*IN26/100</f>
        <v>0</v>
      </c>
      <c r="JB26" s="989">
        <f t="shared" ref="JB26:JB52" si="209">$IE26*IO26/100</f>
        <v>0</v>
      </c>
      <c r="JC26" s="989">
        <f t="shared" ref="JC26:JC52" si="210">$IE26*IP26/100</f>
        <v>0</v>
      </c>
      <c r="JD26" s="989">
        <f t="shared" ref="JD26:JD52" si="211">$IE26*IQ26/100</f>
        <v>0</v>
      </c>
      <c r="JE26" s="989">
        <f t="shared" ref="JE26:JE35" si="212">$IE26*IR26/100</f>
        <v>0</v>
      </c>
      <c r="JG26" s="1">
        <v>0</v>
      </c>
      <c r="JH26" s="1002">
        <v>19</v>
      </c>
      <c r="JJ26" s="1">
        <v>100</v>
      </c>
      <c r="JW26" s="989">
        <f t="shared" si="103"/>
        <v>0</v>
      </c>
      <c r="JX26" s="989">
        <f t="shared" si="104"/>
        <v>0</v>
      </c>
      <c r="JY26" s="989">
        <f t="shared" si="92"/>
        <v>0</v>
      </c>
      <c r="JZ26" s="989">
        <f t="shared" si="93"/>
        <v>0</v>
      </c>
      <c r="KA26" s="989">
        <f t="shared" si="94"/>
        <v>0</v>
      </c>
      <c r="KB26" s="989">
        <f t="shared" si="95"/>
        <v>0</v>
      </c>
      <c r="KC26" s="989">
        <f t="shared" si="96"/>
        <v>0</v>
      </c>
      <c r="KD26" s="989">
        <f t="shared" si="97"/>
        <v>0</v>
      </c>
      <c r="KE26" s="989">
        <f t="shared" si="98"/>
        <v>0</v>
      </c>
      <c r="KF26" s="989">
        <f t="shared" si="99"/>
        <v>0</v>
      </c>
      <c r="KG26" s="989">
        <f t="shared" si="100"/>
        <v>0</v>
      </c>
      <c r="KJ26" s="192">
        <f t="shared" si="178"/>
        <v>0</v>
      </c>
      <c r="KK26" s="192">
        <f t="shared" si="179"/>
        <v>38782457.723418154</v>
      </c>
      <c r="KL26" s="192">
        <f t="shared" si="180"/>
        <v>15175744.32655493</v>
      </c>
      <c r="KM26" s="192">
        <f t="shared" si="181"/>
        <v>0</v>
      </c>
      <c r="KN26" s="192">
        <f t="shared" si="182"/>
        <v>0</v>
      </c>
      <c r="KO26" s="192">
        <f t="shared" si="183"/>
        <v>0</v>
      </c>
      <c r="KP26" s="192">
        <f t="shared" si="184"/>
        <v>0</v>
      </c>
      <c r="KQ26" s="192">
        <f t="shared" si="185"/>
        <v>0</v>
      </c>
      <c r="KR26" s="192">
        <f t="shared" si="186"/>
        <v>0</v>
      </c>
      <c r="KS26" s="192">
        <f t="shared" si="187"/>
        <v>0</v>
      </c>
      <c r="KT26" s="192">
        <f t="shared" si="188"/>
        <v>0</v>
      </c>
      <c r="KV26" s="1032">
        <v>24</v>
      </c>
      <c r="KW26" s="2">
        <v>45588625.446731627</v>
      </c>
      <c r="KX26" s="1">
        <v>0</v>
      </c>
      <c r="KY26" s="1">
        <v>0</v>
      </c>
      <c r="KZ26" s="1">
        <v>79.166666666666657</v>
      </c>
      <c r="LA26" s="1">
        <v>20.833333333333332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J26" s="989">
        <f t="shared" si="141"/>
        <v>0</v>
      </c>
      <c r="LK26" s="989">
        <f t="shared" si="142"/>
        <v>0</v>
      </c>
      <c r="LL26" s="989">
        <f t="shared" si="143"/>
        <v>36090995.1453292</v>
      </c>
      <c r="LM26" s="989">
        <f t="shared" si="144"/>
        <v>9497630.3014024217</v>
      </c>
      <c r="LN26" s="989">
        <f t="shared" si="145"/>
        <v>0</v>
      </c>
      <c r="LO26" s="989">
        <f t="shared" si="146"/>
        <v>0</v>
      </c>
      <c r="LP26" s="989">
        <f t="shared" si="147"/>
        <v>0</v>
      </c>
      <c r="LQ26" s="989">
        <f t="shared" si="148"/>
        <v>0</v>
      </c>
      <c r="LR26" s="989">
        <f t="shared" si="149"/>
        <v>0</v>
      </c>
      <c r="LS26" s="989">
        <f t="shared" si="150"/>
        <v>0</v>
      </c>
      <c r="LT26" s="989">
        <f t="shared" si="151"/>
        <v>0</v>
      </c>
      <c r="LV26" s="2">
        <v>11704123.88438518</v>
      </c>
      <c r="LW26" s="1446">
        <v>0</v>
      </c>
      <c r="LX26" s="1446">
        <v>85.7</v>
      </c>
      <c r="LY26" s="1446">
        <v>14.299999999999999</v>
      </c>
      <c r="LZ26" s="1446">
        <v>0</v>
      </c>
      <c r="MA26" s="1446">
        <v>0</v>
      </c>
      <c r="MB26" s="1446">
        <v>0</v>
      </c>
      <c r="MC26" s="1446">
        <v>0</v>
      </c>
      <c r="MD26" s="1446">
        <v>0</v>
      </c>
      <c r="ME26" s="1446">
        <v>0</v>
      </c>
      <c r="MF26" s="1446">
        <v>0</v>
      </c>
      <c r="MH26" s="1">
        <f t="shared" si="166"/>
        <v>100</v>
      </c>
      <c r="MI26" s="989">
        <f t="shared" si="167"/>
        <v>0</v>
      </c>
      <c r="MJ26" s="989">
        <f t="shared" si="168"/>
        <v>10030434.168918099</v>
      </c>
      <c r="MK26" s="989">
        <f t="shared" si="169"/>
        <v>1673689.7154670805</v>
      </c>
      <c r="ML26" s="989">
        <f t="shared" si="170"/>
        <v>0</v>
      </c>
      <c r="MM26" s="989">
        <f t="shared" si="171"/>
        <v>0</v>
      </c>
      <c r="MN26" s="989">
        <f t="shared" si="172"/>
        <v>0</v>
      </c>
      <c r="MO26" s="989">
        <f t="shared" si="173"/>
        <v>0</v>
      </c>
      <c r="MP26" s="989">
        <f t="shared" si="174"/>
        <v>0</v>
      </c>
      <c r="MQ26" s="989">
        <f t="shared" si="175"/>
        <v>0</v>
      </c>
      <c r="MR26" s="989">
        <f t="shared" si="176"/>
        <v>0</v>
      </c>
      <c r="MS26" s="989">
        <f t="shared" si="177"/>
        <v>0</v>
      </c>
      <c r="MU26" s="1032">
        <v>24</v>
      </c>
      <c r="MV26" s="57">
        <v>10967154.830740808</v>
      </c>
      <c r="MW26" s="1964"/>
      <c r="MX26" s="1964"/>
      <c r="MY26" s="1964">
        <v>56</v>
      </c>
      <c r="MZ26" s="1964">
        <v>44</v>
      </c>
      <c r="NA26" s="1964"/>
      <c r="NB26" s="1964"/>
      <c r="NC26" s="1964"/>
      <c r="ND26" s="1964"/>
      <c r="NE26" s="1964"/>
      <c r="NF26" s="1964"/>
      <c r="NG26" s="1964"/>
      <c r="NJ26" s="989">
        <f t="shared" si="116"/>
        <v>0</v>
      </c>
      <c r="NK26" s="989">
        <f t="shared" si="117"/>
        <v>0</v>
      </c>
      <c r="NL26" s="989">
        <f t="shared" si="118"/>
        <v>6141606.7052148525</v>
      </c>
      <c r="NM26" s="989">
        <f t="shared" si="119"/>
        <v>4825548.1255259551</v>
      </c>
      <c r="NN26" s="989">
        <f t="shared" si="120"/>
        <v>0</v>
      </c>
      <c r="NO26" s="989">
        <f t="shared" si="121"/>
        <v>0</v>
      </c>
      <c r="NP26" s="989">
        <f t="shared" si="122"/>
        <v>0</v>
      </c>
      <c r="NQ26" s="989">
        <f t="shared" si="123"/>
        <v>0</v>
      </c>
      <c r="NR26" s="989">
        <f t="shared" si="124"/>
        <v>0</v>
      </c>
      <c r="NS26" s="989">
        <f t="shared" si="125"/>
        <v>0</v>
      </c>
      <c r="NT26" s="989">
        <f t="shared" si="126"/>
        <v>0</v>
      </c>
    </row>
    <row r="27" spans="1:384" ht="15" thickTop="1" thickBot="1">
      <c r="A27" s="1822">
        <v>26</v>
      </c>
      <c r="B27" s="1199"/>
      <c r="C27" s="1822">
        <v>7013344.0839382093</v>
      </c>
      <c r="D27" s="1199">
        <v>21188019.074676447</v>
      </c>
      <c r="E27" s="20"/>
      <c r="F27" s="1843">
        <f t="shared" si="12"/>
        <v>28201363.158614658</v>
      </c>
      <c r="G27" s="951">
        <v>0</v>
      </c>
      <c r="H27" s="806">
        <v>0</v>
      </c>
      <c r="I27" s="806">
        <v>0.3120715942798053</v>
      </c>
      <c r="J27" s="806">
        <v>37.72761166642632</v>
      </c>
      <c r="K27" s="806">
        <v>58.4691511073502</v>
      </c>
      <c r="L27" s="806">
        <v>3.4911656319436726</v>
      </c>
      <c r="M27" s="806">
        <v>0</v>
      </c>
      <c r="N27" s="806">
        <v>0</v>
      </c>
      <c r="O27" s="806">
        <v>0</v>
      </c>
      <c r="P27" s="806">
        <v>0</v>
      </c>
      <c r="Q27" s="806"/>
      <c r="R27" s="806"/>
      <c r="S27" s="2"/>
      <c r="T27" s="114">
        <v>26</v>
      </c>
      <c r="U27" s="2">
        <f t="shared" si="127"/>
        <v>0</v>
      </c>
      <c r="V27" s="2">
        <f t="shared" si="13"/>
        <v>0</v>
      </c>
      <c r="W27" s="2">
        <f t="shared" si="14"/>
        <v>88008.443617726414</v>
      </c>
      <c r="X27" s="2">
        <f t="shared" si="15"/>
        <v>10639700.777120758</v>
      </c>
      <c r="Y27" s="2">
        <f t="shared" si="16"/>
        <v>16489097.639542995</v>
      </c>
      <c r="Z27" s="2">
        <f t="shared" si="17"/>
        <v>984556.29833317955</v>
      </c>
      <c r="AA27" s="2">
        <f t="shared" si="18"/>
        <v>0</v>
      </c>
      <c r="AB27" s="2">
        <f t="shared" si="19"/>
        <v>0</v>
      </c>
      <c r="AC27" s="2">
        <f t="shared" si="20"/>
        <v>0</v>
      </c>
      <c r="AD27" s="2">
        <f t="shared" si="21"/>
        <v>0</v>
      </c>
      <c r="AE27" s="2">
        <f t="shared" si="22"/>
        <v>0</v>
      </c>
      <c r="AF27" s="1844">
        <v>26</v>
      </c>
      <c r="AG27" s="1724">
        <f t="shared" si="23"/>
        <v>0</v>
      </c>
      <c r="AH27" s="1724">
        <f t="shared" si="24"/>
        <v>0</v>
      </c>
      <c r="AI27" s="1724">
        <f t="shared" si="25"/>
        <v>2288219.5340608866</v>
      </c>
      <c r="AJ27" s="1724">
        <f t="shared" si="26"/>
        <v>276632220.2051397</v>
      </c>
      <c r="AK27" s="1724">
        <f t="shared" si="27"/>
        <v>428716538.62811786</v>
      </c>
      <c r="AL27" s="1724">
        <f t="shared" si="28"/>
        <v>25598463.756662667</v>
      </c>
      <c r="AM27" s="1724">
        <f t="shared" si="29"/>
        <v>0</v>
      </c>
      <c r="AN27" s="1724">
        <f t="shared" si="30"/>
        <v>0</v>
      </c>
      <c r="AO27" s="1724">
        <f t="shared" si="31"/>
        <v>0</v>
      </c>
      <c r="AP27" s="1724">
        <f t="shared" si="32"/>
        <v>0</v>
      </c>
      <c r="AR27" s="1822">
        <v>26</v>
      </c>
      <c r="AS27" s="1199"/>
      <c r="AT27" s="1">
        <v>906474.84748309152</v>
      </c>
      <c r="AU27" s="1">
        <v>6322077.3290701723</v>
      </c>
      <c r="AV27" s="20"/>
      <c r="AW27" s="1843">
        <f t="shared" si="33"/>
        <v>7228552.1765532643</v>
      </c>
      <c r="AX27" s="807"/>
      <c r="AY27" s="953"/>
      <c r="AZ27" s="1849"/>
      <c r="BA27" s="1849">
        <v>14.3</v>
      </c>
      <c r="BB27" s="1849">
        <v>71.400000000000006</v>
      </c>
      <c r="BC27" s="1849">
        <v>14.3</v>
      </c>
      <c r="BD27" s="1849"/>
      <c r="BE27" s="1849"/>
      <c r="BF27" s="806"/>
      <c r="BG27" s="806"/>
      <c r="BH27" s="806"/>
      <c r="BI27" s="806"/>
      <c r="BJ27" s="2"/>
      <c r="BK27" s="114">
        <v>26</v>
      </c>
      <c r="BL27" s="2">
        <f t="shared" si="128"/>
        <v>0</v>
      </c>
      <c r="BM27" s="2">
        <f t="shared" si="129"/>
        <v>0</v>
      </c>
      <c r="BN27" s="2">
        <f t="shared" si="130"/>
        <v>0</v>
      </c>
      <c r="BO27" s="2">
        <f t="shared" si="131"/>
        <v>1033682.9612471168</v>
      </c>
      <c r="BP27" s="2">
        <f t="shared" si="132"/>
        <v>5161186.2540590307</v>
      </c>
      <c r="BQ27" s="2">
        <f t="shared" si="133"/>
        <v>1033682.9612471168</v>
      </c>
      <c r="BR27" s="2">
        <f t="shared" si="134"/>
        <v>0</v>
      </c>
      <c r="BS27" s="2">
        <f t="shared" si="135"/>
        <v>0</v>
      </c>
      <c r="BT27" s="2">
        <f t="shared" si="136"/>
        <v>0</v>
      </c>
      <c r="BU27" s="2">
        <f t="shared" si="137"/>
        <v>0</v>
      </c>
      <c r="BV27" s="2">
        <f t="shared" si="138"/>
        <v>0</v>
      </c>
      <c r="BW27" s="1844">
        <v>26</v>
      </c>
      <c r="BX27" s="1724">
        <f t="shared" si="139"/>
        <v>0</v>
      </c>
      <c r="BY27" s="1724">
        <f t="shared" si="3"/>
        <v>0</v>
      </c>
      <c r="BZ27" s="1724">
        <f t="shared" si="4"/>
        <v>0</v>
      </c>
      <c r="CA27" s="1724">
        <f t="shared" si="5"/>
        <v>26875756.992425036</v>
      </c>
      <c r="CB27" s="1724">
        <f t="shared" si="6"/>
        <v>134190842.60553479</v>
      </c>
      <c r="CC27" s="1724">
        <f t="shared" si="7"/>
        <v>26875756.992425036</v>
      </c>
      <c r="CD27" s="1724">
        <f t="shared" si="8"/>
        <v>0</v>
      </c>
      <c r="CE27" s="1724">
        <f t="shared" si="9"/>
        <v>0</v>
      </c>
      <c r="CF27" s="1724">
        <f t="shared" si="10"/>
        <v>0</v>
      </c>
      <c r="CG27" s="1724">
        <f t="shared" si="11"/>
        <v>0</v>
      </c>
      <c r="CH27" s="75"/>
      <c r="CM27" s="638"/>
      <c r="CN27" s="1847">
        <v>24</v>
      </c>
      <c r="CO27" s="1851"/>
      <c r="CP27" s="2">
        <v>4197268.2239445318</v>
      </c>
      <c r="CQ27" s="2">
        <v>33501626.228088465</v>
      </c>
      <c r="CR27" s="646">
        <f t="shared" si="63"/>
        <v>37698894.452032998</v>
      </c>
      <c r="CS27" s="1141"/>
      <c r="CT27" s="809"/>
      <c r="CU27" s="954"/>
      <c r="CV27" s="1850"/>
      <c r="CW27" s="1850"/>
      <c r="CX27" s="1850"/>
      <c r="CY27" s="1850"/>
      <c r="CZ27" s="1850"/>
      <c r="DA27" s="1850"/>
      <c r="DB27" s="808"/>
      <c r="DC27" s="808"/>
      <c r="DD27" s="808"/>
      <c r="DE27" s="808"/>
      <c r="DF27" s="451"/>
      <c r="DG27" s="647">
        <v>24</v>
      </c>
      <c r="DH27" s="553"/>
      <c r="DI27" s="554"/>
      <c r="DJ27" s="555">
        <v>9.5238095238095237</v>
      </c>
      <c r="DK27" s="555">
        <v>85.714285714285708</v>
      </c>
      <c r="DL27" s="555">
        <v>4.7619047619047619</v>
      </c>
      <c r="DM27" s="555"/>
      <c r="DN27" s="555"/>
      <c r="DO27" s="555"/>
      <c r="DP27" s="556"/>
      <c r="DQ27" s="556"/>
      <c r="DR27" s="556"/>
      <c r="DS27" s="1847">
        <v>24</v>
      </c>
      <c r="DT27" s="192">
        <f t="shared" si="190"/>
        <v>0</v>
      </c>
      <c r="DU27" s="192">
        <f t="shared" si="191"/>
        <v>0</v>
      </c>
      <c r="DV27" s="192">
        <f t="shared" si="192"/>
        <v>3590370.9001936191</v>
      </c>
      <c r="DW27" s="192">
        <f t="shared" si="193"/>
        <v>32313338.101742569</v>
      </c>
      <c r="DX27" s="192">
        <f t="shared" si="194"/>
        <v>1795185.4500968095</v>
      </c>
      <c r="DY27" s="192">
        <f t="shared" si="195"/>
        <v>0</v>
      </c>
      <c r="DZ27" s="192">
        <f t="shared" si="196"/>
        <v>0</v>
      </c>
      <c r="EA27" s="192">
        <f t="shared" si="197"/>
        <v>0</v>
      </c>
      <c r="EB27" s="192">
        <f t="shared" si="198"/>
        <v>0</v>
      </c>
      <c r="EC27" s="192">
        <f t="shared" si="199"/>
        <v>0</v>
      </c>
      <c r="ED27" s="192">
        <f t="shared" si="200"/>
        <v>0</v>
      </c>
      <c r="EE27" s="667">
        <f t="shared" si="46"/>
        <v>37698894.452032998</v>
      </c>
      <c r="EH27" s="976">
        <v>25</v>
      </c>
      <c r="EI27" s="974"/>
      <c r="EJ27" s="974">
        <v>7.1428571428571432</v>
      </c>
      <c r="EK27" s="974">
        <v>15.178571428571429</v>
      </c>
      <c r="EL27" s="974">
        <v>66.964285714285708</v>
      </c>
      <c r="EM27" s="974">
        <v>10.714285714285714</v>
      </c>
      <c r="EN27" s="974"/>
      <c r="EO27" s="974"/>
      <c r="EP27" s="974"/>
      <c r="EQ27" s="974"/>
      <c r="ER27" s="974"/>
      <c r="ES27" s="974"/>
      <c r="EX27" s="975">
        <v>99.999999999999986</v>
      </c>
      <c r="EY27" s="357">
        <v>24936106.385298826</v>
      </c>
      <c r="EZ27" s="989">
        <f t="shared" si="64"/>
        <v>0</v>
      </c>
      <c r="FA27" s="989">
        <f t="shared" si="47"/>
        <v>1781150.4560927735</v>
      </c>
      <c r="FB27" s="989">
        <f t="shared" si="48"/>
        <v>3784944.7191971433</v>
      </c>
      <c r="FC27" s="989">
        <f t="shared" si="49"/>
        <v>16698285.525869749</v>
      </c>
      <c r="FD27" s="989">
        <f t="shared" si="50"/>
        <v>2671725.6841391595</v>
      </c>
      <c r="FE27" s="989">
        <f t="shared" si="51"/>
        <v>0</v>
      </c>
      <c r="FF27" s="989">
        <f t="shared" si="52"/>
        <v>0</v>
      </c>
      <c r="FG27" s="989">
        <f t="shared" si="53"/>
        <v>0</v>
      </c>
      <c r="FH27" s="989">
        <f t="shared" si="54"/>
        <v>0</v>
      </c>
      <c r="FI27" s="989">
        <f t="shared" si="55"/>
        <v>0</v>
      </c>
      <c r="FJ27" s="989">
        <f t="shared" si="56"/>
        <v>0</v>
      </c>
      <c r="FM27" s="1002">
        <v>25</v>
      </c>
      <c r="FN27" s="1003"/>
      <c r="FO27" s="1006"/>
      <c r="FP27" s="1006">
        <v>2.5</v>
      </c>
      <c r="FQ27" s="1006">
        <v>57.5</v>
      </c>
      <c r="FR27" s="1006">
        <v>40</v>
      </c>
      <c r="FS27" s="1006"/>
      <c r="FT27" s="1006"/>
      <c r="FU27" s="1006"/>
      <c r="FV27" s="1006"/>
      <c r="FW27" s="1006"/>
      <c r="FX27" s="1006"/>
      <c r="FY27" s="1006"/>
      <c r="FZ27" s="1006"/>
      <c r="GA27" s="1003"/>
      <c r="GB27" s="1004">
        <v>100</v>
      </c>
      <c r="GC27" s="1002">
        <v>25</v>
      </c>
      <c r="GD27" s="2">
        <v>29069797.201421347</v>
      </c>
      <c r="GE27" s="989">
        <f t="shared" si="152"/>
        <v>0</v>
      </c>
      <c r="GF27" s="989">
        <f t="shared" si="153"/>
        <v>0</v>
      </c>
      <c r="GG27" s="989">
        <f t="shared" si="154"/>
        <v>726744.93003553362</v>
      </c>
      <c r="GH27" s="989">
        <f t="shared" si="155"/>
        <v>16715133.390817275</v>
      </c>
      <c r="GI27" s="989">
        <f t="shared" si="156"/>
        <v>11627918.880568538</v>
      </c>
      <c r="GJ27" s="989">
        <f t="shared" si="157"/>
        <v>0</v>
      </c>
      <c r="GK27" s="989">
        <f t="shared" si="158"/>
        <v>0</v>
      </c>
      <c r="GL27" s="989">
        <f t="shared" si="159"/>
        <v>0</v>
      </c>
      <c r="GM27" s="989">
        <f t="shared" si="160"/>
        <v>0</v>
      </c>
      <c r="GN27" s="989">
        <f t="shared" si="161"/>
        <v>0</v>
      </c>
      <c r="GO27" s="989">
        <f t="shared" si="162"/>
        <v>0</v>
      </c>
      <c r="GP27" s="989">
        <f t="shared" si="163"/>
        <v>0</v>
      </c>
      <c r="GQ27" s="989">
        <f t="shared" si="164"/>
        <v>0</v>
      </c>
      <c r="GR27" s="989">
        <f t="shared" si="165"/>
        <v>0</v>
      </c>
      <c r="GX27" s="1033">
        <v>25</v>
      </c>
      <c r="GY27" s="1">
        <v>29415254.07236984</v>
      </c>
      <c r="GZ27" s="1041"/>
      <c r="HA27" s="1039"/>
      <c r="HB27" s="1039"/>
      <c r="HC27" s="1039">
        <v>50</v>
      </c>
      <c r="HD27" s="1039">
        <v>50</v>
      </c>
      <c r="HE27" s="1039"/>
      <c r="HF27" s="1039"/>
      <c r="HG27" s="1039"/>
      <c r="HH27" s="1039"/>
      <c r="HI27" s="1039"/>
      <c r="HJ27" s="1039"/>
      <c r="HK27" s="1039"/>
      <c r="HL27" s="1039"/>
      <c r="HM27" s="1040">
        <f t="shared" si="189"/>
        <v>100</v>
      </c>
      <c r="HN27" s="989">
        <f t="shared" si="67"/>
        <v>0</v>
      </c>
      <c r="HO27" s="989">
        <f t="shared" si="68"/>
        <v>0</v>
      </c>
      <c r="HP27" s="989">
        <f t="shared" si="69"/>
        <v>0</v>
      </c>
      <c r="HQ27" s="989">
        <f t="shared" si="70"/>
        <v>14707627.036184918</v>
      </c>
      <c r="HR27" s="989">
        <f t="shared" si="71"/>
        <v>14707627.036184918</v>
      </c>
      <c r="HS27" s="989">
        <f t="shared" si="72"/>
        <v>0</v>
      </c>
      <c r="HT27" s="989">
        <f t="shared" si="73"/>
        <v>0</v>
      </c>
      <c r="HU27" s="989">
        <f t="shared" si="74"/>
        <v>0</v>
      </c>
      <c r="HV27" s="989">
        <f t="shared" si="75"/>
        <v>0</v>
      </c>
      <c r="HW27" s="989">
        <f t="shared" si="76"/>
        <v>0</v>
      </c>
      <c r="HX27" s="989">
        <f t="shared" si="77"/>
        <v>0</v>
      </c>
      <c r="HY27" s="989">
        <f t="shared" si="78"/>
        <v>0</v>
      </c>
      <c r="HZ27" s="989">
        <f t="shared" si="79"/>
        <v>0</v>
      </c>
      <c r="IE27" s="2">
        <v>63235987.247619182</v>
      </c>
      <c r="IF27" s="1002">
        <v>20</v>
      </c>
      <c r="IG27" s="553">
        <v>0</v>
      </c>
      <c r="IH27" s="553">
        <v>43.18181818181818</v>
      </c>
      <c r="II27" s="553">
        <v>54.545454545454547</v>
      </c>
      <c r="IJ27" s="553">
        <v>2.2727272727272729</v>
      </c>
      <c r="IK27" s="553"/>
      <c r="IL27" s="553"/>
      <c r="IM27" s="553"/>
      <c r="IN27" s="553"/>
      <c r="IO27" s="553"/>
      <c r="IP27" s="553"/>
      <c r="IQ27" s="553"/>
      <c r="IS27" s="1270">
        <v>20</v>
      </c>
      <c r="IT27" s="989">
        <f t="shared" si="201"/>
        <v>0</v>
      </c>
      <c r="IU27" s="989">
        <f t="shared" si="202"/>
        <v>27306449.038744643</v>
      </c>
      <c r="IV27" s="989">
        <f t="shared" si="203"/>
        <v>34492356.680519551</v>
      </c>
      <c r="IW27" s="989">
        <f t="shared" si="204"/>
        <v>1437181.5283549814</v>
      </c>
      <c r="IX27" s="989">
        <f t="shared" si="205"/>
        <v>0</v>
      </c>
      <c r="IY27" s="989">
        <f t="shared" si="206"/>
        <v>0</v>
      </c>
      <c r="IZ27" s="989">
        <f t="shared" si="207"/>
        <v>0</v>
      </c>
      <c r="JA27" s="989">
        <f t="shared" si="208"/>
        <v>0</v>
      </c>
      <c r="JB27" s="989">
        <f t="shared" si="209"/>
        <v>0</v>
      </c>
      <c r="JC27" s="989">
        <f t="shared" si="210"/>
        <v>0</v>
      </c>
      <c r="JD27" s="989">
        <f t="shared" si="211"/>
        <v>0</v>
      </c>
      <c r="JE27" s="989">
        <f t="shared" si="212"/>
        <v>0</v>
      </c>
      <c r="JG27" s="1135">
        <v>31625.662543824757</v>
      </c>
      <c r="JH27" s="1005">
        <v>20</v>
      </c>
      <c r="JI27" s="553"/>
      <c r="JJ27" s="1272">
        <v>66.666666666666671</v>
      </c>
      <c r="JK27" s="1272">
        <v>33.333333333333336</v>
      </c>
      <c r="JL27" s="1272"/>
      <c r="JM27" s="1272"/>
      <c r="JN27" s="1272"/>
      <c r="JO27" s="1272"/>
      <c r="JP27" s="1272"/>
      <c r="JQ27" s="1272"/>
      <c r="JR27" s="1272"/>
      <c r="JS27" s="1272"/>
      <c r="JT27" s="1273"/>
      <c r="JU27" s="1273"/>
      <c r="JW27" s="989">
        <f t="shared" si="103"/>
        <v>21083.775029216507</v>
      </c>
      <c r="JX27" s="989">
        <f t="shared" si="104"/>
        <v>10541.887514608254</v>
      </c>
      <c r="JY27" s="989">
        <f t="shared" si="92"/>
        <v>0</v>
      </c>
      <c r="JZ27" s="989">
        <f t="shared" si="93"/>
        <v>0</v>
      </c>
      <c r="KA27" s="989">
        <f t="shared" si="94"/>
        <v>0</v>
      </c>
      <c r="KB27" s="989">
        <f t="shared" si="95"/>
        <v>0</v>
      </c>
      <c r="KC27" s="989">
        <f t="shared" si="96"/>
        <v>0</v>
      </c>
      <c r="KD27" s="989">
        <f t="shared" si="97"/>
        <v>0</v>
      </c>
      <c r="KE27" s="989">
        <f t="shared" si="98"/>
        <v>0</v>
      </c>
      <c r="KF27" s="989">
        <f t="shared" si="99"/>
        <v>0</v>
      </c>
      <c r="KG27" s="989">
        <f t="shared" si="100"/>
        <v>0</v>
      </c>
      <c r="KJ27" s="192">
        <f t="shared" si="178"/>
        <v>21083.775029216507</v>
      </c>
      <c r="KK27" s="192">
        <f t="shared" si="179"/>
        <v>27316990.926259253</v>
      </c>
      <c r="KL27" s="192">
        <f t="shared" si="180"/>
        <v>34492356.680519551</v>
      </c>
      <c r="KM27" s="192">
        <f t="shared" si="181"/>
        <v>1437181.5283549814</v>
      </c>
      <c r="KN27" s="192">
        <f t="shared" si="182"/>
        <v>0</v>
      </c>
      <c r="KO27" s="192">
        <f t="shared" si="183"/>
        <v>0</v>
      </c>
      <c r="KP27" s="192">
        <f t="shared" si="184"/>
        <v>0</v>
      </c>
      <c r="KQ27" s="192">
        <f t="shared" si="185"/>
        <v>0</v>
      </c>
      <c r="KR27" s="192">
        <f t="shared" si="186"/>
        <v>0</v>
      </c>
      <c r="KS27" s="192">
        <f t="shared" si="187"/>
        <v>0</v>
      </c>
      <c r="KT27" s="192">
        <f t="shared" si="188"/>
        <v>0</v>
      </c>
      <c r="KV27" s="1033">
        <v>25</v>
      </c>
      <c r="KW27" s="2">
        <v>29772319.051781479</v>
      </c>
      <c r="KX27" s="1">
        <v>0</v>
      </c>
      <c r="KY27" s="1">
        <v>0</v>
      </c>
      <c r="KZ27" s="1">
        <v>48.000000000000007</v>
      </c>
      <c r="LA27" s="1">
        <v>52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J27" s="989">
        <f t="shared" si="141"/>
        <v>0</v>
      </c>
      <c r="LK27" s="989">
        <f t="shared" si="142"/>
        <v>0</v>
      </c>
      <c r="LL27" s="989">
        <f t="shared" si="143"/>
        <v>14290713.144855114</v>
      </c>
      <c r="LM27" s="989">
        <f t="shared" si="144"/>
        <v>15481605.906926369</v>
      </c>
      <c r="LN27" s="989">
        <f t="shared" si="145"/>
        <v>0</v>
      </c>
      <c r="LO27" s="989">
        <f t="shared" si="146"/>
        <v>0</v>
      </c>
      <c r="LP27" s="989">
        <f t="shared" si="147"/>
        <v>0</v>
      </c>
      <c r="LQ27" s="989">
        <f t="shared" si="148"/>
        <v>0</v>
      </c>
      <c r="LR27" s="989">
        <f t="shared" si="149"/>
        <v>0</v>
      </c>
      <c r="LS27" s="989">
        <f t="shared" si="150"/>
        <v>0</v>
      </c>
      <c r="LT27" s="989">
        <f t="shared" si="151"/>
        <v>0</v>
      </c>
      <c r="LV27" s="2">
        <v>14600673.113402419</v>
      </c>
      <c r="LW27" s="1446">
        <v>0</v>
      </c>
      <c r="LX27" s="1446">
        <v>25</v>
      </c>
      <c r="LY27" s="1446">
        <v>75</v>
      </c>
      <c r="LZ27" s="1446">
        <v>0</v>
      </c>
      <c r="MA27" s="1446">
        <v>0</v>
      </c>
      <c r="MB27" s="1446">
        <v>0</v>
      </c>
      <c r="MC27" s="1446">
        <v>0</v>
      </c>
      <c r="MD27" s="1446">
        <v>0</v>
      </c>
      <c r="ME27" s="1446">
        <v>0</v>
      </c>
      <c r="MF27" s="1446">
        <v>0</v>
      </c>
      <c r="MH27" s="1">
        <f t="shared" si="166"/>
        <v>100</v>
      </c>
      <c r="MI27" s="989">
        <f t="shared" si="167"/>
        <v>0</v>
      </c>
      <c r="MJ27" s="989">
        <f t="shared" si="168"/>
        <v>3650168.2783506047</v>
      </c>
      <c r="MK27" s="989">
        <f t="shared" si="169"/>
        <v>10950504.835051812</v>
      </c>
      <c r="ML27" s="989">
        <f t="shared" si="170"/>
        <v>0</v>
      </c>
      <c r="MM27" s="989">
        <f t="shared" si="171"/>
        <v>0</v>
      </c>
      <c r="MN27" s="989">
        <f t="shared" si="172"/>
        <v>0</v>
      </c>
      <c r="MO27" s="989">
        <f t="shared" si="173"/>
        <v>0</v>
      </c>
      <c r="MP27" s="989">
        <f t="shared" si="174"/>
        <v>0</v>
      </c>
      <c r="MQ27" s="989">
        <f t="shared" si="175"/>
        <v>0</v>
      </c>
      <c r="MR27" s="989">
        <f t="shared" si="176"/>
        <v>0</v>
      </c>
      <c r="MS27" s="989">
        <f t="shared" si="177"/>
        <v>0</v>
      </c>
      <c r="MU27" s="1033">
        <v>25</v>
      </c>
      <c r="MV27" s="57">
        <v>7850391.2027315116</v>
      </c>
      <c r="MW27" s="1964"/>
      <c r="MX27" s="1964"/>
      <c r="MY27" s="1964">
        <v>26.32</v>
      </c>
      <c r="MZ27" s="1964">
        <v>71.05</v>
      </c>
      <c r="NA27" s="1964">
        <v>2.63</v>
      </c>
      <c r="NB27" s="1964"/>
      <c r="NC27" s="1964"/>
      <c r="ND27" s="1964"/>
      <c r="NE27" s="1964"/>
      <c r="NF27" s="1964"/>
      <c r="NG27" s="1964"/>
      <c r="NJ27" s="989">
        <f t="shared" si="116"/>
        <v>0</v>
      </c>
      <c r="NK27" s="989">
        <f t="shared" si="117"/>
        <v>0</v>
      </c>
      <c r="NL27" s="989">
        <f t="shared" si="118"/>
        <v>2066222.9645589339</v>
      </c>
      <c r="NM27" s="989">
        <f t="shared" si="119"/>
        <v>5577702.9495407389</v>
      </c>
      <c r="NN27" s="989">
        <f t="shared" si="120"/>
        <v>206465.28863183875</v>
      </c>
      <c r="NO27" s="989">
        <f t="shared" si="121"/>
        <v>0</v>
      </c>
      <c r="NP27" s="989">
        <f t="shared" si="122"/>
        <v>0</v>
      </c>
      <c r="NQ27" s="989">
        <f t="shared" si="123"/>
        <v>0</v>
      </c>
      <c r="NR27" s="989">
        <f t="shared" si="124"/>
        <v>0</v>
      </c>
      <c r="NS27" s="989">
        <f t="shared" si="125"/>
        <v>0</v>
      </c>
      <c r="NT27" s="989">
        <f t="shared" si="126"/>
        <v>0</v>
      </c>
    </row>
    <row r="28" spans="1:384" ht="15" thickTop="1" thickBot="1">
      <c r="A28" s="1822">
        <v>27</v>
      </c>
      <c r="B28" s="1199"/>
      <c r="C28" s="1822">
        <v>7374659.0072738407</v>
      </c>
      <c r="D28" s="1199">
        <v>16846319.466686353</v>
      </c>
      <c r="E28" s="20"/>
      <c r="F28" s="1843">
        <f t="shared" si="12"/>
        <v>24220978.473960195</v>
      </c>
      <c r="G28" s="951">
        <v>0</v>
      </c>
      <c r="H28" s="806">
        <v>0</v>
      </c>
      <c r="I28" s="806">
        <v>0</v>
      </c>
      <c r="J28" s="806">
        <v>16.333040365680134</v>
      </c>
      <c r="K28" s="806">
        <v>67.421210597736675</v>
      </c>
      <c r="L28" s="806">
        <v>16.245749036583188</v>
      </c>
      <c r="M28" s="806">
        <v>0</v>
      </c>
      <c r="N28" s="806">
        <v>0</v>
      </c>
      <c r="O28" s="806">
        <v>0</v>
      </c>
      <c r="P28" s="806">
        <v>0</v>
      </c>
      <c r="Q28" s="806"/>
      <c r="R28" s="806"/>
      <c r="S28" s="2"/>
      <c r="T28" s="114">
        <v>27</v>
      </c>
      <c r="U28" s="2">
        <f t="shared" si="127"/>
        <v>0</v>
      </c>
      <c r="V28" s="2">
        <f t="shared" si="13"/>
        <v>0</v>
      </c>
      <c r="W28" s="2">
        <f t="shared" si="14"/>
        <v>0</v>
      </c>
      <c r="X28" s="2">
        <f t="shared" si="15"/>
        <v>3956022.1911146147</v>
      </c>
      <c r="Y28" s="2">
        <f t="shared" si="16"/>
        <v>16330076.905761171</v>
      </c>
      <c r="Z28" s="2">
        <f t="shared" si="17"/>
        <v>3934879.3770844098</v>
      </c>
      <c r="AA28" s="2">
        <f t="shared" si="18"/>
        <v>0</v>
      </c>
      <c r="AB28" s="2">
        <f t="shared" si="19"/>
        <v>0</v>
      </c>
      <c r="AC28" s="2">
        <f t="shared" si="20"/>
        <v>0</v>
      </c>
      <c r="AD28" s="2">
        <f t="shared" si="21"/>
        <v>0</v>
      </c>
      <c r="AE28" s="2">
        <f t="shared" si="22"/>
        <v>0</v>
      </c>
      <c r="AF28" s="1844">
        <v>27</v>
      </c>
      <c r="AG28" s="1724">
        <f t="shared" si="23"/>
        <v>0</v>
      </c>
      <c r="AH28" s="1724">
        <f t="shared" si="24"/>
        <v>0</v>
      </c>
      <c r="AI28" s="1724">
        <f t="shared" si="25"/>
        <v>0</v>
      </c>
      <c r="AJ28" s="1724">
        <f t="shared" si="26"/>
        <v>106812599.1600946</v>
      </c>
      <c r="AK28" s="1724">
        <f t="shared" si="27"/>
        <v>440912076.45555162</v>
      </c>
      <c r="AL28" s="1724">
        <f t="shared" si="28"/>
        <v>106241743.18127906</v>
      </c>
      <c r="AM28" s="1724">
        <f t="shared" si="29"/>
        <v>0</v>
      </c>
      <c r="AN28" s="1724">
        <f t="shared" si="30"/>
        <v>0</v>
      </c>
      <c r="AO28" s="1724">
        <f t="shared" si="31"/>
        <v>0</v>
      </c>
      <c r="AP28" s="1724">
        <f t="shared" si="32"/>
        <v>0</v>
      </c>
      <c r="AR28" s="1822">
        <v>27</v>
      </c>
      <c r="AS28" s="1199"/>
      <c r="AT28" s="1">
        <v>4732831.9017180856</v>
      </c>
      <c r="AU28" s="1">
        <v>2877811.6478374056</v>
      </c>
      <c r="AV28" s="20"/>
      <c r="AW28" s="1843">
        <f t="shared" si="33"/>
        <v>7610643.5495554917</v>
      </c>
      <c r="AX28" s="546"/>
      <c r="AY28" s="547"/>
      <c r="AZ28" s="548"/>
      <c r="BA28" s="548"/>
      <c r="BB28" s="548">
        <v>70</v>
      </c>
      <c r="BC28" s="548">
        <v>30</v>
      </c>
      <c r="BD28" s="548"/>
      <c r="BE28" s="548"/>
      <c r="BF28" s="806"/>
      <c r="BG28" s="806"/>
      <c r="BH28" s="806"/>
      <c r="BI28" s="806"/>
      <c r="BJ28" s="2"/>
      <c r="BK28" s="114">
        <v>27</v>
      </c>
      <c r="BL28" s="2">
        <f t="shared" si="128"/>
        <v>0</v>
      </c>
      <c r="BM28" s="2">
        <f t="shared" si="129"/>
        <v>0</v>
      </c>
      <c r="BN28" s="2">
        <f t="shared" si="130"/>
        <v>0</v>
      </c>
      <c r="BO28" s="2">
        <f t="shared" si="131"/>
        <v>0</v>
      </c>
      <c r="BP28" s="2">
        <f t="shared" si="132"/>
        <v>5327450.4846888445</v>
      </c>
      <c r="BQ28" s="2">
        <f t="shared" si="133"/>
        <v>2283193.0648666476</v>
      </c>
      <c r="BR28" s="2">
        <f t="shared" si="134"/>
        <v>0</v>
      </c>
      <c r="BS28" s="2">
        <f t="shared" si="135"/>
        <v>0</v>
      </c>
      <c r="BT28" s="2">
        <f t="shared" si="136"/>
        <v>0</v>
      </c>
      <c r="BU28" s="2">
        <f t="shared" si="137"/>
        <v>0</v>
      </c>
      <c r="BV28" s="2">
        <f t="shared" si="138"/>
        <v>0</v>
      </c>
      <c r="BW28" s="1844">
        <v>27</v>
      </c>
      <c r="BX28" s="1724">
        <f t="shared" si="139"/>
        <v>0</v>
      </c>
      <c r="BY28" s="1724">
        <f t="shared" si="3"/>
        <v>0</v>
      </c>
      <c r="BZ28" s="1724">
        <f t="shared" si="4"/>
        <v>0</v>
      </c>
      <c r="CA28" s="1724">
        <f t="shared" si="5"/>
        <v>0</v>
      </c>
      <c r="CB28" s="1724">
        <f t="shared" si="6"/>
        <v>143841163.08659881</v>
      </c>
      <c r="CC28" s="1724">
        <f t="shared" si="7"/>
        <v>61646212.751399487</v>
      </c>
      <c r="CD28" s="1724">
        <f t="shared" si="8"/>
        <v>0</v>
      </c>
      <c r="CE28" s="1724">
        <f t="shared" si="9"/>
        <v>0</v>
      </c>
      <c r="CF28" s="1724">
        <f t="shared" si="10"/>
        <v>0</v>
      </c>
      <c r="CG28" s="1724">
        <f t="shared" si="11"/>
        <v>0</v>
      </c>
      <c r="CH28" s="75"/>
      <c r="CM28" s="638"/>
      <c r="CN28" s="1847">
        <v>25</v>
      </c>
      <c r="CO28" s="1851"/>
      <c r="CP28" s="2">
        <v>1408318.5200560577</v>
      </c>
      <c r="CQ28" s="2">
        <v>25766335.657021292</v>
      </c>
      <c r="CR28" s="646">
        <f t="shared" si="63"/>
        <v>27174654.177077349</v>
      </c>
      <c r="CS28" s="1141"/>
      <c r="CT28" s="648"/>
      <c r="CU28" s="649"/>
      <c r="CV28" s="650"/>
      <c r="CW28" s="650"/>
      <c r="CX28" s="650"/>
      <c r="CY28" s="650"/>
      <c r="CZ28" s="650"/>
      <c r="DA28" s="650"/>
      <c r="DB28" s="808"/>
      <c r="DC28" s="808"/>
      <c r="DD28" s="808"/>
      <c r="DE28" s="808"/>
      <c r="DF28" s="451"/>
      <c r="DG28" s="647">
        <v>25</v>
      </c>
      <c r="DH28" s="666"/>
      <c r="DI28" s="955"/>
      <c r="DJ28" s="1852"/>
      <c r="DK28" s="1852">
        <v>80</v>
      </c>
      <c r="DL28" s="1852">
        <v>20</v>
      </c>
      <c r="DM28" s="1852"/>
      <c r="DN28" s="1852"/>
      <c r="DO28" s="1852"/>
      <c r="DP28" s="1456"/>
      <c r="DQ28" s="1456"/>
      <c r="DR28" s="1456"/>
      <c r="DS28" s="1847">
        <v>25</v>
      </c>
      <c r="DT28" s="192">
        <f t="shared" si="190"/>
        <v>0</v>
      </c>
      <c r="DU28" s="192">
        <f t="shared" si="191"/>
        <v>0</v>
      </c>
      <c r="DV28" s="192">
        <f t="shared" si="192"/>
        <v>0</v>
      </c>
      <c r="DW28" s="192">
        <f t="shared" si="193"/>
        <v>21739723.341661878</v>
      </c>
      <c r="DX28" s="192">
        <f t="shared" si="194"/>
        <v>5434930.8354154695</v>
      </c>
      <c r="DY28" s="192">
        <f t="shared" si="195"/>
        <v>0</v>
      </c>
      <c r="DZ28" s="192">
        <f t="shared" si="196"/>
        <v>0</v>
      </c>
      <c r="EA28" s="192">
        <f t="shared" si="197"/>
        <v>0</v>
      </c>
      <c r="EB28" s="192">
        <f t="shared" si="198"/>
        <v>0</v>
      </c>
      <c r="EC28" s="192">
        <f t="shared" si="199"/>
        <v>0</v>
      </c>
      <c r="ED28" s="192">
        <f t="shared" si="200"/>
        <v>0</v>
      </c>
      <c r="EE28" s="667">
        <f t="shared" si="46"/>
        <v>27174654.177077346</v>
      </c>
      <c r="EH28" s="973">
        <v>26</v>
      </c>
      <c r="EI28" s="974"/>
      <c r="EJ28" s="974">
        <v>2.1739130434782608</v>
      </c>
      <c r="EK28" s="974">
        <v>9.7826086956521738</v>
      </c>
      <c r="EL28" s="974">
        <v>61.956521739130437</v>
      </c>
      <c r="EM28" s="974">
        <v>26.086956521739129</v>
      </c>
      <c r="EN28" s="974"/>
      <c r="EO28" s="974"/>
      <c r="EP28" s="974"/>
      <c r="EQ28" s="974"/>
      <c r="ER28" s="974"/>
      <c r="ES28" s="974"/>
      <c r="EX28" s="977">
        <v>100</v>
      </c>
      <c r="EY28" s="357">
        <v>22187434.046784732</v>
      </c>
      <c r="EZ28" s="989">
        <f t="shared" si="64"/>
        <v>0</v>
      </c>
      <c r="FA28" s="989">
        <f t="shared" si="47"/>
        <v>482335.52275618981</v>
      </c>
      <c r="FB28" s="989">
        <f t="shared" si="48"/>
        <v>2170509.8524028542</v>
      </c>
      <c r="FC28" s="989">
        <f t="shared" si="49"/>
        <v>13746562.398551412</v>
      </c>
      <c r="FD28" s="989">
        <f t="shared" si="50"/>
        <v>5788026.2730742777</v>
      </c>
      <c r="FE28" s="989">
        <f t="shared" si="51"/>
        <v>0</v>
      </c>
      <c r="FF28" s="989">
        <f t="shared" si="52"/>
        <v>0</v>
      </c>
      <c r="FG28" s="989">
        <f t="shared" si="53"/>
        <v>0</v>
      </c>
      <c r="FH28" s="989">
        <f t="shared" si="54"/>
        <v>0</v>
      </c>
      <c r="FI28" s="989">
        <f t="shared" si="55"/>
        <v>0</v>
      </c>
      <c r="FJ28" s="989">
        <f t="shared" si="56"/>
        <v>0</v>
      </c>
      <c r="FM28" s="1005">
        <v>26</v>
      </c>
      <c r="FN28" s="1003"/>
      <c r="FO28" s="1006"/>
      <c r="FP28" s="1006"/>
      <c r="FQ28" s="1006">
        <v>43.902439024390247</v>
      </c>
      <c r="FR28" s="1006">
        <v>48.780487804878049</v>
      </c>
      <c r="FS28" s="1006">
        <v>7.3170731707317076</v>
      </c>
      <c r="FT28" s="1006"/>
      <c r="FU28" s="1006"/>
      <c r="FV28" s="1006"/>
      <c r="FW28" s="1006"/>
      <c r="FX28" s="1006"/>
      <c r="FY28" s="1006"/>
      <c r="FZ28" s="1006"/>
      <c r="GA28" s="1003"/>
      <c r="GB28" s="1004">
        <v>100</v>
      </c>
      <c r="GC28" s="1005">
        <v>26</v>
      </c>
      <c r="GD28" s="2">
        <v>39376715.041162774</v>
      </c>
      <c r="GE28" s="989">
        <f t="shared" si="152"/>
        <v>0</v>
      </c>
      <c r="GF28" s="989">
        <f t="shared" si="153"/>
        <v>0</v>
      </c>
      <c r="GG28" s="989">
        <f t="shared" si="154"/>
        <v>0</v>
      </c>
      <c r="GH28" s="989">
        <f t="shared" si="155"/>
        <v>17287338.310754389</v>
      </c>
      <c r="GI28" s="989">
        <f t="shared" si="156"/>
        <v>19208153.678615987</v>
      </c>
      <c r="GJ28" s="989">
        <f t="shared" si="157"/>
        <v>2881223.0517923981</v>
      </c>
      <c r="GK28" s="989">
        <f t="shared" si="158"/>
        <v>0</v>
      </c>
      <c r="GL28" s="989">
        <f t="shared" si="159"/>
        <v>0</v>
      </c>
      <c r="GM28" s="989">
        <f t="shared" si="160"/>
        <v>0</v>
      </c>
      <c r="GN28" s="989">
        <f t="shared" si="161"/>
        <v>0</v>
      </c>
      <c r="GO28" s="989">
        <f t="shared" si="162"/>
        <v>0</v>
      </c>
      <c r="GP28" s="989">
        <f t="shared" si="163"/>
        <v>0</v>
      </c>
      <c r="GQ28" s="989">
        <f t="shared" si="164"/>
        <v>0</v>
      </c>
      <c r="GR28" s="989">
        <f t="shared" si="165"/>
        <v>0</v>
      </c>
      <c r="GX28" s="1032">
        <v>26</v>
      </c>
      <c r="GY28" s="1">
        <v>25016230.279438164</v>
      </c>
      <c r="GZ28" s="1038"/>
      <c r="HA28" s="1039"/>
      <c r="HB28" s="1039"/>
      <c r="HC28" s="1039">
        <v>36.666666666666664</v>
      </c>
      <c r="HD28" s="1039">
        <v>56.666666666666664</v>
      </c>
      <c r="HE28" s="1039">
        <v>6.666666666666667</v>
      </c>
      <c r="HF28" s="1039"/>
      <c r="HG28" s="1039"/>
      <c r="HH28" s="1039"/>
      <c r="HI28" s="1039"/>
      <c r="HJ28" s="1039"/>
      <c r="HK28" s="1039"/>
      <c r="HL28" s="1039"/>
      <c r="HM28" s="1040">
        <f t="shared" si="189"/>
        <v>100</v>
      </c>
      <c r="HN28" s="989">
        <f t="shared" si="67"/>
        <v>0</v>
      </c>
      <c r="HO28" s="989">
        <f t="shared" si="68"/>
        <v>0</v>
      </c>
      <c r="HP28" s="989">
        <f t="shared" si="69"/>
        <v>0</v>
      </c>
      <c r="HQ28" s="989">
        <f t="shared" si="70"/>
        <v>9172617.7691273261</v>
      </c>
      <c r="HR28" s="989">
        <f t="shared" si="71"/>
        <v>14175863.825014958</v>
      </c>
      <c r="HS28" s="989">
        <f t="shared" si="72"/>
        <v>1667748.6852958777</v>
      </c>
      <c r="HT28" s="989">
        <f t="shared" si="73"/>
        <v>0</v>
      </c>
      <c r="HU28" s="989">
        <f t="shared" si="74"/>
        <v>0</v>
      </c>
      <c r="HV28" s="989">
        <f t="shared" si="75"/>
        <v>0</v>
      </c>
      <c r="HW28" s="989">
        <f t="shared" si="76"/>
        <v>0</v>
      </c>
      <c r="HX28" s="989">
        <f t="shared" si="77"/>
        <v>0</v>
      </c>
      <c r="HY28" s="989">
        <f t="shared" si="78"/>
        <v>0</v>
      </c>
      <c r="HZ28" s="989">
        <f t="shared" si="79"/>
        <v>0</v>
      </c>
      <c r="IE28" s="2">
        <v>77648504.446853638</v>
      </c>
      <c r="IF28" s="1002">
        <v>21</v>
      </c>
      <c r="IG28" s="553"/>
      <c r="IH28" s="553">
        <v>33.333333333333336</v>
      </c>
      <c r="II28" s="553">
        <v>66.666666666666671</v>
      </c>
      <c r="IJ28" s="553">
        <v>0</v>
      </c>
      <c r="IK28" s="553"/>
      <c r="IL28" s="553"/>
      <c r="IM28" s="553"/>
      <c r="IN28" s="553"/>
      <c r="IO28" s="553"/>
      <c r="IP28" s="553"/>
      <c r="IQ28" s="553"/>
      <c r="IS28" s="1270">
        <v>21</v>
      </c>
      <c r="IT28" s="989">
        <f t="shared" si="201"/>
        <v>0</v>
      </c>
      <c r="IU28" s="989">
        <f t="shared" si="202"/>
        <v>25882834.815617882</v>
      </c>
      <c r="IV28" s="989">
        <f t="shared" si="203"/>
        <v>51765669.631235763</v>
      </c>
      <c r="IW28" s="989">
        <f t="shared" si="204"/>
        <v>0</v>
      </c>
      <c r="IX28" s="989">
        <f t="shared" si="205"/>
        <v>0</v>
      </c>
      <c r="IY28" s="989">
        <f t="shared" si="206"/>
        <v>0</v>
      </c>
      <c r="IZ28" s="989">
        <f t="shared" si="207"/>
        <v>0</v>
      </c>
      <c r="JA28" s="989">
        <f t="shared" si="208"/>
        <v>0</v>
      </c>
      <c r="JB28" s="989">
        <f t="shared" si="209"/>
        <v>0</v>
      </c>
      <c r="JC28" s="989">
        <f t="shared" si="210"/>
        <v>0</v>
      </c>
      <c r="JD28" s="989">
        <f t="shared" si="211"/>
        <v>0</v>
      </c>
      <c r="JE28" s="989">
        <f t="shared" si="212"/>
        <v>0</v>
      </c>
      <c r="JG28" s="1135">
        <v>192191.61970013057</v>
      </c>
      <c r="JH28" s="1002">
        <v>21</v>
      </c>
      <c r="JI28" s="666"/>
      <c r="JJ28" s="1272"/>
      <c r="JK28" s="1272">
        <v>100</v>
      </c>
      <c r="JL28" s="1272"/>
      <c r="JM28" s="1272"/>
      <c r="JN28" s="1272"/>
      <c r="JO28" s="1272"/>
      <c r="JP28" s="1272"/>
      <c r="JQ28" s="1272"/>
      <c r="JR28" s="1272"/>
      <c r="JS28" s="1272"/>
      <c r="JT28" s="1273"/>
      <c r="JU28" s="1273"/>
      <c r="JW28" s="989">
        <f t="shared" si="103"/>
        <v>0</v>
      </c>
      <c r="JX28" s="989">
        <f t="shared" si="104"/>
        <v>192191.61970013057</v>
      </c>
      <c r="JY28" s="989">
        <f t="shared" si="92"/>
        <v>0</v>
      </c>
      <c r="JZ28" s="989">
        <f t="shared" si="93"/>
        <v>0</v>
      </c>
      <c r="KA28" s="989">
        <f t="shared" si="94"/>
        <v>0</v>
      </c>
      <c r="KB28" s="989">
        <f t="shared" si="95"/>
        <v>0</v>
      </c>
      <c r="KC28" s="989">
        <f t="shared" si="96"/>
        <v>0</v>
      </c>
      <c r="KD28" s="989">
        <f t="shared" si="97"/>
        <v>0</v>
      </c>
      <c r="KE28" s="989">
        <f t="shared" si="98"/>
        <v>0</v>
      </c>
      <c r="KF28" s="989">
        <f t="shared" si="99"/>
        <v>0</v>
      </c>
      <c r="KG28" s="989">
        <f t="shared" si="100"/>
        <v>0</v>
      </c>
      <c r="KJ28" s="192">
        <f t="shared" si="178"/>
        <v>0</v>
      </c>
      <c r="KK28" s="192">
        <f t="shared" si="179"/>
        <v>26075026.435318012</v>
      </c>
      <c r="KL28" s="192">
        <f t="shared" si="180"/>
        <v>51765669.631235763</v>
      </c>
      <c r="KM28" s="192">
        <f t="shared" si="181"/>
        <v>0</v>
      </c>
      <c r="KN28" s="192">
        <f t="shared" si="182"/>
        <v>0</v>
      </c>
      <c r="KO28" s="192">
        <f t="shared" si="183"/>
        <v>0</v>
      </c>
      <c r="KP28" s="192">
        <f t="shared" si="184"/>
        <v>0</v>
      </c>
      <c r="KQ28" s="192">
        <f t="shared" si="185"/>
        <v>0</v>
      </c>
      <c r="KR28" s="192">
        <f t="shared" si="186"/>
        <v>0</v>
      </c>
      <c r="KS28" s="192">
        <f t="shared" si="187"/>
        <v>0</v>
      </c>
      <c r="KT28" s="192">
        <f t="shared" si="188"/>
        <v>0</v>
      </c>
      <c r="KV28" s="1032">
        <v>26</v>
      </c>
      <c r="KW28" s="2">
        <v>18018661.668052848</v>
      </c>
      <c r="KX28" s="1">
        <v>0</v>
      </c>
      <c r="KY28" s="1">
        <v>0</v>
      </c>
      <c r="KZ28" s="1">
        <v>33.333333333333329</v>
      </c>
      <c r="LA28" s="1">
        <v>51.851851851851848</v>
      </c>
      <c r="LB28" s="1">
        <v>14.814814814814813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J28" s="989">
        <f t="shared" si="141"/>
        <v>0</v>
      </c>
      <c r="LK28" s="989">
        <f t="shared" si="142"/>
        <v>0</v>
      </c>
      <c r="LL28" s="989">
        <f t="shared" si="143"/>
        <v>6006220.5560176158</v>
      </c>
      <c r="LM28" s="989">
        <f t="shared" si="144"/>
        <v>9343009.7538051791</v>
      </c>
      <c r="LN28" s="989">
        <f t="shared" si="145"/>
        <v>2669431.3582300516</v>
      </c>
      <c r="LO28" s="989">
        <f t="shared" si="146"/>
        <v>0</v>
      </c>
      <c r="LP28" s="989">
        <f t="shared" si="147"/>
        <v>0</v>
      </c>
      <c r="LQ28" s="989">
        <f t="shared" si="148"/>
        <v>0</v>
      </c>
      <c r="LR28" s="989">
        <f t="shared" si="149"/>
        <v>0</v>
      </c>
      <c r="LS28" s="989">
        <f t="shared" si="150"/>
        <v>0</v>
      </c>
      <c r="LT28" s="989">
        <f t="shared" si="151"/>
        <v>0</v>
      </c>
      <c r="LV28" s="2">
        <v>12373179.743417658</v>
      </c>
      <c r="LW28" s="1446">
        <v>0</v>
      </c>
      <c r="LX28" s="1446">
        <v>0</v>
      </c>
      <c r="LY28" s="1446">
        <v>75</v>
      </c>
      <c r="LZ28" s="1446">
        <v>25.000000000000007</v>
      </c>
      <c r="MA28" s="1446">
        <v>0</v>
      </c>
      <c r="MB28" s="1446">
        <v>0</v>
      </c>
      <c r="MC28" s="1446">
        <v>0</v>
      </c>
      <c r="MD28" s="1446">
        <v>0</v>
      </c>
      <c r="ME28" s="1446">
        <v>0</v>
      </c>
      <c r="MF28" s="1446">
        <v>0</v>
      </c>
      <c r="MH28" s="1">
        <f t="shared" si="166"/>
        <v>100</v>
      </c>
      <c r="MI28" s="989">
        <f t="shared" si="167"/>
        <v>0</v>
      </c>
      <c r="MJ28" s="989">
        <f t="shared" si="168"/>
        <v>0</v>
      </c>
      <c r="MK28" s="989">
        <f t="shared" si="169"/>
        <v>9279884.8075632434</v>
      </c>
      <c r="ML28" s="989">
        <f t="shared" si="170"/>
        <v>3093294.9358544154</v>
      </c>
      <c r="MM28" s="989">
        <f t="shared" si="171"/>
        <v>0</v>
      </c>
      <c r="MN28" s="989">
        <f t="shared" si="172"/>
        <v>0</v>
      </c>
      <c r="MO28" s="989">
        <f t="shared" si="173"/>
        <v>0</v>
      </c>
      <c r="MP28" s="989">
        <f t="shared" si="174"/>
        <v>0</v>
      </c>
      <c r="MQ28" s="989">
        <f t="shared" si="175"/>
        <v>0</v>
      </c>
      <c r="MR28" s="989">
        <f t="shared" si="176"/>
        <v>0</v>
      </c>
      <c r="MS28" s="989">
        <f t="shared" si="177"/>
        <v>0</v>
      </c>
      <c r="MU28" s="1032">
        <v>26</v>
      </c>
      <c r="MV28" s="57">
        <v>8291095.8317374121</v>
      </c>
      <c r="MW28" s="1964"/>
      <c r="MX28" s="1964"/>
      <c r="MY28" s="1964">
        <v>4.54</v>
      </c>
      <c r="MZ28" s="1964">
        <v>81.819999999999993</v>
      </c>
      <c r="NA28" s="1964">
        <v>13.64</v>
      </c>
      <c r="NB28" s="1964"/>
      <c r="NC28" s="1964"/>
      <c r="ND28" s="1964"/>
      <c r="NE28" s="1964"/>
      <c r="NF28" s="1964"/>
      <c r="NG28" s="1964"/>
      <c r="NJ28" s="989">
        <f t="shared" si="116"/>
        <v>0</v>
      </c>
      <c r="NK28" s="989">
        <f t="shared" si="117"/>
        <v>0</v>
      </c>
      <c r="NL28" s="989">
        <f t="shared" si="118"/>
        <v>376415.75076087855</v>
      </c>
      <c r="NM28" s="989">
        <f t="shared" si="119"/>
        <v>6783774.6095275497</v>
      </c>
      <c r="NN28" s="989">
        <f t="shared" si="120"/>
        <v>1130905.4714489831</v>
      </c>
      <c r="NO28" s="989">
        <f t="shared" si="121"/>
        <v>0</v>
      </c>
      <c r="NP28" s="989">
        <f t="shared" si="122"/>
        <v>0</v>
      </c>
      <c r="NQ28" s="989">
        <f t="shared" si="123"/>
        <v>0</v>
      </c>
      <c r="NR28" s="989">
        <f t="shared" si="124"/>
        <v>0</v>
      </c>
      <c r="NS28" s="989">
        <f t="shared" si="125"/>
        <v>0</v>
      </c>
      <c r="NT28" s="989">
        <f t="shared" si="126"/>
        <v>0</v>
      </c>
    </row>
    <row r="29" spans="1:384" ht="15" thickTop="1" thickBot="1">
      <c r="A29" s="1822">
        <v>28</v>
      </c>
      <c r="B29" s="1199"/>
      <c r="C29" s="1822">
        <v>5804876.7833023733</v>
      </c>
      <c r="D29" s="1199">
        <v>10959973.081504975</v>
      </c>
      <c r="E29" s="20"/>
      <c r="F29" s="1843">
        <f t="shared" si="12"/>
        <v>16764849.864807349</v>
      </c>
      <c r="G29" s="951">
        <v>0</v>
      </c>
      <c r="H29" s="806">
        <v>0</v>
      </c>
      <c r="I29" s="806">
        <v>0</v>
      </c>
      <c r="J29" s="806">
        <v>8.9311389122372997</v>
      </c>
      <c r="K29" s="806">
        <v>70.236748163747563</v>
      </c>
      <c r="L29" s="806">
        <v>20.832112924015139</v>
      </c>
      <c r="M29" s="806">
        <v>0</v>
      </c>
      <c r="N29" s="806">
        <v>0</v>
      </c>
      <c r="O29" s="806">
        <v>0</v>
      </c>
      <c r="P29" s="806">
        <v>0</v>
      </c>
      <c r="Q29" s="806"/>
      <c r="R29" s="806"/>
      <c r="S29" s="2"/>
      <c r="T29" s="114">
        <v>28</v>
      </c>
      <c r="U29" s="2">
        <f t="shared" si="127"/>
        <v>0</v>
      </c>
      <c r="V29" s="2">
        <f t="shared" si="13"/>
        <v>0</v>
      </c>
      <c r="W29" s="2">
        <f t="shared" si="14"/>
        <v>0</v>
      </c>
      <c r="X29" s="2">
        <f t="shared" si="15"/>
        <v>1497292.0298539717</v>
      </c>
      <c r="Y29" s="2">
        <f t="shared" si="16"/>
        <v>11775085.379575111</v>
      </c>
      <c r="Z29" s="2">
        <f t="shared" si="17"/>
        <v>3492472.4553782661</v>
      </c>
      <c r="AA29" s="2">
        <f t="shared" si="18"/>
        <v>0</v>
      </c>
      <c r="AB29" s="2">
        <f t="shared" si="19"/>
        <v>0</v>
      </c>
      <c r="AC29" s="2">
        <f t="shared" si="20"/>
        <v>0</v>
      </c>
      <c r="AD29" s="2">
        <f t="shared" si="21"/>
        <v>0</v>
      </c>
      <c r="AE29" s="2">
        <f t="shared" si="22"/>
        <v>0</v>
      </c>
      <c r="AF29" s="1844">
        <v>28</v>
      </c>
      <c r="AG29" s="1724">
        <f t="shared" si="23"/>
        <v>0</v>
      </c>
      <c r="AH29" s="1724">
        <f t="shared" si="24"/>
        <v>0</v>
      </c>
      <c r="AI29" s="1724">
        <f t="shared" si="25"/>
        <v>0</v>
      </c>
      <c r="AJ29" s="1724">
        <f t="shared" si="26"/>
        <v>41924176.835911207</v>
      </c>
      <c r="AK29" s="1724">
        <f t="shared" si="27"/>
        <v>329702390.62810314</v>
      </c>
      <c r="AL29" s="1724">
        <f t="shared" si="28"/>
        <v>97789228.750591457</v>
      </c>
      <c r="AM29" s="1724">
        <f t="shared" si="29"/>
        <v>0</v>
      </c>
      <c r="AN29" s="1724">
        <f t="shared" si="30"/>
        <v>0</v>
      </c>
      <c r="AO29" s="1724">
        <f t="shared" si="31"/>
        <v>0</v>
      </c>
      <c r="AP29" s="1724">
        <f t="shared" si="32"/>
        <v>0</v>
      </c>
      <c r="AR29" s="1822">
        <v>28</v>
      </c>
      <c r="AS29" s="1199"/>
      <c r="AT29" s="1">
        <v>3411315.3323694603</v>
      </c>
      <c r="AU29" s="1">
        <v>1096674.9870476548</v>
      </c>
      <c r="AV29" s="20"/>
      <c r="AW29" s="1843">
        <f t="shared" si="33"/>
        <v>4507990.3194171153</v>
      </c>
      <c r="AX29" s="807"/>
      <c r="AY29" s="953"/>
      <c r="AZ29" s="1849"/>
      <c r="BA29" s="1849"/>
      <c r="BB29" s="1849">
        <v>20</v>
      </c>
      <c r="BC29" s="1849">
        <v>80</v>
      </c>
      <c r="BD29" s="1849"/>
      <c r="BE29" s="1849"/>
      <c r="BF29" s="806"/>
      <c r="BG29" s="806"/>
      <c r="BH29" s="806"/>
      <c r="BI29" s="806"/>
      <c r="BJ29" s="2"/>
      <c r="BK29" s="114">
        <v>28</v>
      </c>
      <c r="BL29" s="2">
        <f t="shared" si="128"/>
        <v>0</v>
      </c>
      <c r="BM29" s="2">
        <f t="shared" si="129"/>
        <v>0</v>
      </c>
      <c r="BN29" s="2">
        <f t="shared" si="130"/>
        <v>0</v>
      </c>
      <c r="BO29" s="2">
        <f t="shared" si="131"/>
        <v>0</v>
      </c>
      <c r="BP29" s="2">
        <f t="shared" si="132"/>
        <v>901598.06388342311</v>
      </c>
      <c r="BQ29" s="2">
        <f t="shared" si="133"/>
        <v>3606392.2555336924</v>
      </c>
      <c r="BR29" s="2">
        <f t="shared" si="134"/>
        <v>0</v>
      </c>
      <c r="BS29" s="2">
        <f t="shared" si="135"/>
        <v>0</v>
      </c>
      <c r="BT29" s="2">
        <f t="shared" si="136"/>
        <v>0</v>
      </c>
      <c r="BU29" s="2">
        <f t="shared" si="137"/>
        <v>0</v>
      </c>
      <c r="BV29" s="2">
        <f t="shared" si="138"/>
        <v>0</v>
      </c>
      <c r="BW29" s="1844">
        <v>28</v>
      </c>
      <c r="BX29" s="1724">
        <f t="shared" si="139"/>
        <v>0</v>
      </c>
      <c r="BY29" s="1724">
        <f t="shared" si="3"/>
        <v>0</v>
      </c>
      <c r="BZ29" s="1724">
        <f t="shared" si="4"/>
        <v>0</v>
      </c>
      <c r="CA29" s="1724">
        <f t="shared" si="5"/>
        <v>0</v>
      </c>
      <c r="CB29" s="1724">
        <f t="shared" si="6"/>
        <v>25244745.788735848</v>
      </c>
      <c r="CC29" s="1724">
        <f t="shared" si="7"/>
        <v>100978983.15494339</v>
      </c>
      <c r="CD29" s="1724">
        <f t="shared" si="8"/>
        <v>0</v>
      </c>
      <c r="CE29" s="1724">
        <f t="shared" si="9"/>
        <v>0</v>
      </c>
      <c r="CF29" s="1724">
        <f t="shared" si="10"/>
        <v>0</v>
      </c>
      <c r="CG29" s="1724">
        <f t="shared" si="11"/>
        <v>0</v>
      </c>
      <c r="CH29" s="75"/>
      <c r="CM29" s="638"/>
      <c r="CN29" s="1847">
        <v>26</v>
      </c>
      <c r="CO29" s="1851"/>
      <c r="CP29" s="2">
        <v>797857.65180432051</v>
      </c>
      <c r="CQ29" s="2">
        <v>21662302.68083496</v>
      </c>
      <c r="CR29" s="646">
        <f t="shared" si="63"/>
        <v>22460160.332639281</v>
      </c>
      <c r="CS29" s="1141"/>
      <c r="CT29" s="809"/>
      <c r="CU29" s="954"/>
      <c r="CV29" s="1850"/>
      <c r="CW29" s="1850"/>
      <c r="CX29" s="1850"/>
      <c r="CY29" s="1850"/>
      <c r="CZ29" s="1850"/>
      <c r="DA29" s="1850"/>
      <c r="DB29" s="808"/>
      <c r="DC29" s="808"/>
      <c r="DD29" s="808"/>
      <c r="DE29" s="808"/>
      <c r="DF29" s="451"/>
      <c r="DG29" s="647">
        <v>26</v>
      </c>
      <c r="DH29" s="553"/>
      <c r="DI29" s="554"/>
      <c r="DJ29" s="555"/>
      <c r="DK29" s="555">
        <v>30</v>
      </c>
      <c r="DL29" s="555">
        <v>70</v>
      </c>
      <c r="DM29" s="555"/>
      <c r="DN29" s="555"/>
      <c r="DO29" s="555"/>
      <c r="DP29" s="556"/>
      <c r="DQ29" s="556"/>
      <c r="DR29" s="556"/>
      <c r="DS29" s="1847">
        <v>26</v>
      </c>
      <c r="DT29" s="192">
        <f t="shared" si="190"/>
        <v>0</v>
      </c>
      <c r="DU29" s="192">
        <f t="shared" si="191"/>
        <v>0</v>
      </c>
      <c r="DV29" s="192">
        <f t="shared" si="192"/>
        <v>0</v>
      </c>
      <c r="DW29" s="192">
        <f t="shared" si="193"/>
        <v>6738048.0997917838</v>
      </c>
      <c r="DX29" s="192">
        <f t="shared" si="194"/>
        <v>15722112.232847497</v>
      </c>
      <c r="DY29" s="192">
        <f t="shared" si="195"/>
        <v>0</v>
      </c>
      <c r="DZ29" s="192">
        <f t="shared" si="196"/>
        <v>0</v>
      </c>
      <c r="EA29" s="192">
        <f t="shared" si="197"/>
        <v>0</v>
      </c>
      <c r="EB29" s="192">
        <f t="shared" si="198"/>
        <v>0</v>
      </c>
      <c r="EC29" s="192">
        <f t="shared" si="199"/>
        <v>0</v>
      </c>
      <c r="ED29" s="192">
        <f t="shared" si="200"/>
        <v>0</v>
      </c>
      <c r="EE29" s="667">
        <f t="shared" si="46"/>
        <v>22460160.332639281</v>
      </c>
      <c r="EH29" s="978">
        <v>27</v>
      </c>
      <c r="EI29" s="974"/>
      <c r="EJ29" s="974"/>
      <c r="EK29" s="974">
        <v>4.5454545454545459</v>
      </c>
      <c r="EL29" s="974">
        <v>35.227272727272727</v>
      </c>
      <c r="EM29" s="974">
        <v>60.227272727272727</v>
      </c>
      <c r="EN29" s="974"/>
      <c r="EO29" s="974"/>
      <c r="EP29" s="974"/>
      <c r="EQ29" s="974"/>
      <c r="ER29" s="974"/>
      <c r="ES29" s="974"/>
      <c r="EX29" s="975">
        <v>100</v>
      </c>
      <c r="EY29" s="357">
        <v>16374458.56291867</v>
      </c>
      <c r="EZ29" s="989">
        <f t="shared" si="64"/>
        <v>0</v>
      </c>
      <c r="FA29" s="989">
        <f t="shared" si="47"/>
        <v>0</v>
      </c>
      <c r="FB29" s="989">
        <f t="shared" si="48"/>
        <v>744293.57104175771</v>
      </c>
      <c r="FC29" s="989">
        <f t="shared" si="49"/>
        <v>5768275.1755736219</v>
      </c>
      <c r="FD29" s="989">
        <f t="shared" si="50"/>
        <v>9861889.8163032904</v>
      </c>
      <c r="FE29" s="989">
        <f t="shared" si="51"/>
        <v>0</v>
      </c>
      <c r="FF29" s="989">
        <f t="shared" si="52"/>
        <v>0</v>
      </c>
      <c r="FG29" s="989">
        <f t="shared" si="53"/>
        <v>0</v>
      </c>
      <c r="FH29" s="989">
        <f t="shared" si="54"/>
        <v>0</v>
      </c>
      <c r="FI29" s="989">
        <f t="shared" si="55"/>
        <v>0</v>
      </c>
      <c r="FJ29" s="989">
        <f t="shared" si="56"/>
        <v>0</v>
      </c>
      <c r="FM29" s="1002">
        <v>27</v>
      </c>
      <c r="FN29" s="1003"/>
      <c r="FO29" s="1006"/>
      <c r="FP29" s="1006"/>
      <c r="FQ29" s="1006">
        <v>22.222222222222221</v>
      </c>
      <c r="FR29" s="1006">
        <v>66.666666666666671</v>
      </c>
      <c r="FS29" s="1006">
        <v>11.111111111111111</v>
      </c>
      <c r="FT29" s="1006"/>
      <c r="FU29" s="1006"/>
      <c r="FV29" s="1006"/>
      <c r="FW29" s="1006"/>
      <c r="FX29" s="1006"/>
      <c r="FY29" s="1006"/>
      <c r="FZ29" s="1006"/>
      <c r="GA29" s="1003"/>
      <c r="GB29" s="1004">
        <v>100</v>
      </c>
      <c r="GC29" s="1002">
        <v>27</v>
      </c>
      <c r="GD29" s="2">
        <v>34675696.492947012</v>
      </c>
      <c r="GE29" s="989">
        <f t="shared" si="152"/>
        <v>0</v>
      </c>
      <c r="GF29" s="989">
        <f t="shared" si="153"/>
        <v>0</v>
      </c>
      <c r="GG29" s="989">
        <f t="shared" si="154"/>
        <v>0</v>
      </c>
      <c r="GH29" s="989">
        <f t="shared" si="155"/>
        <v>7705710.3317660019</v>
      </c>
      <c r="GI29" s="989">
        <f t="shared" si="156"/>
        <v>23117130.995298009</v>
      </c>
      <c r="GJ29" s="989">
        <f t="shared" si="157"/>
        <v>3852855.1658830009</v>
      </c>
      <c r="GK29" s="989">
        <f t="shared" si="158"/>
        <v>0</v>
      </c>
      <c r="GL29" s="989">
        <f t="shared" si="159"/>
        <v>0</v>
      </c>
      <c r="GM29" s="989">
        <f t="shared" si="160"/>
        <v>0</v>
      </c>
      <c r="GN29" s="989">
        <f t="shared" si="161"/>
        <v>0</v>
      </c>
      <c r="GO29" s="989">
        <f t="shared" si="162"/>
        <v>0</v>
      </c>
      <c r="GP29" s="989">
        <f t="shared" si="163"/>
        <v>0</v>
      </c>
      <c r="GQ29" s="989">
        <f t="shared" si="164"/>
        <v>0</v>
      </c>
      <c r="GR29" s="989">
        <f t="shared" si="165"/>
        <v>0</v>
      </c>
      <c r="GX29" s="1034">
        <v>27</v>
      </c>
      <c r="GY29" s="1">
        <v>25108213.290685508</v>
      </c>
      <c r="GZ29" s="1041"/>
      <c r="HA29" s="1039"/>
      <c r="HB29" s="1039"/>
      <c r="HC29" s="1039">
        <v>10</v>
      </c>
      <c r="HD29" s="1039">
        <v>63.333333333333336</v>
      </c>
      <c r="HE29" s="1039">
        <v>26.666666666666668</v>
      </c>
      <c r="HF29" s="1039"/>
      <c r="HG29" s="1039"/>
      <c r="HH29" s="1039"/>
      <c r="HI29" s="1039"/>
      <c r="HJ29" s="1039"/>
      <c r="HK29" s="1039"/>
      <c r="HL29" s="1039"/>
      <c r="HM29" s="1040">
        <f t="shared" si="189"/>
        <v>100.00000000000001</v>
      </c>
      <c r="HN29" s="989">
        <f t="shared" si="67"/>
        <v>0</v>
      </c>
      <c r="HO29" s="989">
        <f t="shared" si="68"/>
        <v>0</v>
      </c>
      <c r="HP29" s="989">
        <f t="shared" si="69"/>
        <v>0</v>
      </c>
      <c r="HQ29" s="989">
        <f t="shared" si="70"/>
        <v>2510821.3290685508</v>
      </c>
      <c r="HR29" s="989">
        <f t="shared" si="71"/>
        <v>15901868.417434156</v>
      </c>
      <c r="HS29" s="989">
        <f t="shared" si="72"/>
        <v>6695523.5441828026</v>
      </c>
      <c r="HT29" s="989">
        <f t="shared" si="73"/>
        <v>0</v>
      </c>
      <c r="HU29" s="989">
        <f t="shared" si="74"/>
        <v>0</v>
      </c>
      <c r="HV29" s="989">
        <f t="shared" si="75"/>
        <v>0</v>
      </c>
      <c r="HW29" s="989">
        <f t="shared" si="76"/>
        <v>0</v>
      </c>
      <c r="HX29" s="989">
        <f t="shared" si="77"/>
        <v>0</v>
      </c>
      <c r="HY29" s="989">
        <f t="shared" si="78"/>
        <v>0</v>
      </c>
      <c r="HZ29" s="989">
        <f t="shared" si="79"/>
        <v>0</v>
      </c>
      <c r="IE29" s="2">
        <v>67629414.131011948</v>
      </c>
      <c r="IF29" s="1268">
        <v>22</v>
      </c>
      <c r="IG29" s="553"/>
      <c r="IH29" s="553">
        <v>19.298245614035089</v>
      </c>
      <c r="II29" s="553">
        <v>63.157894736842103</v>
      </c>
      <c r="IJ29" s="553">
        <v>17.543859649122808</v>
      </c>
      <c r="IK29" s="553"/>
      <c r="IL29" s="553"/>
      <c r="IM29" s="553"/>
      <c r="IN29" s="553"/>
      <c r="IO29" s="553"/>
      <c r="IP29" s="553"/>
      <c r="IQ29" s="553"/>
      <c r="IS29" s="1270">
        <v>22</v>
      </c>
      <c r="IT29" s="989">
        <f t="shared" si="201"/>
        <v>0</v>
      </c>
      <c r="IU29" s="989">
        <f t="shared" si="202"/>
        <v>13051290.44633564</v>
      </c>
      <c r="IV29" s="989">
        <f t="shared" si="203"/>
        <v>42713314.188007548</v>
      </c>
      <c r="IW29" s="989">
        <f t="shared" si="204"/>
        <v>11864809.496668763</v>
      </c>
      <c r="IX29" s="989">
        <f t="shared" si="205"/>
        <v>0</v>
      </c>
      <c r="IY29" s="989">
        <f t="shared" si="206"/>
        <v>0</v>
      </c>
      <c r="IZ29" s="989">
        <f t="shared" si="207"/>
        <v>0</v>
      </c>
      <c r="JA29" s="989">
        <f t="shared" si="208"/>
        <v>0</v>
      </c>
      <c r="JB29" s="989">
        <f t="shared" si="209"/>
        <v>0</v>
      </c>
      <c r="JC29" s="989">
        <f t="shared" si="210"/>
        <v>0</v>
      </c>
      <c r="JD29" s="989">
        <f t="shared" si="211"/>
        <v>0</v>
      </c>
      <c r="JE29" s="989">
        <f t="shared" si="212"/>
        <v>0</v>
      </c>
      <c r="JG29" s="1135">
        <v>581774.04452354368</v>
      </c>
      <c r="JH29" s="1002">
        <v>22</v>
      </c>
      <c r="JI29" s="666"/>
      <c r="JJ29" s="1272"/>
      <c r="JK29" s="1272">
        <v>0</v>
      </c>
      <c r="JL29" s="1272">
        <v>100</v>
      </c>
      <c r="JM29" s="1272"/>
      <c r="JN29" s="1272"/>
      <c r="JO29" s="1272"/>
      <c r="JP29" s="1272"/>
      <c r="JQ29" s="1272"/>
      <c r="JR29" s="1272"/>
      <c r="JS29" s="1272"/>
      <c r="JT29" s="1273"/>
      <c r="JU29" s="1273"/>
      <c r="JW29" s="989">
        <f t="shared" si="103"/>
        <v>0</v>
      </c>
      <c r="JX29" s="989">
        <f t="shared" si="104"/>
        <v>0</v>
      </c>
      <c r="JY29" s="989">
        <f t="shared" si="92"/>
        <v>581774.04452354368</v>
      </c>
      <c r="JZ29" s="989">
        <f t="shared" si="93"/>
        <v>0</v>
      </c>
      <c r="KA29" s="989">
        <f t="shared" si="94"/>
        <v>0</v>
      </c>
      <c r="KB29" s="989">
        <f t="shared" si="95"/>
        <v>0</v>
      </c>
      <c r="KC29" s="989">
        <f t="shared" si="96"/>
        <v>0</v>
      </c>
      <c r="KD29" s="989">
        <f t="shared" si="97"/>
        <v>0</v>
      </c>
      <c r="KE29" s="989">
        <f t="shared" si="98"/>
        <v>0</v>
      </c>
      <c r="KF29" s="989">
        <f t="shared" si="99"/>
        <v>0</v>
      </c>
      <c r="KG29" s="989">
        <f t="shared" si="100"/>
        <v>0</v>
      </c>
      <c r="KJ29" s="192">
        <f t="shared" si="178"/>
        <v>0</v>
      </c>
      <c r="KK29" s="192">
        <f t="shared" si="179"/>
        <v>13051290.44633564</v>
      </c>
      <c r="KL29" s="192">
        <f t="shared" si="180"/>
        <v>43295088.232531093</v>
      </c>
      <c r="KM29" s="192">
        <f t="shared" si="181"/>
        <v>11864809.496668763</v>
      </c>
      <c r="KN29" s="192">
        <f t="shared" si="182"/>
        <v>0</v>
      </c>
      <c r="KO29" s="192">
        <f t="shared" si="183"/>
        <v>0</v>
      </c>
      <c r="KP29" s="192">
        <f t="shared" si="184"/>
        <v>0</v>
      </c>
      <c r="KQ29" s="192">
        <f t="shared" si="185"/>
        <v>0</v>
      </c>
      <c r="KR29" s="192">
        <f t="shared" si="186"/>
        <v>0</v>
      </c>
      <c r="KS29" s="192">
        <f t="shared" si="187"/>
        <v>0</v>
      </c>
      <c r="KT29" s="192">
        <f t="shared" si="188"/>
        <v>0</v>
      </c>
      <c r="KV29" s="1034">
        <v>27</v>
      </c>
      <c r="KW29" s="2">
        <v>12681782.914679397</v>
      </c>
      <c r="KX29" s="1">
        <v>0</v>
      </c>
      <c r="KY29" s="1">
        <v>0</v>
      </c>
      <c r="KZ29" s="1">
        <v>9.5238095238095255</v>
      </c>
      <c r="LA29" s="1">
        <v>61.904761904761905</v>
      </c>
      <c r="LB29" s="1">
        <v>28.571428571428569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J29" s="989">
        <f t="shared" si="141"/>
        <v>0</v>
      </c>
      <c r="LK29" s="989">
        <f t="shared" si="142"/>
        <v>0</v>
      </c>
      <c r="LL29" s="989">
        <f t="shared" si="143"/>
        <v>1207788.8490170855</v>
      </c>
      <c r="LM29" s="989">
        <f t="shared" si="144"/>
        <v>7850627.5186110558</v>
      </c>
      <c r="LN29" s="989">
        <f t="shared" si="145"/>
        <v>3623366.5470512556</v>
      </c>
      <c r="LO29" s="989">
        <f t="shared" si="146"/>
        <v>0</v>
      </c>
      <c r="LP29" s="989">
        <f t="shared" si="147"/>
        <v>0</v>
      </c>
      <c r="LQ29" s="989">
        <f t="shared" si="148"/>
        <v>0</v>
      </c>
      <c r="LR29" s="989">
        <f t="shared" si="149"/>
        <v>0</v>
      </c>
      <c r="LS29" s="989">
        <f t="shared" si="150"/>
        <v>0</v>
      </c>
      <c r="LT29" s="989">
        <f t="shared" si="151"/>
        <v>0</v>
      </c>
      <c r="LV29" s="2">
        <v>9525597.0057964958</v>
      </c>
      <c r="LW29" s="1446">
        <v>0</v>
      </c>
      <c r="LX29" s="1446">
        <v>0</v>
      </c>
      <c r="LY29" s="1446">
        <v>100</v>
      </c>
      <c r="LZ29" s="1446">
        <v>0</v>
      </c>
      <c r="MA29" s="1446">
        <v>0</v>
      </c>
      <c r="MB29" s="1446">
        <v>0</v>
      </c>
      <c r="MC29" s="1446">
        <v>0</v>
      </c>
      <c r="MD29" s="1446">
        <v>0</v>
      </c>
      <c r="ME29" s="1446">
        <v>0</v>
      </c>
      <c r="MF29" s="1446">
        <v>0</v>
      </c>
      <c r="MH29" s="1">
        <f t="shared" si="166"/>
        <v>100</v>
      </c>
      <c r="MI29" s="989">
        <f t="shared" si="167"/>
        <v>0</v>
      </c>
      <c r="MJ29" s="989">
        <f t="shared" si="168"/>
        <v>0</v>
      </c>
      <c r="MK29" s="989">
        <f t="shared" si="169"/>
        <v>9525597.0057964958</v>
      </c>
      <c r="ML29" s="989">
        <f t="shared" si="170"/>
        <v>0</v>
      </c>
      <c r="MM29" s="989">
        <f t="shared" si="171"/>
        <v>0</v>
      </c>
      <c r="MN29" s="989">
        <f t="shared" si="172"/>
        <v>0</v>
      </c>
      <c r="MO29" s="989">
        <f t="shared" si="173"/>
        <v>0</v>
      </c>
      <c r="MP29" s="989">
        <f t="shared" si="174"/>
        <v>0</v>
      </c>
      <c r="MQ29" s="989">
        <f t="shared" si="175"/>
        <v>0</v>
      </c>
      <c r="MR29" s="989">
        <f t="shared" si="176"/>
        <v>0</v>
      </c>
      <c r="MS29" s="989">
        <f t="shared" si="177"/>
        <v>0</v>
      </c>
      <c r="MU29" s="1034">
        <v>27</v>
      </c>
      <c r="MV29" s="57">
        <v>9542853.2859438267</v>
      </c>
      <c r="MW29" s="1964"/>
      <c r="MX29" s="1964"/>
      <c r="MY29" s="1964"/>
      <c r="MZ29" s="1964">
        <v>67.5</v>
      </c>
      <c r="NA29" s="1964">
        <v>32.5</v>
      </c>
      <c r="NB29" s="1964"/>
      <c r="NC29" s="1964"/>
      <c r="ND29" s="1964"/>
      <c r="NE29" s="1964"/>
      <c r="NF29" s="1964"/>
      <c r="NG29" s="1964"/>
      <c r="NJ29" s="989">
        <f t="shared" si="116"/>
        <v>0</v>
      </c>
      <c r="NK29" s="989">
        <f t="shared" si="117"/>
        <v>0</v>
      </c>
      <c r="NL29" s="989">
        <f t="shared" si="118"/>
        <v>0</v>
      </c>
      <c r="NM29" s="989">
        <f t="shared" si="119"/>
        <v>6441425.9680120824</v>
      </c>
      <c r="NN29" s="989">
        <f t="shared" si="120"/>
        <v>3101427.3179317438</v>
      </c>
      <c r="NO29" s="989">
        <f t="shared" si="121"/>
        <v>0</v>
      </c>
      <c r="NP29" s="989">
        <f t="shared" si="122"/>
        <v>0</v>
      </c>
      <c r="NQ29" s="989">
        <f t="shared" si="123"/>
        <v>0</v>
      </c>
      <c r="NR29" s="989">
        <f t="shared" si="124"/>
        <v>0</v>
      </c>
      <c r="NS29" s="989">
        <f t="shared" si="125"/>
        <v>0</v>
      </c>
      <c r="NT29" s="989">
        <f t="shared" si="126"/>
        <v>0</v>
      </c>
    </row>
    <row r="30" spans="1:384" ht="15" thickTop="1" thickBot="1">
      <c r="A30" s="1822">
        <v>29</v>
      </c>
      <c r="B30" s="1199"/>
      <c r="C30" s="1822">
        <v>4507172.9451511558</v>
      </c>
      <c r="D30" s="1199">
        <v>6667293.5907063726</v>
      </c>
      <c r="E30" s="20"/>
      <c r="F30" s="1843">
        <f t="shared" si="12"/>
        <v>11174466.535857528</v>
      </c>
      <c r="G30" s="951">
        <v>0</v>
      </c>
      <c r="H30" s="806">
        <v>0</v>
      </c>
      <c r="I30" s="806">
        <v>0</v>
      </c>
      <c r="J30" s="806">
        <v>0</v>
      </c>
      <c r="K30" s="806">
        <v>35.48069786899913</v>
      </c>
      <c r="L30" s="806">
        <v>60.994069811578676</v>
      </c>
      <c r="M30" s="806">
        <v>3.5252323194221962</v>
      </c>
      <c r="N30" s="806">
        <v>0</v>
      </c>
      <c r="O30" s="806">
        <v>0</v>
      </c>
      <c r="P30" s="806">
        <v>0</v>
      </c>
      <c r="Q30" s="806"/>
      <c r="R30" s="806"/>
      <c r="S30" s="2"/>
      <c r="T30" s="114">
        <v>29</v>
      </c>
      <c r="U30" s="2">
        <f t="shared" si="127"/>
        <v>0</v>
      </c>
      <c r="V30" s="2">
        <f t="shared" si="13"/>
        <v>0</v>
      </c>
      <c r="W30" s="2">
        <f t="shared" si="14"/>
        <v>0</v>
      </c>
      <c r="X30" s="2">
        <f t="shared" si="15"/>
        <v>0</v>
      </c>
      <c r="Y30" s="2">
        <f t="shared" si="16"/>
        <v>3964778.7100600232</v>
      </c>
      <c r="Z30" s="2">
        <f t="shared" si="17"/>
        <v>6815761.9199524382</v>
      </c>
      <c r="AA30" s="2">
        <f t="shared" si="18"/>
        <v>393925.90584506752</v>
      </c>
      <c r="AB30" s="2">
        <f t="shared" si="19"/>
        <v>0</v>
      </c>
      <c r="AC30" s="2">
        <f t="shared" si="20"/>
        <v>0</v>
      </c>
      <c r="AD30" s="2">
        <f t="shared" si="21"/>
        <v>0</v>
      </c>
      <c r="AE30" s="2">
        <f t="shared" si="22"/>
        <v>0</v>
      </c>
      <c r="AF30" s="1844">
        <v>29</v>
      </c>
      <c r="AG30" s="1724">
        <f t="shared" si="23"/>
        <v>0</v>
      </c>
      <c r="AH30" s="1724">
        <f t="shared" si="24"/>
        <v>0</v>
      </c>
      <c r="AI30" s="1724">
        <f t="shared" si="25"/>
        <v>0</v>
      </c>
      <c r="AJ30" s="1724">
        <f t="shared" si="26"/>
        <v>0</v>
      </c>
      <c r="AK30" s="1724">
        <f t="shared" si="27"/>
        <v>114978582.59174067</v>
      </c>
      <c r="AL30" s="1724">
        <f t="shared" si="28"/>
        <v>197657095.6786207</v>
      </c>
      <c r="AM30" s="1724">
        <f t="shared" si="29"/>
        <v>11423851.269506957</v>
      </c>
      <c r="AN30" s="1724">
        <f t="shared" si="30"/>
        <v>0</v>
      </c>
      <c r="AO30" s="1724">
        <f t="shared" si="31"/>
        <v>0</v>
      </c>
      <c r="AP30" s="1724">
        <f t="shared" si="32"/>
        <v>0</v>
      </c>
      <c r="AR30" s="1822">
        <v>29</v>
      </c>
      <c r="AS30" s="1199"/>
      <c r="AT30" s="1">
        <v>3525397.893959011</v>
      </c>
      <c r="AU30" s="1">
        <v>768274.16505042079</v>
      </c>
      <c r="AV30" s="20"/>
      <c r="AW30" s="1843">
        <f t="shared" si="33"/>
        <v>4293672.0590094319</v>
      </c>
      <c r="AX30" s="546"/>
      <c r="AY30" s="547"/>
      <c r="AZ30" s="548"/>
      <c r="BA30" s="548"/>
      <c r="BB30" s="548">
        <v>20</v>
      </c>
      <c r="BC30" s="548">
        <v>80</v>
      </c>
      <c r="BD30" s="548"/>
      <c r="BE30" s="548"/>
      <c r="BF30" s="806"/>
      <c r="BG30" s="806"/>
      <c r="BH30" s="806"/>
      <c r="BI30" s="806"/>
      <c r="BJ30" s="2"/>
      <c r="BK30" s="114">
        <v>29</v>
      </c>
      <c r="BL30" s="2">
        <f t="shared" si="128"/>
        <v>0</v>
      </c>
      <c r="BM30" s="2">
        <f t="shared" si="129"/>
        <v>0</v>
      </c>
      <c r="BN30" s="2">
        <f t="shared" si="130"/>
        <v>0</v>
      </c>
      <c r="BO30" s="2">
        <f t="shared" si="131"/>
        <v>0</v>
      </c>
      <c r="BP30" s="2">
        <f t="shared" si="132"/>
        <v>858734.4118018864</v>
      </c>
      <c r="BQ30" s="2">
        <f t="shared" si="133"/>
        <v>3434937.6472075456</v>
      </c>
      <c r="BR30" s="2">
        <f t="shared" si="134"/>
        <v>0</v>
      </c>
      <c r="BS30" s="2">
        <f t="shared" si="135"/>
        <v>0</v>
      </c>
      <c r="BT30" s="2">
        <f t="shared" si="136"/>
        <v>0</v>
      </c>
      <c r="BU30" s="2">
        <f t="shared" si="137"/>
        <v>0</v>
      </c>
      <c r="BV30" s="2">
        <f t="shared" si="138"/>
        <v>0</v>
      </c>
      <c r="BW30" s="1844">
        <v>29</v>
      </c>
      <c r="BX30" s="1724">
        <f t="shared" si="139"/>
        <v>0</v>
      </c>
      <c r="BY30" s="1724">
        <f t="shared" si="3"/>
        <v>0</v>
      </c>
      <c r="BZ30" s="1724">
        <f t="shared" si="4"/>
        <v>0</v>
      </c>
      <c r="CA30" s="1724">
        <f t="shared" si="5"/>
        <v>0</v>
      </c>
      <c r="CB30" s="1724">
        <f t="shared" si="6"/>
        <v>24903297.942254707</v>
      </c>
      <c r="CC30" s="1724">
        <f t="shared" si="7"/>
        <v>99613191.769018829</v>
      </c>
      <c r="CD30" s="1724">
        <f t="shared" si="8"/>
        <v>0</v>
      </c>
      <c r="CE30" s="1724">
        <f t="shared" si="9"/>
        <v>0</v>
      </c>
      <c r="CF30" s="1724">
        <f t="shared" si="10"/>
        <v>0</v>
      </c>
      <c r="CG30" s="1724">
        <f t="shared" si="11"/>
        <v>0</v>
      </c>
      <c r="CH30" s="75"/>
      <c r="CM30" s="638"/>
      <c r="CN30" s="1847">
        <v>27</v>
      </c>
      <c r="CO30" s="1851"/>
      <c r="CP30" s="2">
        <v>1193736.8705776872</v>
      </c>
      <c r="CQ30" s="2">
        <v>15818979.166048838</v>
      </c>
      <c r="CR30" s="646">
        <f t="shared" si="63"/>
        <v>17012716.036626525</v>
      </c>
      <c r="CS30" s="1141"/>
      <c r="CT30" s="648"/>
      <c r="CU30" s="649"/>
      <c r="CV30" s="650"/>
      <c r="CW30" s="650"/>
      <c r="CX30" s="650"/>
      <c r="CY30" s="650"/>
      <c r="CZ30" s="650"/>
      <c r="DA30" s="650"/>
      <c r="DB30" s="808"/>
      <c r="DC30" s="808"/>
      <c r="DD30" s="808"/>
      <c r="DE30" s="808"/>
      <c r="DF30" s="451"/>
      <c r="DG30" s="647">
        <v>27</v>
      </c>
      <c r="DH30" s="666"/>
      <c r="DI30" s="955"/>
      <c r="DJ30" s="1852"/>
      <c r="DK30" s="1852">
        <v>23.80952380952381</v>
      </c>
      <c r="DL30" s="1852">
        <v>66.666666666666671</v>
      </c>
      <c r="DM30" s="1852">
        <v>9.5238095238095237</v>
      </c>
      <c r="DN30" s="1852"/>
      <c r="DO30" s="1852"/>
      <c r="DP30" s="1456"/>
      <c r="DQ30" s="1456"/>
      <c r="DR30" s="1456"/>
      <c r="DS30" s="1847">
        <v>27</v>
      </c>
      <c r="DT30" s="192">
        <f t="shared" si="190"/>
        <v>0</v>
      </c>
      <c r="DU30" s="192">
        <f t="shared" si="191"/>
        <v>0</v>
      </c>
      <c r="DV30" s="192">
        <f t="shared" si="192"/>
        <v>0</v>
      </c>
      <c r="DW30" s="192">
        <f t="shared" si="193"/>
        <v>4050646.675387268</v>
      </c>
      <c r="DX30" s="192">
        <f t="shared" si="194"/>
        <v>11341810.691084351</v>
      </c>
      <c r="DY30" s="192">
        <f t="shared" si="195"/>
        <v>1620258.670154907</v>
      </c>
      <c r="DZ30" s="192">
        <f t="shared" si="196"/>
        <v>0</v>
      </c>
      <c r="EA30" s="192">
        <f t="shared" si="197"/>
        <v>0</v>
      </c>
      <c r="EB30" s="192">
        <f t="shared" si="198"/>
        <v>0</v>
      </c>
      <c r="EC30" s="192">
        <f t="shared" si="199"/>
        <v>0</v>
      </c>
      <c r="ED30" s="192">
        <f t="shared" si="200"/>
        <v>0</v>
      </c>
      <c r="EE30" s="667">
        <f t="shared" si="46"/>
        <v>17012716.036626525</v>
      </c>
      <c r="EH30" s="973">
        <v>28</v>
      </c>
      <c r="EI30" s="974"/>
      <c r="EJ30" s="974"/>
      <c r="EK30" s="974">
        <v>3.125</v>
      </c>
      <c r="EL30" s="974">
        <v>20.3125</v>
      </c>
      <c r="EM30" s="974">
        <v>65.625</v>
      </c>
      <c r="EN30" s="974">
        <v>10.9375</v>
      </c>
      <c r="EO30" s="974"/>
      <c r="EP30" s="974"/>
      <c r="EQ30" s="974"/>
      <c r="ER30" s="974"/>
      <c r="ES30" s="974"/>
      <c r="EX30" s="977">
        <v>100</v>
      </c>
      <c r="EY30" s="357">
        <v>8734997.8941870946</v>
      </c>
      <c r="EZ30" s="989">
        <f t="shared" si="64"/>
        <v>0</v>
      </c>
      <c r="FA30" s="989">
        <f t="shared" si="47"/>
        <v>0</v>
      </c>
      <c r="FB30" s="989">
        <f t="shared" si="48"/>
        <v>272968.68419334671</v>
      </c>
      <c r="FC30" s="989">
        <f t="shared" si="49"/>
        <v>1774296.4472567537</v>
      </c>
      <c r="FD30" s="989">
        <f t="shared" si="50"/>
        <v>5732342.3680602815</v>
      </c>
      <c r="FE30" s="989">
        <f t="shared" si="51"/>
        <v>955390.39467671351</v>
      </c>
      <c r="FF30" s="989">
        <f t="shared" si="52"/>
        <v>0</v>
      </c>
      <c r="FG30" s="989">
        <f t="shared" si="53"/>
        <v>0</v>
      </c>
      <c r="FH30" s="989">
        <f t="shared" si="54"/>
        <v>0</v>
      </c>
      <c r="FI30" s="989">
        <f t="shared" si="55"/>
        <v>0</v>
      </c>
      <c r="FJ30" s="989">
        <f t="shared" si="56"/>
        <v>0</v>
      </c>
      <c r="FM30" s="1002">
        <v>28</v>
      </c>
      <c r="FN30" s="1003"/>
      <c r="FO30" s="1006"/>
      <c r="FP30" s="1006"/>
      <c r="FQ30" s="1006">
        <v>3.8461538461538463</v>
      </c>
      <c r="FR30" s="1006">
        <v>73.07692307692308</v>
      </c>
      <c r="FS30" s="1006">
        <v>23.076923076923077</v>
      </c>
      <c r="FT30" s="1006"/>
      <c r="FU30" s="1006"/>
      <c r="FV30" s="1006"/>
      <c r="FW30" s="1006"/>
      <c r="FX30" s="1006"/>
      <c r="FY30" s="1006"/>
      <c r="FZ30" s="1006"/>
      <c r="GA30" s="1003"/>
      <c r="GB30" s="1004">
        <v>100</v>
      </c>
      <c r="GC30" s="1002">
        <v>28</v>
      </c>
      <c r="GD30" s="2">
        <v>19988907.593433756</v>
      </c>
      <c r="GE30" s="989">
        <f t="shared" si="152"/>
        <v>0</v>
      </c>
      <c r="GF30" s="989">
        <f t="shared" si="153"/>
        <v>0</v>
      </c>
      <c r="GG30" s="989">
        <f t="shared" si="154"/>
        <v>0</v>
      </c>
      <c r="GH30" s="989">
        <f t="shared" si="155"/>
        <v>768804.13820899068</v>
      </c>
      <c r="GI30" s="989">
        <f t="shared" si="156"/>
        <v>14607278.625970824</v>
      </c>
      <c r="GJ30" s="989">
        <f t="shared" si="157"/>
        <v>4612824.8292539436</v>
      </c>
      <c r="GK30" s="989">
        <f t="shared" si="158"/>
        <v>0</v>
      </c>
      <c r="GL30" s="989">
        <f t="shared" si="159"/>
        <v>0</v>
      </c>
      <c r="GM30" s="989">
        <f t="shared" si="160"/>
        <v>0</v>
      </c>
      <c r="GN30" s="989">
        <f t="shared" si="161"/>
        <v>0</v>
      </c>
      <c r="GO30" s="989">
        <f t="shared" si="162"/>
        <v>0</v>
      </c>
      <c r="GP30" s="989">
        <f t="shared" si="163"/>
        <v>0</v>
      </c>
      <c r="GQ30" s="989">
        <f t="shared" si="164"/>
        <v>0</v>
      </c>
      <c r="GR30" s="989">
        <f t="shared" si="165"/>
        <v>0</v>
      </c>
      <c r="GX30" s="1032">
        <v>28</v>
      </c>
      <c r="GY30" s="1">
        <v>20622612.764056068</v>
      </c>
      <c r="GZ30" s="1041"/>
      <c r="HA30" s="1039"/>
      <c r="HB30" s="1039"/>
      <c r="HC30" s="1039">
        <v>10</v>
      </c>
      <c r="HD30" s="1039">
        <v>50</v>
      </c>
      <c r="HE30" s="1039">
        <v>33.333333333333336</v>
      </c>
      <c r="HF30" s="1039">
        <v>6.666666666666667</v>
      </c>
      <c r="HG30" s="1039"/>
      <c r="HH30" s="1039"/>
      <c r="HI30" s="1039"/>
      <c r="HJ30" s="1039"/>
      <c r="HK30" s="1039"/>
      <c r="HL30" s="1039"/>
      <c r="HM30" s="1040">
        <f t="shared" si="189"/>
        <v>100.00000000000001</v>
      </c>
      <c r="HN30" s="989">
        <f t="shared" si="67"/>
        <v>0</v>
      </c>
      <c r="HO30" s="989">
        <f t="shared" si="68"/>
        <v>0</v>
      </c>
      <c r="HP30" s="989">
        <f t="shared" si="69"/>
        <v>0</v>
      </c>
      <c r="HQ30" s="989">
        <f t="shared" si="70"/>
        <v>2062261.2764056069</v>
      </c>
      <c r="HR30" s="989">
        <f t="shared" si="71"/>
        <v>10311306.382028034</v>
      </c>
      <c r="HS30" s="989">
        <f t="shared" si="72"/>
        <v>6874204.2546853563</v>
      </c>
      <c r="HT30" s="989">
        <f t="shared" si="73"/>
        <v>1374840.8509370713</v>
      </c>
      <c r="HU30" s="989">
        <f t="shared" si="74"/>
        <v>0</v>
      </c>
      <c r="HV30" s="989">
        <f t="shared" si="75"/>
        <v>0</v>
      </c>
      <c r="HW30" s="989">
        <f t="shared" si="76"/>
        <v>0</v>
      </c>
      <c r="HX30" s="989">
        <f t="shared" si="77"/>
        <v>0</v>
      </c>
      <c r="HY30" s="989">
        <f t="shared" si="78"/>
        <v>0</v>
      </c>
      <c r="HZ30" s="989">
        <f t="shared" si="79"/>
        <v>0</v>
      </c>
      <c r="IE30" s="2">
        <v>62097349.503096499</v>
      </c>
      <c r="IF30" s="1005">
        <v>23</v>
      </c>
      <c r="IG30" s="553"/>
      <c r="IH30" s="553">
        <v>11.666666666666666</v>
      </c>
      <c r="II30" s="553">
        <v>51.666666666666664</v>
      </c>
      <c r="IJ30" s="553">
        <v>35</v>
      </c>
      <c r="IK30" s="553">
        <v>1.6666666666666667</v>
      </c>
      <c r="IL30" s="553"/>
      <c r="IM30" s="553"/>
      <c r="IN30" s="553"/>
      <c r="IO30" s="553"/>
      <c r="IP30" s="553"/>
      <c r="IQ30" s="553"/>
      <c r="IS30" s="1270">
        <v>23</v>
      </c>
      <c r="IT30" s="989">
        <f t="shared" si="201"/>
        <v>0</v>
      </c>
      <c r="IU30" s="989">
        <f t="shared" si="202"/>
        <v>7244690.7753612576</v>
      </c>
      <c r="IV30" s="989">
        <f t="shared" si="203"/>
        <v>32083630.576599855</v>
      </c>
      <c r="IW30" s="989">
        <f t="shared" si="204"/>
        <v>21734072.326083776</v>
      </c>
      <c r="IX30" s="989">
        <f t="shared" si="205"/>
        <v>1034955.8250516084</v>
      </c>
      <c r="IY30" s="989">
        <f t="shared" si="206"/>
        <v>0</v>
      </c>
      <c r="IZ30" s="989">
        <f t="shared" si="207"/>
        <v>0</v>
      </c>
      <c r="JA30" s="989">
        <f t="shared" si="208"/>
        <v>0</v>
      </c>
      <c r="JB30" s="989">
        <f t="shared" si="209"/>
        <v>0</v>
      </c>
      <c r="JC30" s="989">
        <f t="shared" si="210"/>
        <v>0</v>
      </c>
      <c r="JD30" s="989">
        <f t="shared" si="211"/>
        <v>0</v>
      </c>
      <c r="JE30" s="989">
        <f t="shared" si="212"/>
        <v>0</v>
      </c>
      <c r="JG30" s="1135">
        <v>1381675.0079517504</v>
      </c>
      <c r="JH30" s="1005">
        <v>23</v>
      </c>
      <c r="JI30" s="557"/>
      <c r="JJ30" s="1272"/>
      <c r="JK30" s="1272">
        <v>55.555555555555557</v>
      </c>
      <c r="JL30" s="1272">
        <v>44.444444444444443</v>
      </c>
      <c r="JM30" s="1272"/>
      <c r="JN30" s="1272"/>
      <c r="JO30" s="1272"/>
      <c r="JP30" s="1272"/>
      <c r="JQ30" s="1272"/>
      <c r="JR30" s="1272"/>
      <c r="JS30" s="1272"/>
      <c r="JT30" s="1273"/>
      <c r="JU30" s="1273"/>
      <c r="JW30" s="989">
        <f t="shared" si="103"/>
        <v>0</v>
      </c>
      <c r="JX30" s="989">
        <f t="shared" si="104"/>
        <v>767597.22663986136</v>
      </c>
      <c r="JY30" s="989">
        <f t="shared" si="92"/>
        <v>614077.78131188906</v>
      </c>
      <c r="JZ30" s="989">
        <f t="shared" si="93"/>
        <v>0</v>
      </c>
      <c r="KA30" s="989">
        <f t="shared" si="94"/>
        <v>0</v>
      </c>
      <c r="KB30" s="989">
        <f t="shared" si="95"/>
        <v>0</v>
      </c>
      <c r="KC30" s="989">
        <f t="shared" si="96"/>
        <v>0</v>
      </c>
      <c r="KD30" s="989">
        <f t="shared" si="97"/>
        <v>0</v>
      </c>
      <c r="KE30" s="989">
        <f t="shared" si="98"/>
        <v>0</v>
      </c>
      <c r="KF30" s="989">
        <f t="shared" si="99"/>
        <v>0</v>
      </c>
      <c r="KG30" s="989">
        <f t="shared" si="100"/>
        <v>0</v>
      </c>
      <c r="KJ30" s="192">
        <f t="shared" si="178"/>
        <v>0</v>
      </c>
      <c r="KK30" s="192">
        <f t="shared" si="179"/>
        <v>8012288.0020011188</v>
      </c>
      <c r="KL30" s="192">
        <f t="shared" si="180"/>
        <v>32697708.357911743</v>
      </c>
      <c r="KM30" s="192">
        <f t="shared" si="181"/>
        <v>21734072.326083776</v>
      </c>
      <c r="KN30" s="192">
        <f t="shared" si="182"/>
        <v>1034955.8250516084</v>
      </c>
      <c r="KO30" s="192">
        <f t="shared" si="183"/>
        <v>0</v>
      </c>
      <c r="KP30" s="192">
        <f t="shared" si="184"/>
        <v>0</v>
      </c>
      <c r="KQ30" s="192">
        <f t="shared" si="185"/>
        <v>0</v>
      </c>
      <c r="KR30" s="192">
        <f t="shared" si="186"/>
        <v>0</v>
      </c>
      <c r="KS30" s="192">
        <f t="shared" si="187"/>
        <v>0</v>
      </c>
      <c r="KT30" s="192">
        <f t="shared" si="188"/>
        <v>0</v>
      </c>
      <c r="KV30" s="1032">
        <v>28</v>
      </c>
      <c r="KW30" s="2">
        <v>9500718.6755410247</v>
      </c>
      <c r="KX30" s="1">
        <v>0</v>
      </c>
      <c r="KY30" s="1">
        <v>0</v>
      </c>
      <c r="KZ30" s="1">
        <v>0</v>
      </c>
      <c r="LA30" s="1">
        <v>52.173913043478251</v>
      </c>
      <c r="LB30" s="1">
        <v>47.826086956521742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J30" s="989">
        <f t="shared" si="141"/>
        <v>0</v>
      </c>
      <c r="LK30" s="989">
        <f t="shared" si="142"/>
        <v>0</v>
      </c>
      <c r="LL30" s="989">
        <f t="shared" si="143"/>
        <v>0</v>
      </c>
      <c r="LM30" s="989">
        <f t="shared" si="144"/>
        <v>4956896.7002822729</v>
      </c>
      <c r="LN30" s="989">
        <f t="shared" si="145"/>
        <v>4543821.9752587508</v>
      </c>
      <c r="LO30" s="989">
        <f t="shared" si="146"/>
        <v>0</v>
      </c>
      <c r="LP30" s="989">
        <f t="shared" si="147"/>
        <v>0</v>
      </c>
      <c r="LQ30" s="989">
        <f t="shared" si="148"/>
        <v>0</v>
      </c>
      <c r="LR30" s="989">
        <f t="shared" si="149"/>
        <v>0</v>
      </c>
      <c r="LS30" s="989">
        <f t="shared" si="150"/>
        <v>0</v>
      </c>
      <c r="LT30" s="989">
        <f t="shared" si="151"/>
        <v>0</v>
      </c>
      <c r="LV30" s="2">
        <v>6839253.1661075093</v>
      </c>
      <c r="LW30" s="1446">
        <v>0</v>
      </c>
      <c r="LX30" s="1446">
        <v>0</v>
      </c>
      <c r="LY30" s="1446">
        <v>0</v>
      </c>
      <c r="LZ30" s="1446">
        <v>100</v>
      </c>
      <c r="MA30" s="1446">
        <v>0</v>
      </c>
      <c r="MB30" s="1446">
        <v>0</v>
      </c>
      <c r="MC30" s="1446">
        <v>0</v>
      </c>
      <c r="MD30" s="1446">
        <v>0</v>
      </c>
      <c r="ME30" s="1446">
        <v>0</v>
      </c>
      <c r="MF30" s="1446">
        <v>0</v>
      </c>
      <c r="MH30" s="1">
        <f t="shared" si="166"/>
        <v>100</v>
      </c>
      <c r="MI30" s="989">
        <f t="shared" si="167"/>
        <v>0</v>
      </c>
      <c r="MJ30" s="989">
        <f t="shared" si="168"/>
        <v>0</v>
      </c>
      <c r="MK30" s="989">
        <f t="shared" si="169"/>
        <v>0</v>
      </c>
      <c r="ML30" s="989">
        <f t="shared" si="170"/>
        <v>6839253.1661075093</v>
      </c>
      <c r="MM30" s="989">
        <f t="shared" si="171"/>
        <v>0</v>
      </c>
      <c r="MN30" s="989">
        <f t="shared" si="172"/>
        <v>0</v>
      </c>
      <c r="MO30" s="989">
        <f t="shared" si="173"/>
        <v>0</v>
      </c>
      <c r="MP30" s="989">
        <f t="shared" si="174"/>
        <v>0</v>
      </c>
      <c r="MQ30" s="989">
        <f t="shared" si="175"/>
        <v>0</v>
      </c>
      <c r="MR30" s="989">
        <f t="shared" si="176"/>
        <v>0</v>
      </c>
      <c r="MS30" s="989">
        <f t="shared" si="177"/>
        <v>0</v>
      </c>
      <c r="MU30" s="1032">
        <v>28</v>
      </c>
      <c r="MV30" s="57">
        <v>8840457.5063289423</v>
      </c>
      <c r="MW30" s="1964"/>
      <c r="MX30" s="1964"/>
      <c r="MY30" s="1964"/>
      <c r="MZ30" s="1964">
        <v>29.27</v>
      </c>
      <c r="NA30" s="1964">
        <v>68.290000000000006</v>
      </c>
      <c r="NB30" s="1964">
        <v>2.44</v>
      </c>
      <c r="NC30" s="1964"/>
      <c r="ND30" s="1964"/>
      <c r="NE30" s="1964"/>
      <c r="NF30" s="1964"/>
      <c r="NG30" s="1964"/>
      <c r="NJ30" s="989">
        <f t="shared" si="116"/>
        <v>0</v>
      </c>
      <c r="NK30" s="989">
        <f t="shared" si="117"/>
        <v>0</v>
      </c>
      <c r="NL30" s="989">
        <f t="shared" si="118"/>
        <v>0</v>
      </c>
      <c r="NM30" s="989">
        <f t="shared" si="119"/>
        <v>2587601.9121024814</v>
      </c>
      <c r="NN30" s="989">
        <f t="shared" si="120"/>
        <v>6037148.4310720349</v>
      </c>
      <c r="NO30" s="989">
        <f t="shared" si="121"/>
        <v>215707.16315442618</v>
      </c>
      <c r="NP30" s="989">
        <f t="shared" si="122"/>
        <v>0</v>
      </c>
      <c r="NQ30" s="989">
        <f t="shared" si="123"/>
        <v>0</v>
      </c>
      <c r="NR30" s="989">
        <f t="shared" si="124"/>
        <v>0</v>
      </c>
      <c r="NS30" s="989">
        <f t="shared" si="125"/>
        <v>0</v>
      </c>
      <c r="NT30" s="989">
        <f t="shared" si="126"/>
        <v>0</v>
      </c>
    </row>
    <row r="31" spans="1:384" ht="15" thickTop="1" thickBot="1">
      <c r="A31" s="1822">
        <v>30</v>
      </c>
      <c r="B31" s="1199"/>
      <c r="C31" s="1822">
        <v>2635397.83804035</v>
      </c>
      <c r="D31" s="1199">
        <v>3033459.1012176713</v>
      </c>
      <c r="E31" s="20"/>
      <c r="F31" s="1843">
        <f t="shared" si="12"/>
        <v>5668856.9392580213</v>
      </c>
      <c r="G31" s="951">
        <v>0</v>
      </c>
      <c r="H31" s="806">
        <v>0</v>
      </c>
      <c r="I31" s="806">
        <v>0</v>
      </c>
      <c r="J31" s="806">
        <v>0</v>
      </c>
      <c r="K31" s="806">
        <v>0.89398738342499062</v>
      </c>
      <c r="L31" s="806">
        <v>65.547168942594212</v>
      </c>
      <c r="M31" s="806">
        <v>33.558843673980796</v>
      </c>
      <c r="N31" s="806">
        <v>0</v>
      </c>
      <c r="O31" s="806">
        <v>0</v>
      </c>
      <c r="P31" s="806">
        <v>0</v>
      </c>
      <c r="Q31" s="806"/>
      <c r="R31" s="806"/>
      <c r="S31" s="2"/>
      <c r="T31" s="114">
        <v>30</v>
      </c>
      <c r="U31" s="2">
        <f t="shared" si="127"/>
        <v>0</v>
      </c>
      <c r="V31" s="2">
        <f t="shared" si="13"/>
        <v>0</v>
      </c>
      <c r="W31" s="2">
        <f t="shared" si="14"/>
        <v>0</v>
      </c>
      <c r="X31" s="2">
        <f t="shared" si="15"/>
        <v>0</v>
      </c>
      <c r="Y31" s="2">
        <f t="shared" si="16"/>
        <v>50678.8658213788</v>
      </c>
      <c r="Z31" s="2">
        <f t="shared" si="17"/>
        <v>3715775.2350894306</v>
      </c>
      <c r="AA31" s="2">
        <f t="shared" si="18"/>
        <v>1902402.8383472117</v>
      </c>
      <c r="AB31" s="2">
        <f t="shared" si="19"/>
        <v>0</v>
      </c>
      <c r="AC31" s="2">
        <f t="shared" si="20"/>
        <v>0</v>
      </c>
      <c r="AD31" s="2">
        <f t="shared" si="21"/>
        <v>0</v>
      </c>
      <c r="AE31" s="2">
        <f t="shared" si="22"/>
        <v>0</v>
      </c>
      <c r="AF31" s="1844">
        <v>30</v>
      </c>
      <c r="AG31" s="1724">
        <f t="shared" si="23"/>
        <v>0</v>
      </c>
      <c r="AH31" s="1724">
        <f t="shared" si="24"/>
        <v>0</v>
      </c>
      <c r="AI31" s="1724">
        <f t="shared" si="25"/>
        <v>0</v>
      </c>
      <c r="AJ31" s="1724">
        <f t="shared" si="26"/>
        <v>0</v>
      </c>
      <c r="AK31" s="1724">
        <f t="shared" si="27"/>
        <v>1520365.9746413641</v>
      </c>
      <c r="AL31" s="1724">
        <f t="shared" si="28"/>
        <v>111473257.05268292</v>
      </c>
      <c r="AM31" s="1724">
        <f t="shared" si="29"/>
        <v>57072085.150416352</v>
      </c>
      <c r="AN31" s="1724">
        <f t="shared" si="30"/>
        <v>0</v>
      </c>
      <c r="AO31" s="1724">
        <f t="shared" si="31"/>
        <v>0</v>
      </c>
      <c r="AP31" s="1724">
        <f t="shared" si="32"/>
        <v>0</v>
      </c>
      <c r="AR31" s="1822">
        <v>30</v>
      </c>
      <c r="AS31" s="1199"/>
      <c r="AT31" s="1">
        <v>6541387.8436690187</v>
      </c>
      <c r="AU31" s="1">
        <v>359756.22778414312</v>
      </c>
      <c r="AV31" s="20"/>
      <c r="AW31" s="1843">
        <f t="shared" si="33"/>
        <v>6901144.0714531615</v>
      </c>
      <c r="AX31" s="807"/>
      <c r="AY31" s="953"/>
      <c r="AZ31" s="1849"/>
      <c r="BA31" s="1849"/>
      <c r="BB31" s="1849"/>
      <c r="BC31" s="1849">
        <v>80</v>
      </c>
      <c r="BD31" s="1849">
        <v>20</v>
      </c>
      <c r="BE31" s="1849"/>
      <c r="BF31" s="806"/>
      <c r="BG31" s="806"/>
      <c r="BH31" s="806"/>
      <c r="BI31" s="806"/>
      <c r="BJ31" s="2"/>
      <c r="BK31" s="114">
        <v>30</v>
      </c>
      <c r="BL31" s="2">
        <f t="shared" si="128"/>
        <v>0</v>
      </c>
      <c r="BM31" s="2">
        <f t="shared" si="129"/>
        <v>0</v>
      </c>
      <c r="BN31" s="2">
        <f t="shared" si="130"/>
        <v>0</v>
      </c>
      <c r="BO31" s="2">
        <f t="shared" si="131"/>
        <v>0</v>
      </c>
      <c r="BP31" s="2">
        <f t="shared" si="132"/>
        <v>0</v>
      </c>
      <c r="BQ31" s="2">
        <f t="shared" si="133"/>
        <v>5520915.257162529</v>
      </c>
      <c r="BR31" s="2">
        <f t="shared" si="134"/>
        <v>1380228.8142906323</v>
      </c>
      <c r="BS31" s="2">
        <f t="shared" si="135"/>
        <v>0</v>
      </c>
      <c r="BT31" s="2">
        <f t="shared" si="136"/>
        <v>0</v>
      </c>
      <c r="BU31" s="2">
        <f t="shared" si="137"/>
        <v>0</v>
      </c>
      <c r="BV31" s="2">
        <f t="shared" si="138"/>
        <v>0</v>
      </c>
      <c r="BW31" s="1844">
        <v>30</v>
      </c>
      <c r="BX31" s="1724">
        <f t="shared" si="139"/>
        <v>0</v>
      </c>
      <c r="BY31" s="1724">
        <f t="shared" si="3"/>
        <v>0</v>
      </c>
      <c r="BZ31" s="1724">
        <f t="shared" si="4"/>
        <v>0</v>
      </c>
      <c r="CA31" s="1724">
        <f t="shared" si="5"/>
        <v>0</v>
      </c>
      <c r="CB31" s="1724">
        <f t="shared" si="6"/>
        <v>0</v>
      </c>
      <c r="CC31" s="1724">
        <f t="shared" si="7"/>
        <v>165627457.71487588</v>
      </c>
      <c r="CD31" s="1724">
        <f t="shared" si="8"/>
        <v>41406864.428718969</v>
      </c>
      <c r="CE31" s="1724">
        <f t="shared" si="9"/>
        <v>0</v>
      </c>
      <c r="CF31" s="1724">
        <f t="shared" si="10"/>
        <v>0</v>
      </c>
      <c r="CG31" s="1724">
        <f t="shared" si="11"/>
        <v>0</v>
      </c>
      <c r="CH31" s="75"/>
      <c r="CI31" s="1" t="s">
        <v>571</v>
      </c>
      <c r="CJ31" s="1">
        <v>395636827.02624184</v>
      </c>
      <c r="CK31" s="1">
        <f>CJ31/1000</f>
        <v>395636.82702624187</v>
      </c>
      <c r="CM31" s="638"/>
      <c r="CN31" s="1847">
        <v>28</v>
      </c>
      <c r="CO31" s="1851"/>
      <c r="CP31" s="2">
        <v>1652050.9626745298</v>
      </c>
      <c r="CQ31" s="2">
        <v>10170869.050390737</v>
      </c>
      <c r="CR31" s="646">
        <f t="shared" si="63"/>
        <v>11822920.013065267</v>
      </c>
      <c r="CS31" s="1141"/>
      <c r="CT31" s="809"/>
      <c r="CU31" s="954"/>
      <c r="CV31" s="1850"/>
      <c r="CW31" s="1850"/>
      <c r="CX31" s="1850"/>
      <c r="CY31" s="1850"/>
      <c r="CZ31" s="1850"/>
      <c r="DA31" s="1850"/>
      <c r="DB31" s="808"/>
      <c r="DC31" s="808"/>
      <c r="DD31" s="808"/>
      <c r="DE31" s="808"/>
      <c r="DF31" s="451"/>
      <c r="DG31" s="647">
        <v>28</v>
      </c>
      <c r="DH31" s="666"/>
      <c r="DI31" s="955"/>
      <c r="DJ31" s="1852"/>
      <c r="DK31" s="1852">
        <v>22.222222222222221</v>
      </c>
      <c r="DL31" s="1852">
        <v>55.555555555555557</v>
      </c>
      <c r="DM31" s="1852">
        <v>22.222222222222221</v>
      </c>
      <c r="DN31" s="1852"/>
      <c r="DO31" s="1852"/>
      <c r="DP31" s="1456"/>
      <c r="DQ31" s="1456"/>
      <c r="DR31" s="1456"/>
      <c r="DS31" s="1847">
        <v>28</v>
      </c>
      <c r="DT31" s="192">
        <f t="shared" si="190"/>
        <v>0</v>
      </c>
      <c r="DU31" s="192">
        <f t="shared" si="191"/>
        <v>0</v>
      </c>
      <c r="DV31" s="192">
        <f t="shared" si="192"/>
        <v>0</v>
      </c>
      <c r="DW31" s="192">
        <f t="shared" si="193"/>
        <v>2627315.558458948</v>
      </c>
      <c r="DX31" s="192">
        <f t="shared" si="194"/>
        <v>6568288.8961473713</v>
      </c>
      <c r="DY31" s="192">
        <f t="shared" si="195"/>
        <v>2627315.558458948</v>
      </c>
      <c r="DZ31" s="192">
        <f t="shared" si="196"/>
        <v>0</v>
      </c>
      <c r="EA31" s="192">
        <f t="shared" si="197"/>
        <v>0</v>
      </c>
      <c r="EB31" s="192">
        <f t="shared" si="198"/>
        <v>0</v>
      </c>
      <c r="EC31" s="192">
        <f t="shared" si="199"/>
        <v>0</v>
      </c>
      <c r="ED31" s="192">
        <f t="shared" si="200"/>
        <v>0</v>
      </c>
      <c r="EE31" s="667">
        <f t="shared" si="46"/>
        <v>11822920.013065267</v>
      </c>
      <c r="EH31" s="976">
        <v>29</v>
      </c>
      <c r="EI31" s="974"/>
      <c r="EJ31" s="974"/>
      <c r="EK31" s="974"/>
      <c r="EL31" s="974">
        <v>8.3333333333333339</v>
      </c>
      <c r="EM31" s="974">
        <v>56.25</v>
      </c>
      <c r="EN31" s="974">
        <v>35.416666666666664</v>
      </c>
      <c r="EO31" s="974"/>
      <c r="EP31" s="974"/>
      <c r="EQ31" s="974"/>
      <c r="ER31" s="974"/>
      <c r="ES31" s="974"/>
      <c r="EX31" s="975">
        <v>100</v>
      </c>
      <c r="EY31" s="357">
        <v>5223887.2556729456</v>
      </c>
      <c r="EZ31" s="989">
        <f t="shared" si="64"/>
        <v>0</v>
      </c>
      <c r="FA31" s="989">
        <f t="shared" si="47"/>
        <v>0</v>
      </c>
      <c r="FB31" s="989">
        <f t="shared" si="48"/>
        <v>0</v>
      </c>
      <c r="FC31" s="989">
        <f t="shared" si="49"/>
        <v>435323.93797274551</v>
      </c>
      <c r="FD31" s="989">
        <f t="shared" si="50"/>
        <v>2938436.581316032</v>
      </c>
      <c r="FE31" s="989">
        <f t="shared" si="51"/>
        <v>1850126.7363841683</v>
      </c>
      <c r="FF31" s="989">
        <f t="shared" si="52"/>
        <v>0</v>
      </c>
      <c r="FG31" s="989">
        <f t="shared" si="53"/>
        <v>0</v>
      </c>
      <c r="FH31" s="989">
        <f t="shared" si="54"/>
        <v>0</v>
      </c>
      <c r="FI31" s="989">
        <f t="shared" si="55"/>
        <v>0</v>
      </c>
      <c r="FJ31" s="989">
        <f t="shared" si="56"/>
        <v>0</v>
      </c>
      <c r="FM31" s="1005">
        <v>29</v>
      </c>
      <c r="FN31" s="1003"/>
      <c r="FO31" s="1006"/>
      <c r="FP31" s="1006"/>
      <c r="FQ31" s="1006"/>
      <c r="FR31" s="1006">
        <v>61.53846153846154</v>
      </c>
      <c r="FS31" s="1006">
        <v>30.76923076923077</v>
      </c>
      <c r="FT31" s="1006">
        <v>7.6923076923076925</v>
      </c>
      <c r="FU31" s="1006"/>
      <c r="FV31" s="1006"/>
      <c r="FW31" s="1006"/>
      <c r="FX31" s="1006"/>
      <c r="FY31" s="1006"/>
      <c r="FZ31" s="1006"/>
      <c r="GA31" s="1003"/>
      <c r="GB31" s="1004">
        <v>100</v>
      </c>
      <c r="GC31" s="1005">
        <v>29</v>
      </c>
      <c r="GD31" s="2">
        <v>13546701.577128593</v>
      </c>
      <c r="GE31" s="989">
        <f t="shared" si="152"/>
        <v>0</v>
      </c>
      <c r="GF31" s="989">
        <f t="shared" si="153"/>
        <v>0</v>
      </c>
      <c r="GG31" s="989">
        <f t="shared" si="154"/>
        <v>0</v>
      </c>
      <c r="GH31" s="989">
        <f t="shared" si="155"/>
        <v>0</v>
      </c>
      <c r="GI31" s="989">
        <f t="shared" si="156"/>
        <v>8336431.7397714425</v>
      </c>
      <c r="GJ31" s="989">
        <f t="shared" si="157"/>
        <v>4168215.8698857212</v>
      </c>
      <c r="GK31" s="989">
        <f t="shared" si="158"/>
        <v>1042053.9674714303</v>
      </c>
      <c r="GL31" s="989">
        <f t="shared" si="159"/>
        <v>0</v>
      </c>
      <c r="GM31" s="989">
        <f t="shared" si="160"/>
        <v>0</v>
      </c>
      <c r="GN31" s="989">
        <f t="shared" si="161"/>
        <v>0</v>
      </c>
      <c r="GO31" s="989">
        <f t="shared" si="162"/>
        <v>0</v>
      </c>
      <c r="GP31" s="989">
        <f t="shared" si="163"/>
        <v>0</v>
      </c>
      <c r="GQ31" s="989">
        <f t="shared" si="164"/>
        <v>0</v>
      </c>
      <c r="GR31" s="989">
        <f t="shared" si="165"/>
        <v>0</v>
      </c>
      <c r="GX31" s="1033">
        <v>29</v>
      </c>
      <c r="GY31" s="1">
        <v>16080380.323179083</v>
      </c>
      <c r="GZ31" s="1042"/>
      <c r="HA31" s="1039"/>
      <c r="HB31" s="1039"/>
      <c r="HC31" s="1039"/>
      <c r="HD31" s="1039">
        <v>27.586206896551722</v>
      </c>
      <c r="HE31" s="1039">
        <v>62.068965517241381</v>
      </c>
      <c r="HF31" s="1039">
        <v>10.344827586206897</v>
      </c>
      <c r="HG31" s="1039"/>
      <c r="HH31" s="1039"/>
      <c r="HI31" s="1039"/>
      <c r="HJ31" s="1039"/>
      <c r="HK31" s="1039"/>
      <c r="HL31" s="1039"/>
      <c r="HM31" s="1040">
        <f t="shared" si="189"/>
        <v>100</v>
      </c>
      <c r="HN31" s="989">
        <f t="shared" si="67"/>
        <v>0</v>
      </c>
      <c r="HO31" s="989">
        <f t="shared" si="68"/>
        <v>0</v>
      </c>
      <c r="HP31" s="989">
        <f t="shared" si="69"/>
        <v>0</v>
      </c>
      <c r="HQ31" s="989">
        <f t="shared" si="70"/>
        <v>0</v>
      </c>
      <c r="HR31" s="989">
        <f t="shared" si="71"/>
        <v>4435966.9857045747</v>
      </c>
      <c r="HS31" s="989">
        <f t="shared" si="72"/>
        <v>9980925.7178352922</v>
      </c>
      <c r="HT31" s="989">
        <f t="shared" si="73"/>
        <v>1663487.6196392155</v>
      </c>
      <c r="HU31" s="989">
        <f t="shared" si="74"/>
        <v>0</v>
      </c>
      <c r="HV31" s="989">
        <f t="shared" si="75"/>
        <v>0</v>
      </c>
      <c r="HW31" s="989">
        <f t="shared" si="76"/>
        <v>0</v>
      </c>
      <c r="HX31" s="989">
        <f t="shared" si="77"/>
        <v>0</v>
      </c>
      <c r="HY31" s="989">
        <f t="shared" si="78"/>
        <v>0</v>
      </c>
      <c r="HZ31" s="989">
        <f t="shared" si="79"/>
        <v>0</v>
      </c>
      <c r="IE31" s="2">
        <v>55887736.98190207</v>
      </c>
      <c r="IF31" s="1002">
        <v>24</v>
      </c>
      <c r="IG31" s="553"/>
      <c r="IH31" s="553">
        <v>1.8867924528301887</v>
      </c>
      <c r="II31" s="553">
        <v>41.509433962264154</v>
      </c>
      <c r="IJ31" s="553">
        <v>52.830188679245282</v>
      </c>
      <c r="IK31" s="553">
        <v>3.7735849056603774</v>
      </c>
      <c r="IL31" s="553"/>
      <c r="IM31" s="553"/>
      <c r="IN31" s="553"/>
      <c r="IO31" s="553"/>
      <c r="IP31" s="553"/>
      <c r="IQ31" s="553"/>
      <c r="IS31" s="1270">
        <v>24</v>
      </c>
      <c r="IT31" s="989">
        <f t="shared" si="201"/>
        <v>0</v>
      </c>
      <c r="IU31" s="989">
        <f t="shared" si="202"/>
        <v>1054485.6034321145</v>
      </c>
      <c r="IV31" s="989">
        <f t="shared" si="203"/>
        <v>23198683.275506519</v>
      </c>
      <c r="IW31" s="989">
        <f t="shared" si="204"/>
        <v>29525596.896099206</v>
      </c>
      <c r="IX31" s="989">
        <f t="shared" si="205"/>
        <v>2108971.2068642289</v>
      </c>
      <c r="IY31" s="989">
        <f t="shared" si="206"/>
        <v>0</v>
      </c>
      <c r="IZ31" s="989">
        <f t="shared" si="207"/>
        <v>0</v>
      </c>
      <c r="JA31" s="989">
        <f t="shared" si="208"/>
        <v>0</v>
      </c>
      <c r="JB31" s="989">
        <f t="shared" si="209"/>
        <v>0</v>
      </c>
      <c r="JC31" s="989">
        <f t="shared" si="210"/>
        <v>0</v>
      </c>
      <c r="JD31" s="989">
        <f t="shared" si="211"/>
        <v>0</v>
      </c>
      <c r="JE31" s="989">
        <f t="shared" si="212"/>
        <v>0</v>
      </c>
      <c r="JG31" s="1135">
        <v>2160239.2541594575</v>
      </c>
      <c r="JH31" s="1002">
        <v>24</v>
      </c>
      <c r="JI31" s="553"/>
      <c r="JJ31" s="1272"/>
      <c r="JK31" s="1272">
        <v>37.5</v>
      </c>
      <c r="JL31" s="1272">
        <v>50</v>
      </c>
      <c r="JM31" s="1272">
        <v>12.5</v>
      </c>
      <c r="JN31" s="1272"/>
      <c r="JO31" s="1272"/>
      <c r="JP31" s="1272"/>
      <c r="JQ31" s="1272"/>
      <c r="JR31" s="1272"/>
      <c r="JS31" s="1272"/>
      <c r="JT31" s="1273"/>
      <c r="JU31" s="1273"/>
      <c r="JW31" s="989">
        <f t="shared" si="103"/>
        <v>0</v>
      </c>
      <c r="JX31" s="989">
        <f t="shared" si="104"/>
        <v>810089.72030979663</v>
      </c>
      <c r="JY31" s="989">
        <f t="shared" si="92"/>
        <v>1080119.6270797288</v>
      </c>
      <c r="JZ31" s="989">
        <f t="shared" si="93"/>
        <v>270029.90676993219</v>
      </c>
      <c r="KA31" s="989">
        <f t="shared" si="94"/>
        <v>0</v>
      </c>
      <c r="KB31" s="989">
        <f t="shared" si="95"/>
        <v>0</v>
      </c>
      <c r="KC31" s="989">
        <f t="shared" si="96"/>
        <v>0</v>
      </c>
      <c r="KD31" s="989">
        <f t="shared" si="97"/>
        <v>0</v>
      </c>
      <c r="KE31" s="989">
        <f t="shared" si="98"/>
        <v>0</v>
      </c>
      <c r="KF31" s="989">
        <f t="shared" si="99"/>
        <v>0</v>
      </c>
      <c r="KG31" s="989">
        <f t="shared" si="100"/>
        <v>0</v>
      </c>
      <c r="KJ31" s="192">
        <f t="shared" si="178"/>
        <v>0</v>
      </c>
      <c r="KK31" s="192">
        <f t="shared" si="179"/>
        <v>1864575.323741911</v>
      </c>
      <c r="KL31" s="192">
        <f t="shared" si="180"/>
        <v>24278802.902586248</v>
      </c>
      <c r="KM31" s="192">
        <f t="shared" si="181"/>
        <v>29795626.802869137</v>
      </c>
      <c r="KN31" s="192">
        <f t="shared" si="182"/>
        <v>2108971.2068642289</v>
      </c>
      <c r="KO31" s="192">
        <f t="shared" si="183"/>
        <v>0</v>
      </c>
      <c r="KP31" s="192">
        <f t="shared" si="184"/>
        <v>0</v>
      </c>
      <c r="KQ31" s="192">
        <f t="shared" si="185"/>
        <v>0</v>
      </c>
      <c r="KR31" s="192">
        <f t="shared" si="186"/>
        <v>0</v>
      </c>
      <c r="KS31" s="192">
        <f t="shared" si="187"/>
        <v>0</v>
      </c>
      <c r="KT31" s="192">
        <f t="shared" si="188"/>
        <v>0</v>
      </c>
      <c r="KV31" s="1033">
        <v>29</v>
      </c>
      <c r="KW31" s="2">
        <v>10289113.661504481</v>
      </c>
      <c r="KX31" s="1">
        <v>0</v>
      </c>
      <c r="KY31" s="1">
        <v>0</v>
      </c>
      <c r="KZ31" s="1">
        <v>0</v>
      </c>
      <c r="LA31" s="1">
        <v>25</v>
      </c>
      <c r="LB31" s="1">
        <v>64.285714285714292</v>
      </c>
      <c r="LC31" s="1">
        <v>10.714285714285714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J31" s="989">
        <f t="shared" si="141"/>
        <v>0</v>
      </c>
      <c r="LK31" s="989">
        <f t="shared" si="142"/>
        <v>0</v>
      </c>
      <c r="LL31" s="989">
        <f t="shared" si="143"/>
        <v>0</v>
      </c>
      <c r="LM31" s="989">
        <f t="shared" si="144"/>
        <v>2572278.4153761202</v>
      </c>
      <c r="LN31" s="989">
        <f t="shared" si="145"/>
        <v>6614430.2109671663</v>
      </c>
      <c r="LO31" s="989">
        <f t="shared" si="146"/>
        <v>1102405.0351611944</v>
      </c>
      <c r="LP31" s="989">
        <f t="shared" si="147"/>
        <v>0</v>
      </c>
      <c r="LQ31" s="989">
        <f t="shared" si="148"/>
        <v>0</v>
      </c>
      <c r="LR31" s="989">
        <f t="shared" si="149"/>
        <v>0</v>
      </c>
      <c r="LS31" s="989">
        <f t="shared" si="150"/>
        <v>0</v>
      </c>
      <c r="LT31" s="989">
        <f t="shared" si="151"/>
        <v>0</v>
      </c>
      <c r="LV31" s="2">
        <v>6513008.3474844517</v>
      </c>
      <c r="LW31" s="1446">
        <v>0</v>
      </c>
      <c r="LX31" s="1446">
        <v>0</v>
      </c>
      <c r="LY31" s="1446">
        <v>0</v>
      </c>
      <c r="LZ31" s="1446">
        <v>33.299999999999997</v>
      </c>
      <c r="MA31" s="1446">
        <v>66.7</v>
      </c>
      <c r="MB31" s="1446">
        <v>0</v>
      </c>
      <c r="MC31" s="1446">
        <v>0</v>
      </c>
      <c r="MD31" s="1446">
        <v>0</v>
      </c>
      <c r="ME31" s="1446">
        <v>0</v>
      </c>
      <c r="MF31" s="1446">
        <v>0</v>
      </c>
      <c r="MH31" s="1">
        <f t="shared" si="166"/>
        <v>100</v>
      </c>
      <c r="MI31" s="989">
        <f t="shared" si="167"/>
        <v>0</v>
      </c>
      <c r="MJ31" s="989">
        <f t="shared" si="168"/>
        <v>0</v>
      </c>
      <c r="MK31" s="989">
        <f t="shared" si="169"/>
        <v>0</v>
      </c>
      <c r="ML31" s="989">
        <f t="shared" si="170"/>
        <v>2168831.7797123222</v>
      </c>
      <c r="MM31" s="989">
        <f t="shared" si="171"/>
        <v>4344176.5677721296</v>
      </c>
      <c r="MN31" s="989">
        <f t="shared" si="172"/>
        <v>0</v>
      </c>
      <c r="MO31" s="989">
        <f t="shared" si="173"/>
        <v>0</v>
      </c>
      <c r="MP31" s="989">
        <f t="shared" si="174"/>
        <v>0</v>
      </c>
      <c r="MQ31" s="989">
        <f t="shared" si="175"/>
        <v>0</v>
      </c>
      <c r="MR31" s="989">
        <f t="shared" si="176"/>
        <v>0</v>
      </c>
      <c r="MS31" s="989">
        <f t="shared" si="177"/>
        <v>0</v>
      </c>
      <c r="MU31" s="1033">
        <v>29</v>
      </c>
      <c r="MV31" s="57">
        <v>5571569.7442779364</v>
      </c>
      <c r="MW31" s="1964"/>
      <c r="MX31" s="1964"/>
      <c r="MY31" s="1964"/>
      <c r="MZ31" s="1964">
        <v>3.7</v>
      </c>
      <c r="NA31" s="1964">
        <v>77.78</v>
      </c>
      <c r="NB31" s="1964">
        <v>18.52</v>
      </c>
      <c r="NC31" s="1964"/>
      <c r="ND31" s="1964"/>
      <c r="NE31" s="1964"/>
      <c r="NF31" s="1964"/>
      <c r="NG31" s="1964"/>
      <c r="NJ31" s="989">
        <f t="shared" si="116"/>
        <v>0</v>
      </c>
      <c r="NK31" s="989">
        <f t="shared" si="117"/>
        <v>0</v>
      </c>
      <c r="NL31" s="989">
        <f t="shared" si="118"/>
        <v>0</v>
      </c>
      <c r="NM31" s="989">
        <f t="shared" si="119"/>
        <v>206148.08053828366</v>
      </c>
      <c r="NN31" s="989">
        <f t="shared" si="120"/>
        <v>4333566.9470993783</v>
      </c>
      <c r="NO31" s="989">
        <f t="shared" si="121"/>
        <v>1031854.7166402738</v>
      </c>
      <c r="NP31" s="989">
        <f t="shared" si="122"/>
        <v>0</v>
      </c>
      <c r="NQ31" s="989">
        <f t="shared" si="123"/>
        <v>0</v>
      </c>
      <c r="NR31" s="989">
        <f t="shared" si="124"/>
        <v>0</v>
      </c>
      <c r="NS31" s="989">
        <f t="shared" si="125"/>
        <v>0</v>
      </c>
      <c r="NT31" s="989">
        <f t="shared" si="126"/>
        <v>0</v>
      </c>
    </row>
    <row r="32" spans="1:384" ht="15" thickTop="1" thickBot="1">
      <c r="A32" s="1822">
        <v>31</v>
      </c>
      <c r="B32" s="1199"/>
      <c r="C32" s="1822">
        <v>2902173.0130470372</v>
      </c>
      <c r="D32" s="1199">
        <v>2377051.7991681416</v>
      </c>
      <c r="E32" s="20"/>
      <c r="F32" s="1843">
        <f t="shared" si="12"/>
        <v>5279224.8122151792</v>
      </c>
      <c r="G32" s="951">
        <v>0</v>
      </c>
      <c r="H32" s="806">
        <v>0</v>
      </c>
      <c r="I32" s="806">
        <v>0</v>
      </c>
      <c r="J32" s="806">
        <v>0</v>
      </c>
      <c r="K32" s="806">
        <v>1.9040928608269909</v>
      </c>
      <c r="L32" s="806">
        <v>26.308444124207746</v>
      </c>
      <c r="M32" s="806">
        <v>71.787463014965269</v>
      </c>
      <c r="N32" s="806">
        <v>0</v>
      </c>
      <c r="O32" s="806">
        <v>0</v>
      </c>
      <c r="P32" s="806">
        <v>0</v>
      </c>
      <c r="Q32" s="806"/>
      <c r="R32" s="806"/>
      <c r="S32" s="2"/>
      <c r="T32" s="114">
        <v>31</v>
      </c>
      <c r="U32" s="2">
        <f t="shared" si="127"/>
        <v>0</v>
      </c>
      <c r="V32" s="2">
        <f t="shared" si="13"/>
        <v>0</v>
      </c>
      <c r="W32" s="2">
        <f t="shared" si="14"/>
        <v>0</v>
      </c>
      <c r="X32" s="2">
        <f t="shared" si="15"/>
        <v>0</v>
      </c>
      <c r="Y32" s="2">
        <f t="shared" si="16"/>
        <v>100521.34275639635</v>
      </c>
      <c r="Z32" s="2">
        <f t="shared" si="17"/>
        <v>1388881.9099129417</v>
      </c>
      <c r="AA32" s="2">
        <f t="shared" si="18"/>
        <v>3789821.5595458411</v>
      </c>
      <c r="AB32" s="2">
        <f t="shared" si="19"/>
        <v>0</v>
      </c>
      <c r="AC32" s="2">
        <f t="shared" si="20"/>
        <v>0</v>
      </c>
      <c r="AD32" s="2">
        <f t="shared" si="21"/>
        <v>0</v>
      </c>
      <c r="AE32" s="2">
        <f t="shared" si="22"/>
        <v>0</v>
      </c>
      <c r="AF32" s="1844">
        <v>31</v>
      </c>
      <c r="AG32" s="1724">
        <f t="shared" si="23"/>
        <v>0</v>
      </c>
      <c r="AH32" s="1724">
        <f t="shared" si="24"/>
        <v>0</v>
      </c>
      <c r="AI32" s="1724">
        <f t="shared" si="25"/>
        <v>0</v>
      </c>
      <c r="AJ32" s="1724">
        <f t="shared" si="26"/>
        <v>0</v>
      </c>
      <c r="AK32" s="1724">
        <f t="shared" si="27"/>
        <v>3116161.625448287</v>
      </c>
      <c r="AL32" s="1724">
        <f t="shared" si="28"/>
        <v>43055339.207301192</v>
      </c>
      <c r="AM32" s="1724">
        <f t="shared" si="29"/>
        <v>117484468.34592107</v>
      </c>
      <c r="AN32" s="1724">
        <f t="shared" si="30"/>
        <v>0</v>
      </c>
      <c r="AO32" s="1724">
        <f t="shared" si="31"/>
        <v>0</v>
      </c>
      <c r="AP32" s="1724">
        <f t="shared" si="32"/>
        <v>0</v>
      </c>
      <c r="AR32" s="1822">
        <v>31</v>
      </c>
      <c r="AS32" s="1199"/>
      <c r="AT32" s="1">
        <v>8749539.8639769461</v>
      </c>
      <c r="AU32" s="1">
        <v>335437.33425335644</v>
      </c>
      <c r="AV32" s="20"/>
      <c r="AW32" s="1843">
        <f t="shared" si="33"/>
        <v>9084977.198230302</v>
      </c>
      <c r="AX32" s="546"/>
      <c r="AY32" s="547"/>
      <c r="AZ32" s="548"/>
      <c r="BA32" s="548"/>
      <c r="BB32" s="548"/>
      <c r="BC32" s="548">
        <v>40</v>
      </c>
      <c r="BD32" s="548">
        <v>60</v>
      </c>
      <c r="BE32" s="548"/>
      <c r="BF32" s="806"/>
      <c r="BG32" s="806"/>
      <c r="BH32" s="806"/>
      <c r="BI32" s="806"/>
      <c r="BJ32" s="2"/>
      <c r="BK32" s="114">
        <v>31</v>
      </c>
      <c r="BL32" s="2">
        <f t="shared" si="128"/>
        <v>0</v>
      </c>
      <c r="BM32" s="2">
        <f t="shared" si="129"/>
        <v>0</v>
      </c>
      <c r="BN32" s="2">
        <f t="shared" si="130"/>
        <v>0</v>
      </c>
      <c r="BO32" s="2">
        <f t="shared" si="131"/>
        <v>0</v>
      </c>
      <c r="BP32" s="2">
        <f t="shared" si="132"/>
        <v>0</v>
      </c>
      <c r="BQ32" s="2">
        <f t="shared" si="133"/>
        <v>3633990.8792921212</v>
      </c>
      <c r="BR32" s="2">
        <f t="shared" si="134"/>
        <v>5450986.3189381817</v>
      </c>
      <c r="BS32" s="2">
        <f t="shared" si="135"/>
        <v>0</v>
      </c>
      <c r="BT32" s="2">
        <f t="shared" si="136"/>
        <v>0</v>
      </c>
      <c r="BU32" s="2">
        <f t="shared" si="137"/>
        <v>0</v>
      </c>
      <c r="BV32" s="2">
        <f t="shared" si="138"/>
        <v>0</v>
      </c>
      <c r="BW32" s="1844">
        <v>31</v>
      </c>
      <c r="BX32" s="1724">
        <f t="shared" si="139"/>
        <v>0</v>
      </c>
      <c r="BY32" s="1724">
        <f t="shared" si="3"/>
        <v>0</v>
      </c>
      <c r="BZ32" s="1724">
        <f t="shared" si="4"/>
        <v>0</v>
      </c>
      <c r="CA32" s="1724">
        <f t="shared" si="5"/>
        <v>0</v>
      </c>
      <c r="CB32" s="1724">
        <f t="shared" si="6"/>
        <v>0</v>
      </c>
      <c r="CC32" s="1724">
        <f t="shared" si="7"/>
        <v>112653717.25805576</v>
      </c>
      <c r="CD32" s="1724">
        <f t="shared" si="8"/>
        <v>168980575.88708362</v>
      </c>
      <c r="CE32" s="1724">
        <f t="shared" si="9"/>
        <v>0</v>
      </c>
      <c r="CF32" s="1724">
        <f t="shared" si="10"/>
        <v>0</v>
      </c>
      <c r="CG32" s="1724">
        <f t="shared" si="11"/>
        <v>0</v>
      </c>
      <c r="CH32" s="75"/>
      <c r="CI32" s="1" t="s">
        <v>572</v>
      </c>
      <c r="CJ32" s="1">
        <v>62837372.964293242</v>
      </c>
      <c r="CK32" s="1">
        <f t="shared" ref="CK32:CK39" si="213">CJ32/1000</f>
        <v>62837.372964293245</v>
      </c>
      <c r="CM32" s="638"/>
      <c r="CN32" s="1847">
        <v>29</v>
      </c>
      <c r="CO32" s="1851"/>
      <c r="CP32" s="2">
        <v>1590696.4850688092</v>
      </c>
      <c r="CQ32" s="2">
        <v>6035353.2472163029</v>
      </c>
      <c r="CR32" s="646">
        <f t="shared" si="63"/>
        <v>7626049.7322851121</v>
      </c>
      <c r="CS32" s="1141"/>
      <c r="CT32" s="648"/>
      <c r="CU32" s="649"/>
      <c r="CV32" s="650"/>
      <c r="CW32" s="650"/>
      <c r="CX32" s="650"/>
      <c r="CY32" s="650"/>
      <c r="CZ32" s="650"/>
      <c r="DA32" s="650"/>
      <c r="DB32" s="808"/>
      <c r="DC32" s="808"/>
      <c r="DD32" s="808"/>
      <c r="DE32" s="808"/>
      <c r="DF32" s="451"/>
      <c r="DG32" s="647">
        <v>29</v>
      </c>
      <c r="DH32" s="557"/>
      <c r="DI32" s="558"/>
      <c r="DJ32" s="559"/>
      <c r="DK32" s="559"/>
      <c r="DL32" s="559">
        <v>37.5</v>
      </c>
      <c r="DM32" s="559">
        <v>56.25</v>
      </c>
      <c r="DN32" s="559">
        <v>6.25</v>
      </c>
      <c r="DO32" s="559"/>
      <c r="DP32" s="560"/>
      <c r="DQ32" s="560"/>
      <c r="DR32" s="560"/>
      <c r="DS32" s="1847">
        <v>29</v>
      </c>
      <c r="DT32" s="192">
        <f t="shared" si="190"/>
        <v>0</v>
      </c>
      <c r="DU32" s="192">
        <f t="shared" si="191"/>
        <v>0</v>
      </c>
      <c r="DV32" s="192">
        <f t="shared" si="192"/>
        <v>0</v>
      </c>
      <c r="DW32" s="192">
        <f t="shared" si="193"/>
        <v>0</v>
      </c>
      <c r="DX32" s="192">
        <f t="shared" si="194"/>
        <v>2859768.6496069171</v>
      </c>
      <c r="DY32" s="192">
        <f t="shared" si="195"/>
        <v>4289652.9744103756</v>
      </c>
      <c r="DZ32" s="192">
        <f t="shared" si="196"/>
        <v>476628.10826781951</v>
      </c>
      <c r="EA32" s="192">
        <f t="shared" si="197"/>
        <v>0</v>
      </c>
      <c r="EB32" s="192">
        <f t="shared" si="198"/>
        <v>0</v>
      </c>
      <c r="EC32" s="192">
        <f t="shared" si="199"/>
        <v>0</v>
      </c>
      <c r="ED32" s="192">
        <f t="shared" si="200"/>
        <v>0</v>
      </c>
      <c r="EE32" s="667">
        <f t="shared" si="46"/>
        <v>7626049.7322851121</v>
      </c>
      <c r="EH32" s="973">
        <v>30</v>
      </c>
      <c r="EI32" s="974"/>
      <c r="EJ32" s="974"/>
      <c r="EK32" s="974"/>
      <c r="EL32" s="974"/>
      <c r="EM32" s="974">
        <v>28.571428571428573</v>
      </c>
      <c r="EN32" s="974">
        <v>45.714285714285715</v>
      </c>
      <c r="EO32" s="974">
        <v>25.714285714285715</v>
      </c>
      <c r="EP32" s="974"/>
      <c r="EQ32" s="974"/>
      <c r="ER32" s="974"/>
      <c r="ES32" s="974"/>
      <c r="EX32" s="977">
        <v>100</v>
      </c>
      <c r="EY32" s="357">
        <v>2222041.3806983051</v>
      </c>
      <c r="EZ32" s="989">
        <f t="shared" si="64"/>
        <v>0</v>
      </c>
      <c r="FA32" s="989">
        <f t="shared" si="47"/>
        <v>0</v>
      </c>
      <c r="FB32" s="989">
        <f t="shared" si="48"/>
        <v>0</v>
      </c>
      <c r="FC32" s="989">
        <f t="shared" si="49"/>
        <v>0</v>
      </c>
      <c r="FD32" s="989">
        <f t="shared" si="50"/>
        <v>634868.96591380145</v>
      </c>
      <c r="FE32" s="989">
        <f t="shared" si="51"/>
        <v>1015790.3454620823</v>
      </c>
      <c r="FF32" s="989">
        <f t="shared" si="52"/>
        <v>571382.06932242133</v>
      </c>
      <c r="FG32" s="989">
        <f t="shared" si="53"/>
        <v>0</v>
      </c>
      <c r="FH32" s="989">
        <f t="shared" si="54"/>
        <v>0</v>
      </c>
      <c r="FI32" s="989">
        <f t="shared" si="55"/>
        <v>0</v>
      </c>
      <c r="FJ32" s="989">
        <f t="shared" si="56"/>
        <v>0</v>
      </c>
      <c r="FM32" s="1002">
        <v>30</v>
      </c>
      <c r="FN32" s="1003"/>
      <c r="FO32" s="1006"/>
      <c r="FP32" s="1006"/>
      <c r="FQ32" s="1006"/>
      <c r="FR32" s="1006">
        <v>30.76923076923077</v>
      </c>
      <c r="FS32" s="1006">
        <v>57.692307692307693</v>
      </c>
      <c r="FT32" s="1006">
        <v>11.538461538461538</v>
      </c>
      <c r="FU32" s="1006"/>
      <c r="FV32" s="1006"/>
      <c r="FW32" s="1006"/>
      <c r="FX32" s="1006"/>
      <c r="FY32" s="1006"/>
      <c r="FZ32" s="1006"/>
      <c r="GA32" s="1003"/>
      <c r="GB32" s="1004">
        <v>100</v>
      </c>
      <c r="GC32" s="1002">
        <v>30</v>
      </c>
      <c r="GD32" s="2">
        <v>8228897.2238466926</v>
      </c>
      <c r="GE32" s="989">
        <f t="shared" si="152"/>
        <v>0</v>
      </c>
      <c r="GF32" s="989">
        <f t="shared" si="153"/>
        <v>0</v>
      </c>
      <c r="GG32" s="989">
        <f t="shared" si="154"/>
        <v>0</v>
      </c>
      <c r="GH32" s="989">
        <f t="shared" si="155"/>
        <v>0</v>
      </c>
      <c r="GI32" s="989">
        <f t="shared" si="156"/>
        <v>2531968.3765682131</v>
      </c>
      <c r="GJ32" s="989">
        <f t="shared" si="157"/>
        <v>4747440.7060653996</v>
      </c>
      <c r="GK32" s="989">
        <f t="shared" si="158"/>
        <v>949488.1412130798</v>
      </c>
      <c r="GL32" s="989">
        <f t="shared" si="159"/>
        <v>0</v>
      </c>
      <c r="GM32" s="989">
        <f t="shared" si="160"/>
        <v>0</v>
      </c>
      <c r="GN32" s="989">
        <f t="shared" si="161"/>
        <v>0</v>
      </c>
      <c r="GO32" s="989">
        <f t="shared" si="162"/>
        <v>0</v>
      </c>
      <c r="GP32" s="989">
        <f t="shared" si="163"/>
        <v>0</v>
      </c>
      <c r="GQ32" s="989">
        <f t="shared" si="164"/>
        <v>0</v>
      </c>
      <c r="GR32" s="989">
        <f t="shared" si="165"/>
        <v>0</v>
      </c>
      <c r="GX32" s="1032">
        <v>30</v>
      </c>
      <c r="GY32" s="1">
        <v>11755220.512862876</v>
      </c>
      <c r="GZ32" s="1041"/>
      <c r="HA32" s="1039"/>
      <c r="HB32" s="1039"/>
      <c r="HC32" s="1039"/>
      <c r="HD32" s="1039">
        <v>16.666666666666668</v>
      </c>
      <c r="HE32" s="1039">
        <v>46.666666666666664</v>
      </c>
      <c r="HF32" s="1039">
        <v>36.666666666666664</v>
      </c>
      <c r="HG32" s="1039"/>
      <c r="HH32" s="1039"/>
      <c r="HI32" s="1039"/>
      <c r="HJ32" s="1039"/>
      <c r="HK32" s="1039"/>
      <c r="HL32" s="1039"/>
      <c r="HM32" s="1040">
        <f t="shared" si="189"/>
        <v>100</v>
      </c>
      <c r="HN32" s="989">
        <f t="shared" si="67"/>
        <v>0</v>
      </c>
      <c r="HO32" s="989">
        <f t="shared" si="68"/>
        <v>0</v>
      </c>
      <c r="HP32" s="989">
        <f t="shared" si="69"/>
        <v>0</v>
      </c>
      <c r="HQ32" s="989">
        <f t="shared" si="70"/>
        <v>0</v>
      </c>
      <c r="HR32" s="989">
        <f t="shared" si="71"/>
        <v>1959203.4188104793</v>
      </c>
      <c r="HS32" s="989">
        <f t="shared" si="72"/>
        <v>5485769.5726693412</v>
      </c>
      <c r="HT32" s="989">
        <f t="shared" si="73"/>
        <v>4310247.5213830546</v>
      </c>
      <c r="HU32" s="989">
        <f t="shared" si="74"/>
        <v>0</v>
      </c>
      <c r="HV32" s="989">
        <f t="shared" si="75"/>
        <v>0</v>
      </c>
      <c r="HW32" s="989">
        <f t="shared" si="76"/>
        <v>0</v>
      </c>
      <c r="HX32" s="989">
        <f t="shared" si="77"/>
        <v>0</v>
      </c>
      <c r="HY32" s="989">
        <f t="shared" si="78"/>
        <v>0</v>
      </c>
      <c r="HZ32" s="989">
        <f t="shared" si="79"/>
        <v>0</v>
      </c>
      <c r="IE32" s="2">
        <v>36660299.288130321</v>
      </c>
      <c r="IF32" s="1268">
        <v>25</v>
      </c>
      <c r="IG32" s="553"/>
      <c r="IH32" s="553"/>
      <c r="II32" s="553">
        <v>20</v>
      </c>
      <c r="IJ32" s="553">
        <v>60</v>
      </c>
      <c r="IK32" s="553">
        <v>20</v>
      </c>
      <c r="IL32" s="553"/>
      <c r="IM32" s="553"/>
      <c r="IN32" s="553"/>
      <c r="IO32" s="553"/>
      <c r="IP32" s="553"/>
      <c r="IQ32" s="553"/>
      <c r="IS32" s="1270">
        <v>25</v>
      </c>
      <c r="IT32" s="989">
        <f t="shared" si="201"/>
        <v>0</v>
      </c>
      <c r="IU32" s="989">
        <f t="shared" si="202"/>
        <v>0</v>
      </c>
      <c r="IV32" s="989">
        <f t="shared" si="203"/>
        <v>7332059.8576260637</v>
      </c>
      <c r="IW32" s="989">
        <f t="shared" si="204"/>
        <v>21996179.572878193</v>
      </c>
      <c r="IX32" s="989">
        <f t="shared" si="205"/>
        <v>7332059.8576260637</v>
      </c>
      <c r="IY32" s="989">
        <f t="shared" si="206"/>
        <v>0</v>
      </c>
      <c r="IZ32" s="989">
        <f t="shared" si="207"/>
        <v>0</v>
      </c>
      <c r="JA32" s="989">
        <f t="shared" si="208"/>
        <v>0</v>
      </c>
      <c r="JB32" s="989">
        <f t="shared" si="209"/>
        <v>0</v>
      </c>
      <c r="JC32" s="989">
        <f t="shared" si="210"/>
        <v>0</v>
      </c>
      <c r="JD32" s="989">
        <f t="shared" si="211"/>
        <v>0</v>
      </c>
      <c r="JE32" s="989">
        <f t="shared" si="212"/>
        <v>0</v>
      </c>
      <c r="JG32" s="1135">
        <v>1620085.3568881499</v>
      </c>
      <c r="JH32" s="1002">
        <v>25</v>
      </c>
      <c r="JI32" s="666"/>
      <c r="JJ32" s="1272"/>
      <c r="JK32" s="1272">
        <v>0</v>
      </c>
      <c r="JL32" s="1272">
        <v>85.714285714285708</v>
      </c>
      <c r="JM32" s="1272">
        <v>14.285714285714286</v>
      </c>
      <c r="JN32" s="1272"/>
      <c r="JO32" s="1272"/>
      <c r="JP32" s="1272"/>
      <c r="JQ32" s="1272"/>
      <c r="JR32" s="1272"/>
      <c r="JS32" s="1272"/>
      <c r="JT32" s="1273"/>
      <c r="JU32" s="1273"/>
      <c r="JW32" s="989">
        <f t="shared" si="103"/>
        <v>0</v>
      </c>
      <c r="JX32" s="989">
        <f t="shared" si="104"/>
        <v>0</v>
      </c>
      <c r="JY32" s="989">
        <f t="shared" si="92"/>
        <v>1388644.591618414</v>
      </c>
      <c r="JZ32" s="989">
        <f t="shared" si="93"/>
        <v>231440.76526973571</v>
      </c>
      <c r="KA32" s="989">
        <f t="shared" si="94"/>
        <v>0</v>
      </c>
      <c r="KB32" s="989">
        <f t="shared" si="95"/>
        <v>0</v>
      </c>
      <c r="KC32" s="989">
        <f t="shared" si="96"/>
        <v>0</v>
      </c>
      <c r="KD32" s="989">
        <f t="shared" si="97"/>
        <v>0</v>
      </c>
      <c r="KE32" s="989">
        <f t="shared" si="98"/>
        <v>0</v>
      </c>
      <c r="KF32" s="989">
        <f t="shared" si="99"/>
        <v>0</v>
      </c>
      <c r="KG32" s="989">
        <f t="shared" si="100"/>
        <v>0</v>
      </c>
      <c r="KJ32" s="192">
        <f t="shared" si="178"/>
        <v>0</v>
      </c>
      <c r="KK32" s="192">
        <f t="shared" si="179"/>
        <v>0</v>
      </c>
      <c r="KL32" s="192">
        <f t="shared" si="180"/>
        <v>8720704.4492444769</v>
      </c>
      <c r="KM32" s="192">
        <f t="shared" si="181"/>
        <v>22227620.338147927</v>
      </c>
      <c r="KN32" s="192">
        <f t="shared" si="182"/>
        <v>7332059.8576260637</v>
      </c>
      <c r="KO32" s="192">
        <f t="shared" si="183"/>
        <v>0</v>
      </c>
      <c r="KP32" s="192">
        <f t="shared" si="184"/>
        <v>0</v>
      </c>
      <c r="KQ32" s="192">
        <f t="shared" si="185"/>
        <v>0</v>
      </c>
      <c r="KR32" s="192">
        <f t="shared" si="186"/>
        <v>0</v>
      </c>
      <c r="KS32" s="192">
        <f t="shared" si="187"/>
        <v>0</v>
      </c>
      <c r="KT32" s="192">
        <f t="shared" si="188"/>
        <v>0</v>
      </c>
      <c r="KV32" s="1032">
        <v>30</v>
      </c>
      <c r="KW32" s="2">
        <v>10394028.914164634</v>
      </c>
      <c r="KX32" s="1">
        <v>0</v>
      </c>
      <c r="KY32" s="1">
        <v>0</v>
      </c>
      <c r="KZ32" s="1">
        <v>0</v>
      </c>
      <c r="LA32" s="1">
        <v>7.6923076923076925</v>
      </c>
      <c r="LB32" s="1">
        <v>69.230769230769226</v>
      </c>
      <c r="LC32" s="1">
        <v>23.076923076923077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J32" s="989">
        <f t="shared" si="141"/>
        <v>0</v>
      </c>
      <c r="LK32" s="989">
        <f t="shared" si="142"/>
        <v>0</v>
      </c>
      <c r="LL32" s="989">
        <f t="shared" si="143"/>
        <v>0</v>
      </c>
      <c r="LM32" s="989">
        <f t="shared" si="144"/>
        <v>799540.6857049719</v>
      </c>
      <c r="LN32" s="989">
        <f t="shared" si="145"/>
        <v>7195866.1713447459</v>
      </c>
      <c r="LO32" s="989">
        <f t="shared" si="146"/>
        <v>2398622.0571149155</v>
      </c>
      <c r="LP32" s="989">
        <f t="shared" si="147"/>
        <v>0</v>
      </c>
      <c r="LQ32" s="989">
        <f t="shared" si="148"/>
        <v>0</v>
      </c>
      <c r="LR32" s="989">
        <f t="shared" si="149"/>
        <v>0</v>
      </c>
      <c r="LS32" s="989">
        <f t="shared" si="150"/>
        <v>0</v>
      </c>
      <c r="LT32" s="989">
        <f t="shared" si="151"/>
        <v>0</v>
      </c>
      <c r="LV32" s="2">
        <v>6857897.9234455014</v>
      </c>
      <c r="LW32" s="1446">
        <v>0</v>
      </c>
      <c r="LX32" s="1446">
        <v>0</v>
      </c>
      <c r="LY32" s="1446">
        <v>0</v>
      </c>
      <c r="LZ32" s="1446">
        <v>18.2</v>
      </c>
      <c r="MA32" s="1446">
        <v>63.599999999999987</v>
      </c>
      <c r="MB32" s="1446">
        <v>18.2</v>
      </c>
      <c r="MC32" s="1446">
        <v>0</v>
      </c>
      <c r="MD32" s="1446">
        <v>0</v>
      </c>
      <c r="ME32" s="1446">
        <v>0</v>
      </c>
      <c r="MF32" s="1446">
        <v>0</v>
      </c>
      <c r="MH32" s="1">
        <f t="shared" si="166"/>
        <v>99.999999999999986</v>
      </c>
      <c r="MI32" s="989">
        <f t="shared" si="167"/>
        <v>0</v>
      </c>
      <c r="MJ32" s="989">
        <f t="shared" si="168"/>
        <v>0</v>
      </c>
      <c r="MK32" s="989">
        <f t="shared" si="169"/>
        <v>0</v>
      </c>
      <c r="ML32" s="989">
        <f t="shared" si="170"/>
        <v>1248137.4220670811</v>
      </c>
      <c r="MM32" s="989">
        <f t="shared" si="171"/>
        <v>4361623.0793113383</v>
      </c>
      <c r="MN32" s="989">
        <f t="shared" si="172"/>
        <v>1248137.4220670811</v>
      </c>
      <c r="MO32" s="989">
        <f t="shared" si="173"/>
        <v>0</v>
      </c>
      <c r="MP32" s="989">
        <f t="shared" si="174"/>
        <v>0</v>
      </c>
      <c r="MQ32" s="989">
        <f t="shared" si="175"/>
        <v>0</v>
      </c>
      <c r="MR32" s="989">
        <f t="shared" si="176"/>
        <v>0</v>
      </c>
      <c r="MS32" s="989">
        <f t="shared" si="177"/>
        <v>0</v>
      </c>
      <c r="MU32" s="1032">
        <v>30</v>
      </c>
      <c r="MV32" s="57">
        <v>8002013.3682482783</v>
      </c>
      <c r="MW32" s="1964"/>
      <c r="MX32" s="1964"/>
      <c r="MY32" s="1964"/>
      <c r="MZ32" s="1964"/>
      <c r="NA32" s="1964">
        <v>61.54</v>
      </c>
      <c r="NB32" s="1964">
        <v>38.46</v>
      </c>
      <c r="NC32" s="1964"/>
      <c r="ND32" s="1964"/>
      <c r="NE32" s="1964"/>
      <c r="NF32" s="1964"/>
      <c r="NG32" s="1964"/>
      <c r="NJ32" s="989">
        <f t="shared" si="116"/>
        <v>0</v>
      </c>
      <c r="NK32" s="989">
        <f t="shared" si="117"/>
        <v>0</v>
      </c>
      <c r="NL32" s="989">
        <f t="shared" si="118"/>
        <v>0</v>
      </c>
      <c r="NM32" s="989">
        <f t="shared" si="119"/>
        <v>0</v>
      </c>
      <c r="NN32" s="989">
        <f t="shared" si="120"/>
        <v>4924439.02681999</v>
      </c>
      <c r="NO32" s="989">
        <f t="shared" si="121"/>
        <v>3077574.3414282878</v>
      </c>
      <c r="NP32" s="989">
        <f t="shared" si="122"/>
        <v>0</v>
      </c>
      <c r="NQ32" s="989">
        <f t="shared" si="123"/>
        <v>0</v>
      </c>
      <c r="NR32" s="989">
        <f t="shared" si="124"/>
        <v>0</v>
      </c>
      <c r="NS32" s="989">
        <f t="shared" si="125"/>
        <v>0</v>
      </c>
      <c r="NT32" s="989">
        <f t="shared" si="126"/>
        <v>0</v>
      </c>
    </row>
    <row r="33" spans="1:384" ht="15" thickTop="1" thickBot="1">
      <c r="A33" s="1822">
        <v>32</v>
      </c>
      <c r="B33" s="1199"/>
      <c r="C33" s="1822">
        <v>5788638.3336279355</v>
      </c>
      <c r="D33" s="1199">
        <v>1235372.358151421</v>
      </c>
      <c r="E33" s="20"/>
      <c r="F33" s="1843">
        <f t="shared" si="12"/>
        <v>7024010.6917793564</v>
      </c>
      <c r="G33" s="951">
        <v>0</v>
      </c>
      <c r="H33" s="806">
        <v>0</v>
      </c>
      <c r="I33" s="806">
        <v>0</v>
      </c>
      <c r="J33" s="806">
        <v>0</v>
      </c>
      <c r="K33" s="806">
        <v>0</v>
      </c>
      <c r="L33" s="806">
        <v>10.939402834134365</v>
      </c>
      <c r="M33" s="806">
        <v>78.202361436606765</v>
      </c>
      <c r="N33" s="806">
        <v>10.858235729258872</v>
      </c>
      <c r="O33" s="806">
        <v>0</v>
      </c>
      <c r="P33" s="806">
        <v>0</v>
      </c>
      <c r="Q33" s="806"/>
      <c r="R33" s="806"/>
      <c r="S33" s="2"/>
      <c r="T33" s="114">
        <v>32</v>
      </c>
      <c r="U33" s="2">
        <f t="shared" si="127"/>
        <v>0</v>
      </c>
      <c r="V33" s="2">
        <f t="shared" si="13"/>
        <v>0</v>
      </c>
      <c r="W33" s="2">
        <f t="shared" si="14"/>
        <v>0</v>
      </c>
      <c r="X33" s="2">
        <f t="shared" si="15"/>
        <v>0</v>
      </c>
      <c r="Y33" s="2">
        <f t="shared" si="16"/>
        <v>0</v>
      </c>
      <c r="Z33" s="2">
        <f t="shared" si="17"/>
        <v>768384.82468641177</v>
      </c>
      <c r="AA33" s="2">
        <f t="shared" si="18"/>
        <v>5492942.2285311949</v>
      </c>
      <c r="AB33" s="2">
        <f t="shared" si="19"/>
        <v>762683.63856174937</v>
      </c>
      <c r="AC33" s="2">
        <f t="shared" si="20"/>
        <v>0</v>
      </c>
      <c r="AD33" s="2">
        <f t="shared" si="21"/>
        <v>0</v>
      </c>
      <c r="AE33" s="2">
        <f t="shared" si="22"/>
        <v>0</v>
      </c>
      <c r="AF33" s="1844">
        <v>32</v>
      </c>
      <c r="AG33" s="1724">
        <f t="shared" si="23"/>
        <v>0</v>
      </c>
      <c r="AH33" s="1724">
        <f t="shared" si="24"/>
        <v>0</v>
      </c>
      <c r="AI33" s="1724">
        <f t="shared" si="25"/>
        <v>0</v>
      </c>
      <c r="AJ33" s="1724">
        <f t="shared" si="26"/>
        <v>0</v>
      </c>
      <c r="AK33" s="1724">
        <f t="shared" si="27"/>
        <v>0</v>
      </c>
      <c r="AL33" s="1724">
        <f t="shared" si="28"/>
        <v>24588314.389965177</v>
      </c>
      <c r="AM33" s="1724">
        <f t="shared" si="29"/>
        <v>175774151.31299824</v>
      </c>
      <c r="AN33" s="1724">
        <f t="shared" si="30"/>
        <v>24405876.43397598</v>
      </c>
      <c r="AO33" s="1724">
        <f t="shared" si="31"/>
        <v>0</v>
      </c>
      <c r="AP33" s="1724">
        <f t="shared" si="32"/>
        <v>0</v>
      </c>
      <c r="AR33" s="1822">
        <v>32</v>
      </c>
      <c r="AS33" s="1199"/>
      <c r="AT33" s="1">
        <v>2848902.0175231732</v>
      </c>
      <c r="AU33" s="1">
        <v>392499.31157656288</v>
      </c>
      <c r="AV33" s="20"/>
      <c r="AW33" s="1843">
        <f t="shared" si="33"/>
        <v>3241401.3290997362</v>
      </c>
      <c r="AX33" s="807"/>
      <c r="AY33" s="953"/>
      <c r="AZ33" s="1849"/>
      <c r="BA33" s="1849"/>
      <c r="BB33" s="1849"/>
      <c r="BC33" s="1849"/>
      <c r="BD33" s="1849">
        <v>60</v>
      </c>
      <c r="BE33" s="1849">
        <v>40</v>
      </c>
      <c r="BF33" s="806"/>
      <c r="BG33" s="806"/>
      <c r="BH33" s="806"/>
      <c r="BI33" s="806"/>
      <c r="BJ33" s="2"/>
      <c r="BK33" s="114">
        <v>32</v>
      </c>
      <c r="BL33" s="2">
        <f t="shared" si="128"/>
        <v>0</v>
      </c>
      <c r="BM33" s="2">
        <f t="shared" si="129"/>
        <v>0</v>
      </c>
      <c r="BN33" s="2">
        <f t="shared" si="130"/>
        <v>0</v>
      </c>
      <c r="BO33" s="2">
        <f t="shared" si="131"/>
        <v>0</v>
      </c>
      <c r="BP33" s="2">
        <f t="shared" si="132"/>
        <v>0</v>
      </c>
      <c r="BQ33" s="2">
        <f t="shared" si="133"/>
        <v>0</v>
      </c>
      <c r="BR33" s="2">
        <f t="shared" si="134"/>
        <v>1944840.7974598417</v>
      </c>
      <c r="BS33" s="2">
        <f t="shared" si="135"/>
        <v>1296560.5316398945</v>
      </c>
      <c r="BT33" s="2">
        <f t="shared" si="136"/>
        <v>0</v>
      </c>
      <c r="BU33" s="2">
        <f t="shared" si="137"/>
        <v>0</v>
      </c>
      <c r="BV33" s="2">
        <f t="shared" si="138"/>
        <v>0</v>
      </c>
      <c r="BW33" s="1844">
        <v>32</v>
      </c>
      <c r="BX33" s="1724">
        <f t="shared" si="139"/>
        <v>0</v>
      </c>
      <c r="BY33" s="1724">
        <f t="shared" si="3"/>
        <v>0</v>
      </c>
      <c r="BZ33" s="1724">
        <f t="shared" si="4"/>
        <v>0</v>
      </c>
      <c r="CA33" s="1724">
        <f t="shared" si="5"/>
        <v>0</v>
      </c>
      <c r="CB33" s="1724">
        <f t="shared" si="6"/>
        <v>0</v>
      </c>
      <c r="CC33" s="1724">
        <f t="shared" si="7"/>
        <v>0</v>
      </c>
      <c r="CD33" s="1724">
        <f t="shared" si="8"/>
        <v>62234905.518714935</v>
      </c>
      <c r="CE33" s="1724">
        <f t="shared" si="9"/>
        <v>41489937.012476623</v>
      </c>
      <c r="CF33" s="1724">
        <f t="shared" si="10"/>
        <v>0</v>
      </c>
      <c r="CG33" s="1724">
        <f t="shared" si="11"/>
        <v>0</v>
      </c>
      <c r="CH33" s="75"/>
      <c r="CI33" s="1" t="s">
        <v>573</v>
      </c>
      <c r="CJ33" s="1">
        <v>70874118.151443094</v>
      </c>
      <c r="CK33" s="1">
        <f t="shared" si="213"/>
        <v>70874.118151443094</v>
      </c>
      <c r="CM33" s="638"/>
      <c r="CN33" s="1847">
        <v>30</v>
      </c>
      <c r="CO33" s="1851"/>
      <c r="CP33" s="2">
        <v>795822.23496163555</v>
      </c>
      <c r="CQ33" s="2">
        <v>3727788.1947611333</v>
      </c>
      <c r="CR33" s="646">
        <f t="shared" si="63"/>
        <v>4523610.4297227692</v>
      </c>
      <c r="CS33" s="1141"/>
      <c r="CT33" s="809"/>
      <c r="CU33" s="954"/>
      <c r="CV33" s="1850"/>
      <c r="CW33" s="1850"/>
      <c r="CX33" s="1850"/>
      <c r="CY33" s="1850"/>
      <c r="CZ33" s="1850"/>
      <c r="DA33" s="1850"/>
      <c r="DB33" s="808"/>
      <c r="DC33" s="808"/>
      <c r="DD33" s="808"/>
      <c r="DE33" s="808"/>
      <c r="DF33" s="451"/>
      <c r="DG33" s="647">
        <v>30</v>
      </c>
      <c r="DH33" s="666"/>
      <c r="DI33" s="955"/>
      <c r="DJ33" s="1852"/>
      <c r="DK33" s="1852"/>
      <c r="DL33" s="1852">
        <v>8.3333333333333339</v>
      </c>
      <c r="DM33" s="1852">
        <v>66.666666666666671</v>
      </c>
      <c r="DN33" s="1852">
        <v>25</v>
      </c>
      <c r="DO33" s="1852"/>
      <c r="DP33" s="1456"/>
      <c r="DQ33" s="1456"/>
      <c r="DR33" s="1456"/>
      <c r="DS33" s="1847">
        <v>30</v>
      </c>
      <c r="DT33" s="192">
        <f t="shared" si="190"/>
        <v>0</v>
      </c>
      <c r="DU33" s="192">
        <f t="shared" si="191"/>
        <v>0</v>
      </c>
      <c r="DV33" s="192">
        <f t="shared" si="192"/>
        <v>0</v>
      </c>
      <c r="DW33" s="192">
        <f t="shared" si="193"/>
        <v>0</v>
      </c>
      <c r="DX33" s="192">
        <f t="shared" si="194"/>
        <v>376967.53581023082</v>
      </c>
      <c r="DY33" s="192">
        <f t="shared" si="195"/>
        <v>3015740.2864818466</v>
      </c>
      <c r="DZ33" s="192">
        <f t="shared" si="196"/>
        <v>1130902.6074306923</v>
      </c>
      <c r="EA33" s="192">
        <f t="shared" si="197"/>
        <v>0</v>
      </c>
      <c r="EB33" s="192">
        <f t="shared" si="198"/>
        <v>0</v>
      </c>
      <c r="EC33" s="192">
        <f t="shared" si="199"/>
        <v>0</v>
      </c>
      <c r="ED33" s="192">
        <f t="shared" si="200"/>
        <v>0</v>
      </c>
      <c r="EE33" s="667">
        <f t="shared" si="46"/>
        <v>4523610.4297227692</v>
      </c>
      <c r="EG33" s="1">
        <v>0</v>
      </c>
      <c r="EH33" s="978">
        <v>31</v>
      </c>
      <c r="EI33" s="974"/>
      <c r="EJ33" s="974"/>
      <c r="EK33" s="974"/>
      <c r="EL33" s="974"/>
      <c r="EM33" s="974">
        <v>10</v>
      </c>
      <c r="EN33" s="974">
        <v>45</v>
      </c>
      <c r="EO33" s="974">
        <v>45</v>
      </c>
      <c r="EP33" s="974"/>
      <c r="EQ33" s="974"/>
      <c r="ER33" s="974"/>
      <c r="ES33" s="974"/>
      <c r="EX33" s="975">
        <v>100</v>
      </c>
      <c r="EY33" s="357">
        <v>2683913.6741100489</v>
      </c>
      <c r="EZ33" s="989">
        <f t="shared" si="64"/>
        <v>0</v>
      </c>
      <c r="FA33" s="989">
        <f t="shared" si="47"/>
        <v>0</v>
      </c>
      <c r="FB33" s="989">
        <f t="shared" si="48"/>
        <v>0</v>
      </c>
      <c r="FC33" s="989">
        <f t="shared" si="49"/>
        <v>0</v>
      </c>
      <c r="FD33" s="989">
        <f t="shared" si="50"/>
        <v>268391.3674110049</v>
      </c>
      <c r="FE33" s="989">
        <f t="shared" si="51"/>
        <v>1207761.153349522</v>
      </c>
      <c r="FF33" s="989">
        <f t="shared" si="52"/>
        <v>1207761.153349522</v>
      </c>
      <c r="FG33" s="989">
        <f t="shared" si="53"/>
        <v>0</v>
      </c>
      <c r="FH33" s="989">
        <f t="shared" si="54"/>
        <v>0</v>
      </c>
      <c r="FI33" s="989">
        <f t="shared" si="55"/>
        <v>0</v>
      </c>
      <c r="FJ33" s="989">
        <f t="shared" si="56"/>
        <v>0</v>
      </c>
      <c r="FM33" s="1002">
        <v>31</v>
      </c>
      <c r="FN33" s="1003"/>
      <c r="FO33" s="1006"/>
      <c r="FP33" s="1006"/>
      <c r="FQ33" s="1006"/>
      <c r="FR33" s="1006">
        <v>10</v>
      </c>
      <c r="FS33" s="1006">
        <v>60</v>
      </c>
      <c r="FT33" s="1006">
        <v>20</v>
      </c>
      <c r="FU33" s="1006">
        <v>10</v>
      </c>
      <c r="FV33" s="1006"/>
      <c r="FW33" s="1006"/>
      <c r="FX33" s="1006"/>
      <c r="FY33" s="1006"/>
      <c r="FZ33" s="1006"/>
      <c r="GA33" s="1003"/>
      <c r="GB33" s="1004">
        <v>100</v>
      </c>
      <c r="GC33" s="1002">
        <v>31</v>
      </c>
      <c r="GD33" s="2">
        <v>7797402.0370738078</v>
      </c>
      <c r="GE33" s="989">
        <f t="shared" si="152"/>
        <v>0</v>
      </c>
      <c r="GF33" s="989">
        <f t="shared" si="153"/>
        <v>0</v>
      </c>
      <c r="GG33" s="989">
        <f t="shared" si="154"/>
        <v>0</v>
      </c>
      <c r="GH33" s="989">
        <f t="shared" si="155"/>
        <v>0</v>
      </c>
      <c r="GI33" s="989">
        <f t="shared" si="156"/>
        <v>779740.20370738069</v>
      </c>
      <c r="GJ33" s="989">
        <f t="shared" si="157"/>
        <v>4678441.222244285</v>
      </c>
      <c r="GK33" s="989">
        <f t="shared" si="158"/>
        <v>1559480.4074147614</v>
      </c>
      <c r="GL33" s="989">
        <f t="shared" si="159"/>
        <v>779740.20370738069</v>
      </c>
      <c r="GM33" s="989">
        <f t="shared" si="160"/>
        <v>0</v>
      </c>
      <c r="GN33" s="989">
        <f t="shared" si="161"/>
        <v>0</v>
      </c>
      <c r="GO33" s="989">
        <f t="shared" si="162"/>
        <v>0</v>
      </c>
      <c r="GP33" s="989">
        <f t="shared" si="163"/>
        <v>0</v>
      </c>
      <c r="GQ33" s="989">
        <f t="shared" si="164"/>
        <v>0</v>
      </c>
      <c r="GR33" s="989">
        <f t="shared" si="165"/>
        <v>0</v>
      </c>
      <c r="GX33" s="1034">
        <v>31</v>
      </c>
      <c r="GY33" s="1">
        <v>9468636.9694494456</v>
      </c>
      <c r="GZ33" s="1041"/>
      <c r="HA33" s="1039"/>
      <c r="HB33" s="1039"/>
      <c r="HC33" s="1039"/>
      <c r="HD33" s="1039">
        <v>0</v>
      </c>
      <c r="HE33" s="1039">
        <v>40</v>
      </c>
      <c r="HF33" s="1039">
        <v>56</v>
      </c>
      <c r="HG33" s="1039">
        <v>4</v>
      </c>
      <c r="HH33" s="1039"/>
      <c r="HI33" s="1039"/>
      <c r="HJ33" s="1039"/>
      <c r="HK33" s="1039"/>
      <c r="HL33" s="1039"/>
      <c r="HM33" s="1040">
        <f t="shared" si="189"/>
        <v>100</v>
      </c>
      <c r="HN33" s="989">
        <f t="shared" si="67"/>
        <v>0</v>
      </c>
      <c r="HO33" s="989">
        <f t="shared" si="68"/>
        <v>0</v>
      </c>
      <c r="HP33" s="989">
        <f t="shared" si="69"/>
        <v>0</v>
      </c>
      <c r="HQ33" s="989">
        <f t="shared" si="70"/>
        <v>0</v>
      </c>
      <c r="HR33" s="989">
        <f t="shared" si="71"/>
        <v>0</v>
      </c>
      <c r="HS33" s="989">
        <f t="shared" si="72"/>
        <v>3787454.7877797782</v>
      </c>
      <c r="HT33" s="989">
        <f t="shared" si="73"/>
        <v>5302436.7028916897</v>
      </c>
      <c r="HU33" s="989">
        <f t="shared" si="74"/>
        <v>378745.47877797781</v>
      </c>
      <c r="HV33" s="989">
        <f t="shared" si="75"/>
        <v>0</v>
      </c>
      <c r="HW33" s="989">
        <f t="shared" si="76"/>
        <v>0</v>
      </c>
      <c r="HX33" s="989">
        <f t="shared" si="77"/>
        <v>0</v>
      </c>
      <c r="HY33" s="989">
        <f t="shared" si="78"/>
        <v>0</v>
      </c>
      <c r="HZ33" s="989">
        <f t="shared" si="79"/>
        <v>0</v>
      </c>
      <c r="IE33" s="2">
        <v>23053645.339284211</v>
      </c>
      <c r="IF33" s="1002">
        <v>26</v>
      </c>
      <c r="IG33" s="553"/>
      <c r="IH33" s="553"/>
      <c r="II33" s="553">
        <v>4.3478260869565215</v>
      </c>
      <c r="IJ33" s="553">
        <v>52.173913043478258</v>
      </c>
      <c r="IK33" s="553">
        <v>41.304347826086953</v>
      </c>
      <c r="IL33" s="553">
        <v>2.1739130434782608</v>
      </c>
      <c r="IM33" s="553"/>
      <c r="IN33" s="553"/>
      <c r="IO33" s="553"/>
      <c r="IP33" s="553"/>
      <c r="IQ33" s="553"/>
      <c r="IS33" s="1270">
        <v>26</v>
      </c>
      <c r="IT33" s="989">
        <f t="shared" si="201"/>
        <v>0</v>
      </c>
      <c r="IU33" s="989">
        <f t="shared" si="202"/>
        <v>0</v>
      </c>
      <c r="IV33" s="989">
        <f t="shared" si="203"/>
        <v>1002332.4060558352</v>
      </c>
      <c r="IW33" s="989">
        <f t="shared" si="204"/>
        <v>12027988.872670023</v>
      </c>
      <c r="IX33" s="989">
        <f t="shared" si="205"/>
        <v>9522157.8575304337</v>
      </c>
      <c r="IY33" s="989">
        <f t="shared" si="206"/>
        <v>501166.2030279176</v>
      </c>
      <c r="IZ33" s="989">
        <f t="shared" si="207"/>
        <v>0</v>
      </c>
      <c r="JA33" s="989">
        <f t="shared" si="208"/>
        <v>0</v>
      </c>
      <c r="JB33" s="989">
        <f t="shared" si="209"/>
        <v>0</v>
      </c>
      <c r="JC33" s="989">
        <f t="shared" si="210"/>
        <v>0</v>
      </c>
      <c r="JD33" s="989">
        <f t="shared" si="211"/>
        <v>0</v>
      </c>
      <c r="JE33" s="989">
        <f t="shared" si="212"/>
        <v>0</v>
      </c>
      <c r="JG33" s="1135">
        <v>1232906.6143244156</v>
      </c>
      <c r="JH33" s="1005">
        <v>26</v>
      </c>
      <c r="JI33" s="553"/>
      <c r="JJ33" s="1272"/>
      <c r="JK33" s="1272">
        <v>16.666666666666668</v>
      </c>
      <c r="JL33" s="1272">
        <v>33.333333333333336</v>
      </c>
      <c r="JM33" s="1272">
        <v>50</v>
      </c>
      <c r="JN33" s="1272"/>
      <c r="JO33" s="1272"/>
      <c r="JP33" s="1272"/>
      <c r="JQ33" s="1272"/>
      <c r="JR33" s="1272"/>
      <c r="JS33" s="1272"/>
      <c r="JT33" s="1273"/>
      <c r="JU33" s="1273"/>
      <c r="JW33" s="989">
        <f t="shared" si="103"/>
        <v>0</v>
      </c>
      <c r="JX33" s="989">
        <f t="shared" si="104"/>
        <v>205484.43572073593</v>
      </c>
      <c r="JY33" s="989">
        <f t="shared" si="92"/>
        <v>410968.87144147186</v>
      </c>
      <c r="JZ33" s="989">
        <f t="shared" si="93"/>
        <v>616453.30716220778</v>
      </c>
      <c r="KA33" s="989">
        <f t="shared" si="94"/>
        <v>0</v>
      </c>
      <c r="KB33" s="989">
        <f t="shared" si="95"/>
        <v>0</v>
      </c>
      <c r="KC33" s="989">
        <f t="shared" si="96"/>
        <v>0</v>
      </c>
      <c r="KD33" s="989">
        <f t="shared" si="97"/>
        <v>0</v>
      </c>
      <c r="KE33" s="989">
        <f t="shared" si="98"/>
        <v>0</v>
      </c>
      <c r="KF33" s="989">
        <f t="shared" si="99"/>
        <v>0</v>
      </c>
      <c r="KG33" s="989">
        <f t="shared" si="100"/>
        <v>0</v>
      </c>
      <c r="KJ33" s="192">
        <f t="shared" si="178"/>
        <v>0</v>
      </c>
      <c r="KK33" s="192">
        <f t="shared" si="179"/>
        <v>205484.43572073593</v>
      </c>
      <c r="KL33" s="192">
        <f t="shared" si="180"/>
        <v>1413301.2774973069</v>
      </c>
      <c r="KM33" s="192">
        <f t="shared" si="181"/>
        <v>12644442.179832231</v>
      </c>
      <c r="KN33" s="192">
        <f t="shared" si="182"/>
        <v>9522157.8575304337</v>
      </c>
      <c r="KO33" s="192">
        <f t="shared" si="183"/>
        <v>501166.2030279176</v>
      </c>
      <c r="KP33" s="192">
        <f t="shared" si="184"/>
        <v>0</v>
      </c>
      <c r="KQ33" s="192">
        <f t="shared" si="185"/>
        <v>0</v>
      </c>
      <c r="KR33" s="192">
        <f t="shared" si="186"/>
        <v>0</v>
      </c>
      <c r="KS33" s="192">
        <f t="shared" si="187"/>
        <v>0</v>
      </c>
      <c r="KT33" s="192">
        <f t="shared" si="188"/>
        <v>0</v>
      </c>
      <c r="KV33" s="1034">
        <v>31</v>
      </c>
      <c r="KW33" s="2">
        <v>10203223.001594778</v>
      </c>
      <c r="KX33" s="1">
        <v>0</v>
      </c>
      <c r="KY33" s="1">
        <v>0</v>
      </c>
      <c r="KZ33" s="1">
        <v>0</v>
      </c>
      <c r="LA33" s="1">
        <v>0</v>
      </c>
      <c r="LB33" s="1">
        <v>47.826086956521742</v>
      </c>
      <c r="LC33" s="1">
        <v>34.782608695652172</v>
      </c>
      <c r="LD33" s="1">
        <v>17.391304347826086</v>
      </c>
      <c r="LE33" s="1">
        <v>0</v>
      </c>
      <c r="LF33" s="1">
        <v>0</v>
      </c>
      <c r="LG33" s="1">
        <v>0</v>
      </c>
      <c r="LH33" s="1">
        <v>0</v>
      </c>
      <c r="LJ33" s="989">
        <f t="shared" si="141"/>
        <v>0</v>
      </c>
      <c r="LK33" s="989">
        <f t="shared" si="142"/>
        <v>0</v>
      </c>
      <c r="LL33" s="989">
        <f t="shared" si="143"/>
        <v>0</v>
      </c>
      <c r="LM33" s="989">
        <f t="shared" si="144"/>
        <v>0</v>
      </c>
      <c r="LN33" s="989">
        <f t="shared" si="145"/>
        <v>4879802.3051105468</v>
      </c>
      <c r="LO33" s="989">
        <f t="shared" si="146"/>
        <v>3548947.1309894877</v>
      </c>
      <c r="LP33" s="989">
        <f t="shared" si="147"/>
        <v>1774473.5654947439</v>
      </c>
      <c r="LQ33" s="989">
        <f t="shared" si="148"/>
        <v>0</v>
      </c>
      <c r="LR33" s="989">
        <f t="shared" si="149"/>
        <v>0</v>
      </c>
      <c r="LS33" s="989">
        <f t="shared" si="150"/>
        <v>0</v>
      </c>
      <c r="LT33" s="989">
        <f t="shared" si="151"/>
        <v>0</v>
      </c>
      <c r="LV33" s="2">
        <v>6665331.6742824167</v>
      </c>
      <c r="LW33" s="1446">
        <v>0</v>
      </c>
      <c r="LX33" s="1446">
        <v>0</v>
      </c>
      <c r="LY33" s="1446">
        <v>0</v>
      </c>
      <c r="LZ33" s="1446">
        <v>0</v>
      </c>
      <c r="MA33" s="1446">
        <v>81.800000000000011</v>
      </c>
      <c r="MB33" s="1446">
        <v>18.2</v>
      </c>
      <c r="MC33" s="1446">
        <v>0</v>
      </c>
      <c r="MD33" s="1446">
        <v>0</v>
      </c>
      <c r="ME33" s="1446">
        <v>0</v>
      </c>
      <c r="MF33" s="1446">
        <v>0</v>
      </c>
      <c r="MH33" s="1">
        <f t="shared" si="166"/>
        <v>100.00000000000001</v>
      </c>
      <c r="MI33" s="989">
        <f t="shared" si="167"/>
        <v>0</v>
      </c>
      <c r="MJ33" s="989">
        <f t="shared" si="168"/>
        <v>0</v>
      </c>
      <c r="MK33" s="989">
        <f t="shared" si="169"/>
        <v>0</v>
      </c>
      <c r="ML33" s="989">
        <f t="shared" si="170"/>
        <v>0</v>
      </c>
      <c r="MM33" s="989">
        <f t="shared" si="171"/>
        <v>5452241.3095630184</v>
      </c>
      <c r="MN33" s="989">
        <f t="shared" si="172"/>
        <v>1213090.3647193997</v>
      </c>
      <c r="MO33" s="989">
        <f t="shared" si="173"/>
        <v>0</v>
      </c>
      <c r="MP33" s="989">
        <f t="shared" si="174"/>
        <v>0</v>
      </c>
      <c r="MQ33" s="989">
        <f t="shared" si="175"/>
        <v>0</v>
      </c>
      <c r="MR33" s="989">
        <f t="shared" si="176"/>
        <v>0</v>
      </c>
      <c r="MS33" s="989">
        <f t="shared" si="177"/>
        <v>0</v>
      </c>
      <c r="MU33" s="1034">
        <v>31</v>
      </c>
      <c r="MV33" s="57">
        <v>7459010.9240828101</v>
      </c>
      <c r="MW33" s="1964"/>
      <c r="MX33" s="1964"/>
      <c r="MY33" s="1964"/>
      <c r="MZ33" s="1964"/>
      <c r="NA33" s="1964">
        <v>38.46</v>
      </c>
      <c r="NB33" s="1964">
        <v>61.54</v>
      </c>
      <c r="NC33" s="1964"/>
      <c r="ND33" s="1964"/>
      <c r="NE33" s="1964"/>
      <c r="NF33" s="1964"/>
      <c r="NG33" s="1964"/>
      <c r="NJ33" s="989">
        <f t="shared" si="116"/>
        <v>0</v>
      </c>
      <c r="NK33" s="989">
        <f t="shared" si="117"/>
        <v>0</v>
      </c>
      <c r="NL33" s="989">
        <f t="shared" si="118"/>
        <v>0</v>
      </c>
      <c r="NM33" s="989">
        <f t="shared" si="119"/>
        <v>0</v>
      </c>
      <c r="NN33" s="989">
        <f t="shared" si="120"/>
        <v>2868735.6014022487</v>
      </c>
      <c r="NO33" s="989">
        <f t="shared" si="121"/>
        <v>4590275.3226805618</v>
      </c>
      <c r="NP33" s="989">
        <f t="shared" si="122"/>
        <v>0</v>
      </c>
      <c r="NQ33" s="989">
        <f t="shared" si="123"/>
        <v>0</v>
      </c>
      <c r="NR33" s="989">
        <f t="shared" si="124"/>
        <v>0</v>
      </c>
      <c r="NS33" s="989">
        <f t="shared" si="125"/>
        <v>0</v>
      </c>
      <c r="NT33" s="989">
        <f t="shared" si="126"/>
        <v>0</v>
      </c>
    </row>
    <row r="34" spans="1:384" ht="15" thickTop="1" thickBot="1">
      <c r="A34" s="1822">
        <v>33</v>
      </c>
      <c r="B34" s="1199"/>
      <c r="C34" s="1822">
        <v>13467240.176623985</v>
      </c>
      <c r="D34" s="1199">
        <v>395392.75875925343</v>
      </c>
      <c r="E34" s="20"/>
      <c r="F34" s="1843">
        <f t="shared" si="12"/>
        <v>13862632.935383238</v>
      </c>
      <c r="G34" s="951">
        <v>0</v>
      </c>
      <c r="H34" s="806">
        <v>0</v>
      </c>
      <c r="I34" s="806">
        <v>0</v>
      </c>
      <c r="J34" s="806">
        <v>0</v>
      </c>
      <c r="K34" s="806">
        <v>0</v>
      </c>
      <c r="L34" s="806">
        <v>4.9476741016262062</v>
      </c>
      <c r="M34" s="806">
        <v>58.320600522911967</v>
      </c>
      <c r="N34" s="806">
        <v>33.303154310829633</v>
      </c>
      <c r="O34" s="806">
        <v>3.4285710646321936</v>
      </c>
      <c r="P34" s="806">
        <v>0</v>
      </c>
      <c r="Q34" s="806"/>
      <c r="R34" s="806"/>
      <c r="S34" s="2"/>
      <c r="T34" s="114">
        <v>33</v>
      </c>
      <c r="U34" s="2">
        <f t="shared" si="127"/>
        <v>0</v>
      </c>
      <c r="V34" s="2">
        <f t="shared" si="13"/>
        <v>0</v>
      </c>
      <c r="W34" s="2">
        <f t="shared" si="14"/>
        <v>0</v>
      </c>
      <c r="X34" s="2">
        <f t="shared" si="15"/>
        <v>0</v>
      </c>
      <c r="Y34" s="2">
        <f t="shared" si="16"/>
        <v>0</v>
      </c>
      <c r="Z34" s="2">
        <f t="shared" si="17"/>
        <v>685877.8995474613</v>
      </c>
      <c r="AA34" s="2">
        <f t="shared" si="18"/>
        <v>8084770.7762024831</v>
      </c>
      <c r="AB34" s="2">
        <f t="shared" si="19"/>
        <v>4616694.0380145712</v>
      </c>
      <c r="AC34" s="2">
        <f t="shared" si="20"/>
        <v>475290.22161872225</v>
      </c>
      <c r="AD34" s="2">
        <f t="shared" si="21"/>
        <v>0</v>
      </c>
      <c r="AE34" s="2">
        <f t="shared" si="22"/>
        <v>0</v>
      </c>
      <c r="AF34" s="1844">
        <v>33</v>
      </c>
      <c r="AG34" s="1724">
        <f t="shared" si="23"/>
        <v>0</v>
      </c>
      <c r="AH34" s="1724">
        <f t="shared" si="24"/>
        <v>0</v>
      </c>
      <c r="AI34" s="1724">
        <f t="shared" si="25"/>
        <v>0</v>
      </c>
      <c r="AJ34" s="1724">
        <f t="shared" si="26"/>
        <v>0</v>
      </c>
      <c r="AK34" s="1724">
        <f t="shared" si="27"/>
        <v>0</v>
      </c>
      <c r="AL34" s="1724">
        <f t="shared" si="28"/>
        <v>22633970.685066223</v>
      </c>
      <c r="AM34" s="1724">
        <f t="shared" si="29"/>
        <v>266797435.61468193</v>
      </c>
      <c r="AN34" s="1724">
        <f t="shared" si="30"/>
        <v>152350903.25448084</v>
      </c>
      <c r="AO34" s="1724">
        <f t="shared" si="31"/>
        <v>15684577.313417835</v>
      </c>
      <c r="AP34" s="1724">
        <f t="shared" si="32"/>
        <v>0</v>
      </c>
      <c r="AR34" s="1822">
        <v>33</v>
      </c>
      <c r="AS34" s="1199"/>
      <c r="AT34" s="1">
        <v>4182240.600894066</v>
      </c>
      <c r="AU34" s="1">
        <v>511758.10086868284</v>
      </c>
      <c r="AV34" s="20"/>
      <c r="AW34" s="1843">
        <f t="shared" si="33"/>
        <v>4693998.7017627489</v>
      </c>
      <c r="AX34" s="807"/>
      <c r="AY34" s="953"/>
      <c r="AZ34" s="1849"/>
      <c r="BA34" s="1849"/>
      <c r="BB34" s="1849"/>
      <c r="BC34" s="1849"/>
      <c r="BD34" s="1849"/>
      <c r="BE34" s="1849">
        <v>70</v>
      </c>
      <c r="BF34" s="806">
        <v>30</v>
      </c>
      <c r="BG34" s="806"/>
      <c r="BH34" s="806"/>
      <c r="BI34" s="806"/>
      <c r="BJ34" s="2"/>
      <c r="BK34" s="114">
        <v>33</v>
      </c>
      <c r="BL34" s="2">
        <f t="shared" si="128"/>
        <v>0</v>
      </c>
      <c r="BM34" s="2">
        <f t="shared" si="129"/>
        <v>0</v>
      </c>
      <c r="BN34" s="2">
        <f t="shared" si="130"/>
        <v>0</v>
      </c>
      <c r="BO34" s="2">
        <f t="shared" si="131"/>
        <v>0</v>
      </c>
      <c r="BP34" s="2">
        <f t="shared" si="132"/>
        <v>0</v>
      </c>
      <c r="BQ34" s="2">
        <f t="shared" si="133"/>
        <v>0</v>
      </c>
      <c r="BR34" s="2">
        <f t="shared" si="134"/>
        <v>0</v>
      </c>
      <c r="BS34" s="2">
        <f t="shared" si="135"/>
        <v>3285799.091233924</v>
      </c>
      <c r="BT34" s="2">
        <f t="shared" si="136"/>
        <v>1408199.6105288246</v>
      </c>
      <c r="BU34" s="2">
        <f t="shared" si="137"/>
        <v>0</v>
      </c>
      <c r="BV34" s="2">
        <f t="shared" si="138"/>
        <v>0</v>
      </c>
      <c r="BW34" s="1844">
        <v>33</v>
      </c>
      <c r="BX34" s="1724">
        <f t="shared" si="139"/>
        <v>0</v>
      </c>
      <c r="BY34" s="1724">
        <f t="shared" si="3"/>
        <v>0</v>
      </c>
      <c r="BZ34" s="1724">
        <f t="shared" si="4"/>
        <v>0</v>
      </c>
      <c r="CA34" s="1724">
        <f t="shared" si="5"/>
        <v>0</v>
      </c>
      <c r="CB34" s="1724">
        <f t="shared" si="6"/>
        <v>0</v>
      </c>
      <c r="CC34" s="1724">
        <f t="shared" si="7"/>
        <v>0</v>
      </c>
      <c r="CD34" s="1724">
        <f t="shared" si="8"/>
        <v>0</v>
      </c>
      <c r="CE34" s="1724">
        <f t="shared" si="9"/>
        <v>108431370.01071949</v>
      </c>
      <c r="CF34" s="1724">
        <f t="shared" si="10"/>
        <v>46470587.147451214</v>
      </c>
      <c r="CG34" s="1724">
        <f t="shared" si="11"/>
        <v>0</v>
      </c>
      <c r="CH34" s="75"/>
      <c r="CI34" s="1" t="s">
        <v>574</v>
      </c>
      <c r="CJ34" s="1">
        <v>48139196.316274494</v>
      </c>
      <c r="CK34" s="1">
        <f t="shared" si="213"/>
        <v>48139.196316274494</v>
      </c>
      <c r="CM34" s="638"/>
      <c r="CN34" s="1847">
        <v>31</v>
      </c>
      <c r="CO34" s="1851"/>
      <c r="CP34" s="2">
        <v>944985.60941938288</v>
      </c>
      <c r="CQ34" s="2">
        <v>2280413.8523757895</v>
      </c>
      <c r="CR34" s="646">
        <f t="shared" si="63"/>
        <v>3225399.4617951727</v>
      </c>
      <c r="CS34" s="1141"/>
      <c r="CT34" s="648"/>
      <c r="CU34" s="649"/>
      <c r="CV34" s="650"/>
      <c r="CW34" s="650"/>
      <c r="CX34" s="650"/>
      <c r="CY34" s="650"/>
      <c r="CZ34" s="650"/>
      <c r="DA34" s="650"/>
      <c r="DB34" s="808"/>
      <c r="DC34" s="808"/>
      <c r="DD34" s="808"/>
      <c r="DE34" s="808"/>
      <c r="DF34" s="451"/>
      <c r="DG34" s="647">
        <v>31</v>
      </c>
      <c r="DH34" s="666"/>
      <c r="DI34" s="955"/>
      <c r="DJ34" s="1852"/>
      <c r="DK34" s="1852"/>
      <c r="DL34" s="1852"/>
      <c r="DM34" s="1852">
        <v>66.666666666666671</v>
      </c>
      <c r="DN34" s="1852">
        <v>33.333333333333336</v>
      </c>
      <c r="DO34" s="1852"/>
      <c r="DP34" s="1456"/>
      <c r="DQ34" s="1456"/>
      <c r="DR34" s="1456"/>
      <c r="DS34" s="1847">
        <v>31</v>
      </c>
      <c r="DT34" s="192">
        <f t="shared" si="190"/>
        <v>0</v>
      </c>
      <c r="DU34" s="192">
        <f t="shared" si="191"/>
        <v>0</v>
      </c>
      <c r="DV34" s="192">
        <f t="shared" si="192"/>
        <v>0</v>
      </c>
      <c r="DW34" s="192">
        <f t="shared" si="193"/>
        <v>0</v>
      </c>
      <c r="DX34" s="192">
        <f t="shared" si="194"/>
        <v>0</v>
      </c>
      <c r="DY34" s="192">
        <f t="shared" si="195"/>
        <v>2150266.3078634487</v>
      </c>
      <c r="DZ34" s="192">
        <f t="shared" si="196"/>
        <v>1075133.1539317244</v>
      </c>
      <c r="EA34" s="192">
        <f t="shared" si="197"/>
        <v>0</v>
      </c>
      <c r="EB34" s="192">
        <f t="shared" si="198"/>
        <v>0</v>
      </c>
      <c r="EC34" s="192">
        <f t="shared" si="199"/>
        <v>0</v>
      </c>
      <c r="ED34" s="192">
        <f t="shared" si="200"/>
        <v>0</v>
      </c>
      <c r="EE34" s="667">
        <f t="shared" si="46"/>
        <v>3225399.4617951731</v>
      </c>
      <c r="EG34" s="1">
        <v>1</v>
      </c>
      <c r="EH34" s="973">
        <v>32</v>
      </c>
      <c r="EI34" s="974"/>
      <c r="EJ34" s="974"/>
      <c r="EK34" s="974"/>
      <c r="EL34" s="974"/>
      <c r="EM34" s="974"/>
      <c r="EN34" s="974">
        <v>45.454545454545453</v>
      </c>
      <c r="EO34" s="974">
        <v>45.454545454545453</v>
      </c>
      <c r="EP34" s="974">
        <v>9.0909090909090917</v>
      </c>
      <c r="EQ34" s="974"/>
      <c r="ER34" s="974"/>
      <c r="ES34" s="974"/>
      <c r="EX34" s="977">
        <v>100</v>
      </c>
      <c r="EY34" s="357">
        <v>805473.88086722698</v>
      </c>
      <c r="EZ34" s="989">
        <f t="shared" si="64"/>
        <v>0</v>
      </c>
      <c r="FA34" s="989">
        <f t="shared" si="47"/>
        <v>0</v>
      </c>
      <c r="FB34" s="989">
        <f t="shared" si="48"/>
        <v>0</v>
      </c>
      <c r="FC34" s="989">
        <f t="shared" si="49"/>
        <v>0</v>
      </c>
      <c r="FD34" s="989">
        <f t="shared" si="50"/>
        <v>0</v>
      </c>
      <c r="FE34" s="989">
        <f t="shared" si="51"/>
        <v>366124.491303285</v>
      </c>
      <c r="FF34" s="989">
        <f t="shared" si="52"/>
        <v>366124.491303285</v>
      </c>
      <c r="FG34" s="989">
        <f t="shared" si="53"/>
        <v>73224.898260657006</v>
      </c>
      <c r="FH34" s="989">
        <f t="shared" si="54"/>
        <v>0</v>
      </c>
      <c r="FI34" s="989">
        <f t="shared" si="55"/>
        <v>0</v>
      </c>
      <c r="FJ34" s="989">
        <f t="shared" si="56"/>
        <v>0</v>
      </c>
      <c r="FM34" s="1005">
        <v>32</v>
      </c>
      <c r="FN34" s="1003"/>
      <c r="FO34" s="1006"/>
      <c r="FP34" s="1006"/>
      <c r="FQ34" s="1006"/>
      <c r="FR34" s="1006"/>
      <c r="FS34" s="1006">
        <v>42.307692307692307</v>
      </c>
      <c r="FT34" s="1006">
        <v>46.153846153846153</v>
      </c>
      <c r="FU34" s="1006">
        <v>11.538461538461538</v>
      </c>
      <c r="FV34" s="1006"/>
      <c r="FW34" s="1006"/>
      <c r="FX34" s="1006"/>
      <c r="FY34" s="1006"/>
      <c r="FZ34" s="1006"/>
      <c r="GA34" s="1003"/>
      <c r="GB34" s="1004">
        <v>99.999999999999986</v>
      </c>
      <c r="GC34" s="1005">
        <v>32</v>
      </c>
      <c r="GD34" s="2">
        <v>6166115.8461036757</v>
      </c>
      <c r="GE34" s="989">
        <f t="shared" si="152"/>
        <v>0</v>
      </c>
      <c r="GF34" s="989">
        <f t="shared" si="153"/>
        <v>0</v>
      </c>
      <c r="GG34" s="989">
        <f t="shared" si="154"/>
        <v>0</v>
      </c>
      <c r="GH34" s="989">
        <f t="shared" si="155"/>
        <v>0</v>
      </c>
      <c r="GI34" s="989">
        <f t="shared" si="156"/>
        <v>0</v>
      </c>
      <c r="GJ34" s="989">
        <f t="shared" si="157"/>
        <v>2608741.3195054014</v>
      </c>
      <c r="GK34" s="989">
        <f t="shared" si="158"/>
        <v>2845899.6212786199</v>
      </c>
      <c r="GL34" s="989">
        <f t="shared" si="159"/>
        <v>711474.90531965496</v>
      </c>
      <c r="GM34" s="989">
        <f t="shared" si="160"/>
        <v>0</v>
      </c>
      <c r="GN34" s="989">
        <f t="shared" si="161"/>
        <v>0</v>
      </c>
      <c r="GO34" s="989">
        <f t="shared" si="162"/>
        <v>0</v>
      </c>
      <c r="GP34" s="989">
        <f t="shared" si="163"/>
        <v>0</v>
      </c>
      <c r="GQ34" s="989">
        <f t="shared" si="164"/>
        <v>0</v>
      </c>
      <c r="GR34" s="989">
        <f t="shared" si="165"/>
        <v>0</v>
      </c>
      <c r="GX34" s="1032">
        <v>32</v>
      </c>
      <c r="GY34" s="1">
        <v>7502848.2520920644</v>
      </c>
      <c r="GZ34" s="1041"/>
      <c r="HA34" s="1039"/>
      <c r="HB34" s="1039"/>
      <c r="HC34" s="1039"/>
      <c r="HD34" s="1039"/>
      <c r="HE34" s="1039">
        <v>15</v>
      </c>
      <c r="HF34" s="1039">
        <v>75</v>
      </c>
      <c r="HG34" s="1039">
        <v>10</v>
      </c>
      <c r="HH34" s="1039"/>
      <c r="HI34" s="1039"/>
      <c r="HJ34" s="1039"/>
      <c r="HK34" s="1039"/>
      <c r="HL34" s="1039"/>
      <c r="HM34" s="1040">
        <f t="shared" si="189"/>
        <v>100</v>
      </c>
      <c r="HN34" s="989">
        <f t="shared" si="67"/>
        <v>0</v>
      </c>
      <c r="HO34" s="989">
        <f t="shared" si="68"/>
        <v>0</v>
      </c>
      <c r="HP34" s="989">
        <f t="shared" si="69"/>
        <v>0</v>
      </c>
      <c r="HQ34" s="989">
        <f t="shared" si="70"/>
        <v>0</v>
      </c>
      <c r="HR34" s="989">
        <f t="shared" si="71"/>
        <v>0</v>
      </c>
      <c r="HS34" s="989">
        <f t="shared" si="72"/>
        <v>1125427.2378138097</v>
      </c>
      <c r="HT34" s="989">
        <f t="shared" si="73"/>
        <v>5627136.1890690485</v>
      </c>
      <c r="HU34" s="989">
        <f t="shared" si="74"/>
        <v>750284.82520920644</v>
      </c>
      <c r="HV34" s="989">
        <f t="shared" si="75"/>
        <v>0</v>
      </c>
      <c r="HW34" s="989">
        <f t="shared" si="76"/>
        <v>0</v>
      </c>
      <c r="HX34" s="989">
        <f t="shared" si="77"/>
        <v>0</v>
      </c>
      <c r="HY34" s="989">
        <f t="shared" si="78"/>
        <v>0</v>
      </c>
      <c r="HZ34" s="989">
        <f t="shared" si="79"/>
        <v>0</v>
      </c>
      <c r="IE34" s="2">
        <v>21575627.331394918</v>
      </c>
      <c r="IF34" s="1005">
        <v>27</v>
      </c>
      <c r="IG34" s="553"/>
      <c r="IH34" s="553"/>
      <c r="II34" s="553">
        <v>2.1276595744680851</v>
      </c>
      <c r="IJ34" s="553">
        <v>29.787234042553191</v>
      </c>
      <c r="IK34" s="553">
        <v>59.574468085106382</v>
      </c>
      <c r="IL34" s="553">
        <v>8.5106382978723403</v>
      </c>
      <c r="IM34" s="553"/>
      <c r="IN34" s="553"/>
      <c r="IO34" s="553"/>
      <c r="IP34" s="553"/>
      <c r="IQ34" s="553"/>
      <c r="IS34" s="1270">
        <v>27</v>
      </c>
      <c r="IT34" s="989">
        <f t="shared" si="201"/>
        <v>0</v>
      </c>
      <c r="IU34" s="989">
        <f t="shared" si="202"/>
        <v>0</v>
      </c>
      <c r="IV34" s="989">
        <f t="shared" si="203"/>
        <v>459055.90066797694</v>
      </c>
      <c r="IW34" s="989">
        <f t="shared" si="204"/>
        <v>6426782.6093516778</v>
      </c>
      <c r="IX34" s="989">
        <f t="shared" si="205"/>
        <v>12853565.218703356</v>
      </c>
      <c r="IY34" s="989">
        <f t="shared" si="206"/>
        <v>1836223.6026719077</v>
      </c>
      <c r="IZ34" s="989">
        <f t="shared" si="207"/>
        <v>0</v>
      </c>
      <c r="JA34" s="989">
        <f t="shared" si="208"/>
        <v>0</v>
      </c>
      <c r="JB34" s="989">
        <f t="shared" si="209"/>
        <v>0</v>
      </c>
      <c r="JC34" s="989">
        <f t="shared" si="210"/>
        <v>0</v>
      </c>
      <c r="JD34" s="989">
        <f t="shared" si="211"/>
        <v>0</v>
      </c>
      <c r="JE34" s="989">
        <f t="shared" si="212"/>
        <v>0</v>
      </c>
      <c r="JG34" s="1135">
        <v>611938.89587776479</v>
      </c>
      <c r="JH34" s="1002">
        <v>27</v>
      </c>
      <c r="JI34" s="666"/>
      <c r="JJ34" s="1272"/>
      <c r="JK34" s="1272"/>
      <c r="JL34" s="1272">
        <v>33.333333333333336</v>
      </c>
      <c r="JM34" s="1272">
        <v>66.666666666666671</v>
      </c>
      <c r="JN34" s="1272"/>
      <c r="JO34" s="1272"/>
      <c r="JP34" s="1272"/>
      <c r="JQ34" s="1272"/>
      <c r="JR34" s="1272"/>
      <c r="JS34" s="1272"/>
      <c r="JT34" s="1273"/>
      <c r="JU34" s="1273"/>
      <c r="JW34" s="989">
        <f t="shared" si="103"/>
        <v>0</v>
      </c>
      <c r="JX34" s="989">
        <f t="shared" si="104"/>
        <v>0</v>
      </c>
      <c r="JY34" s="989">
        <f t="shared" si="92"/>
        <v>203979.63195925494</v>
      </c>
      <c r="JZ34" s="989">
        <f t="shared" si="93"/>
        <v>407959.26391850988</v>
      </c>
      <c r="KA34" s="989">
        <f t="shared" si="94"/>
        <v>0</v>
      </c>
      <c r="KB34" s="989">
        <f t="shared" si="95"/>
        <v>0</v>
      </c>
      <c r="KC34" s="989">
        <f t="shared" si="96"/>
        <v>0</v>
      </c>
      <c r="KD34" s="989">
        <f t="shared" si="97"/>
        <v>0</v>
      </c>
      <c r="KE34" s="989">
        <f t="shared" si="98"/>
        <v>0</v>
      </c>
      <c r="KF34" s="989">
        <f t="shared" si="99"/>
        <v>0</v>
      </c>
      <c r="KG34" s="989">
        <f t="shared" si="100"/>
        <v>0</v>
      </c>
      <c r="KJ34" s="192">
        <f t="shared" si="178"/>
        <v>0</v>
      </c>
      <c r="KK34" s="192">
        <f t="shared" si="179"/>
        <v>0</v>
      </c>
      <c r="KL34" s="192">
        <f>IV34+JY34</f>
        <v>663035.53262723191</v>
      </c>
      <c r="KM34" s="192">
        <f t="shared" si="181"/>
        <v>6834741.8732701875</v>
      </c>
      <c r="KN34" s="192">
        <f t="shared" si="182"/>
        <v>12853565.218703356</v>
      </c>
      <c r="KO34" s="192">
        <f t="shared" si="183"/>
        <v>1836223.6026719077</v>
      </c>
      <c r="KP34" s="192">
        <f t="shared" si="184"/>
        <v>0</v>
      </c>
      <c r="KQ34" s="192">
        <f t="shared" si="185"/>
        <v>0</v>
      </c>
      <c r="KR34" s="192">
        <f t="shared" si="186"/>
        <v>0</v>
      </c>
      <c r="KS34" s="192">
        <f t="shared" si="187"/>
        <v>0</v>
      </c>
      <c r="KT34" s="192">
        <f t="shared" si="188"/>
        <v>0</v>
      </c>
      <c r="KV34" s="1032">
        <v>32</v>
      </c>
      <c r="KW34" s="2">
        <v>10204764.050503714</v>
      </c>
      <c r="KX34" s="1">
        <v>0</v>
      </c>
      <c r="KY34" s="1">
        <v>0</v>
      </c>
      <c r="KZ34" s="1">
        <v>0</v>
      </c>
      <c r="LA34" s="1">
        <v>0</v>
      </c>
      <c r="LB34" s="1">
        <v>22.727272727272727</v>
      </c>
      <c r="LC34" s="1">
        <v>40.909090909090914</v>
      </c>
      <c r="LD34" s="1">
        <v>27.27272727272727</v>
      </c>
      <c r="LE34" s="1">
        <v>9.0909090909090917</v>
      </c>
      <c r="LF34" s="1">
        <v>0</v>
      </c>
      <c r="LG34" s="1">
        <v>0</v>
      </c>
      <c r="LH34" s="1">
        <v>0</v>
      </c>
      <c r="LJ34" s="989">
        <f t="shared" si="141"/>
        <v>0</v>
      </c>
      <c r="LK34" s="989">
        <f t="shared" si="142"/>
        <v>0</v>
      </c>
      <c r="LL34" s="989">
        <f t="shared" si="143"/>
        <v>0</v>
      </c>
      <c r="LM34" s="989">
        <f t="shared" si="144"/>
        <v>0</v>
      </c>
      <c r="LN34" s="989">
        <f t="shared" si="145"/>
        <v>2319264.5569326621</v>
      </c>
      <c r="LO34" s="989">
        <f t="shared" si="146"/>
        <v>4174676.2024787925</v>
      </c>
      <c r="LP34" s="989">
        <f t="shared" si="147"/>
        <v>2783117.4683191944</v>
      </c>
      <c r="LQ34" s="989">
        <f t="shared" si="148"/>
        <v>927705.82277306495</v>
      </c>
      <c r="LR34" s="989">
        <f t="shared" si="149"/>
        <v>0</v>
      </c>
      <c r="LS34" s="989">
        <f t="shared" si="150"/>
        <v>0</v>
      </c>
      <c r="LT34" s="989">
        <f t="shared" si="151"/>
        <v>0</v>
      </c>
      <c r="LV34" s="2">
        <v>5682479.4075463014</v>
      </c>
      <c r="LW34" s="1446">
        <v>0</v>
      </c>
      <c r="LX34" s="1446">
        <v>0</v>
      </c>
      <c r="LY34" s="1446">
        <v>0</v>
      </c>
      <c r="LZ34" s="1446">
        <v>0</v>
      </c>
      <c r="MA34" s="1446">
        <v>40.000000000000007</v>
      </c>
      <c r="MB34" s="1446">
        <v>60</v>
      </c>
      <c r="MC34" s="1446">
        <v>0</v>
      </c>
      <c r="MD34" s="1446">
        <v>0</v>
      </c>
      <c r="ME34" s="1446">
        <v>0</v>
      </c>
      <c r="MF34" s="1446">
        <v>0</v>
      </c>
      <c r="MH34" s="1">
        <f t="shared" si="166"/>
        <v>100</v>
      </c>
      <c r="MI34" s="989">
        <f t="shared" si="167"/>
        <v>0</v>
      </c>
      <c r="MJ34" s="989">
        <f t="shared" si="168"/>
        <v>0</v>
      </c>
      <c r="MK34" s="989">
        <f t="shared" si="169"/>
        <v>0</v>
      </c>
      <c r="ML34" s="989">
        <f t="shared" si="170"/>
        <v>0</v>
      </c>
      <c r="MM34" s="989">
        <f t="shared" si="171"/>
        <v>2272991.763018521</v>
      </c>
      <c r="MN34" s="989">
        <f t="shared" si="172"/>
        <v>3409487.6445277808</v>
      </c>
      <c r="MO34" s="989">
        <f t="shared" si="173"/>
        <v>0</v>
      </c>
      <c r="MP34" s="989">
        <f t="shared" si="174"/>
        <v>0</v>
      </c>
      <c r="MQ34" s="989">
        <f t="shared" si="175"/>
        <v>0</v>
      </c>
      <c r="MR34" s="989">
        <f t="shared" si="176"/>
        <v>0</v>
      </c>
      <c r="MS34" s="989">
        <f t="shared" si="177"/>
        <v>0</v>
      </c>
      <c r="MU34" s="1032">
        <v>32</v>
      </c>
      <c r="MV34" s="57">
        <v>6821333.4548171461</v>
      </c>
      <c r="MW34" s="1964"/>
      <c r="MX34" s="1964"/>
      <c r="MY34" s="1964"/>
      <c r="MZ34" s="1964"/>
      <c r="NA34" s="1964"/>
      <c r="NB34" s="1964">
        <v>58.33</v>
      </c>
      <c r="NC34" s="1964">
        <v>33.33</v>
      </c>
      <c r="ND34" s="1964">
        <v>8.34</v>
      </c>
      <c r="NE34" s="1964"/>
      <c r="NF34" s="1964"/>
      <c r="NG34" s="1964"/>
      <c r="NJ34" s="989">
        <f t="shared" si="116"/>
        <v>0</v>
      </c>
      <c r="NK34" s="989">
        <f t="shared" si="117"/>
        <v>0</v>
      </c>
      <c r="NL34" s="989">
        <f t="shared" si="118"/>
        <v>0</v>
      </c>
      <c r="NM34" s="989">
        <f t="shared" si="119"/>
        <v>0</v>
      </c>
      <c r="NN34" s="989">
        <f t="shared" si="120"/>
        <v>0</v>
      </c>
      <c r="NO34" s="989">
        <f t="shared" si="121"/>
        <v>3978883.8041948415</v>
      </c>
      <c r="NP34" s="989">
        <f t="shared" si="122"/>
        <v>2273550.4404905546</v>
      </c>
      <c r="NQ34" s="989">
        <f t="shared" si="123"/>
        <v>568899.21013174998</v>
      </c>
      <c r="NR34" s="989">
        <f t="shared" si="124"/>
        <v>0</v>
      </c>
      <c r="NS34" s="989">
        <f t="shared" si="125"/>
        <v>0</v>
      </c>
      <c r="NT34" s="989">
        <f t="shared" si="126"/>
        <v>0</v>
      </c>
    </row>
    <row r="35" spans="1:384" ht="15" thickTop="1" thickBot="1">
      <c r="A35" s="1822">
        <v>34</v>
      </c>
      <c r="B35" s="1199"/>
      <c r="C35" s="1822">
        <v>8101984.534839958</v>
      </c>
      <c r="D35" s="1199">
        <v>210021.4957563018</v>
      </c>
      <c r="E35" s="20"/>
      <c r="F35" s="1843">
        <f t="shared" si="12"/>
        <v>8312006.03059626</v>
      </c>
      <c r="G35" s="951">
        <v>0</v>
      </c>
      <c r="H35" s="806">
        <v>0</v>
      </c>
      <c r="I35" s="806">
        <v>0</v>
      </c>
      <c r="J35" s="806">
        <v>0</v>
      </c>
      <c r="K35" s="806">
        <v>0</v>
      </c>
      <c r="L35" s="806">
        <v>0</v>
      </c>
      <c r="M35" s="806">
        <v>18.036164696169525</v>
      </c>
      <c r="N35" s="806">
        <v>68.765853307268259</v>
      </c>
      <c r="O35" s="806">
        <v>13.197981996562211</v>
      </c>
      <c r="P35" s="806">
        <v>0</v>
      </c>
      <c r="Q35" s="806"/>
      <c r="R35" s="806"/>
      <c r="S35" s="2"/>
      <c r="T35" s="114">
        <v>34</v>
      </c>
      <c r="U35" s="2">
        <f t="shared" si="127"/>
        <v>0</v>
      </c>
      <c r="V35" s="2">
        <f t="shared" si="13"/>
        <v>0</v>
      </c>
      <c r="W35" s="2">
        <f t="shared" si="14"/>
        <v>0</v>
      </c>
      <c r="X35" s="2">
        <f t="shared" si="15"/>
        <v>0</v>
      </c>
      <c r="Y35" s="2">
        <f t="shared" si="16"/>
        <v>0</v>
      </c>
      <c r="Z35" s="2">
        <f t="shared" si="17"/>
        <v>0</v>
      </c>
      <c r="AA35" s="2">
        <f t="shared" si="18"/>
        <v>1499167.0972338847</v>
      </c>
      <c r="AB35" s="2">
        <f t="shared" si="19"/>
        <v>5715821.8738911152</v>
      </c>
      <c r="AC35" s="2">
        <f t="shared" si="20"/>
        <v>1097017.0594712598</v>
      </c>
      <c r="AD35" s="2">
        <f t="shared" si="21"/>
        <v>0</v>
      </c>
      <c r="AE35" s="2">
        <f t="shared" si="22"/>
        <v>0</v>
      </c>
      <c r="AF35" s="1844">
        <v>34</v>
      </c>
      <c r="AG35" s="1724">
        <f t="shared" si="23"/>
        <v>0</v>
      </c>
      <c r="AH35" s="1724">
        <f t="shared" si="24"/>
        <v>0</v>
      </c>
      <c r="AI35" s="1724">
        <f t="shared" si="25"/>
        <v>0</v>
      </c>
      <c r="AJ35" s="1724">
        <f t="shared" si="26"/>
        <v>0</v>
      </c>
      <c r="AK35" s="1724">
        <f t="shared" si="27"/>
        <v>0</v>
      </c>
      <c r="AL35" s="1724">
        <f t="shared" si="28"/>
        <v>0</v>
      </c>
      <c r="AM35" s="1724">
        <f t="shared" si="29"/>
        <v>50971681.30595208</v>
      </c>
      <c r="AN35" s="1724">
        <f t="shared" si="30"/>
        <v>194337943.71229792</v>
      </c>
      <c r="AO35" s="1724">
        <f t="shared" si="31"/>
        <v>37298580.022022836</v>
      </c>
      <c r="AP35" s="1724">
        <f t="shared" si="32"/>
        <v>0</v>
      </c>
      <c r="AR35" s="1822">
        <v>34</v>
      </c>
      <c r="AS35" s="1199"/>
      <c r="AT35" s="1">
        <v>2999204.3426680891</v>
      </c>
      <c r="AU35" s="1">
        <v>364311.44195970177</v>
      </c>
      <c r="AV35" s="20"/>
      <c r="AW35" s="1843">
        <f t="shared" si="33"/>
        <v>3363515.784627791</v>
      </c>
      <c r="AX35" s="546"/>
      <c r="AY35" s="547"/>
      <c r="AZ35" s="548"/>
      <c r="BA35" s="548"/>
      <c r="BB35" s="548"/>
      <c r="BC35" s="548"/>
      <c r="BD35" s="548"/>
      <c r="BE35" s="548"/>
      <c r="BF35" s="806">
        <v>100</v>
      </c>
      <c r="BG35" s="806"/>
      <c r="BH35" s="806"/>
      <c r="BI35" s="806"/>
      <c r="BJ35" s="2"/>
      <c r="BK35" s="114">
        <v>34</v>
      </c>
      <c r="BL35" s="2">
        <f t="shared" si="128"/>
        <v>0</v>
      </c>
      <c r="BM35" s="2">
        <f t="shared" si="129"/>
        <v>0</v>
      </c>
      <c r="BN35" s="2">
        <f t="shared" si="130"/>
        <v>0</v>
      </c>
      <c r="BO35" s="2">
        <f t="shared" si="131"/>
        <v>0</v>
      </c>
      <c r="BP35" s="2">
        <f t="shared" si="132"/>
        <v>0</v>
      </c>
      <c r="BQ35" s="2">
        <f t="shared" si="133"/>
        <v>0</v>
      </c>
      <c r="BR35" s="2">
        <f t="shared" si="134"/>
        <v>0</v>
      </c>
      <c r="BS35" s="2">
        <f t="shared" si="135"/>
        <v>0</v>
      </c>
      <c r="BT35" s="2">
        <f t="shared" si="136"/>
        <v>3363515.784627791</v>
      </c>
      <c r="BU35" s="2">
        <f t="shared" si="137"/>
        <v>0</v>
      </c>
      <c r="BV35" s="2">
        <f t="shared" si="138"/>
        <v>0</v>
      </c>
      <c r="BW35" s="1844">
        <v>34</v>
      </c>
      <c r="BX35" s="1724">
        <f t="shared" si="139"/>
        <v>0</v>
      </c>
      <c r="BY35" s="1724">
        <f t="shared" si="3"/>
        <v>0</v>
      </c>
      <c r="BZ35" s="1724">
        <f t="shared" si="4"/>
        <v>0</v>
      </c>
      <c r="CA35" s="1724">
        <f t="shared" si="5"/>
        <v>0</v>
      </c>
      <c r="CB35" s="1724">
        <f t="shared" si="6"/>
        <v>0</v>
      </c>
      <c r="CC35" s="1724">
        <f t="shared" si="7"/>
        <v>0</v>
      </c>
      <c r="CD35" s="1724">
        <f t="shared" si="8"/>
        <v>0</v>
      </c>
      <c r="CE35" s="1724">
        <f t="shared" si="9"/>
        <v>0</v>
      </c>
      <c r="CF35" s="1724">
        <f t="shared" si="10"/>
        <v>114359536.67734489</v>
      </c>
      <c r="CG35" s="1724">
        <f t="shared" si="11"/>
        <v>0</v>
      </c>
      <c r="CH35" s="75"/>
      <c r="CI35" s="1" t="s">
        <v>575</v>
      </c>
      <c r="CJ35" s="1">
        <v>22864811.363463972</v>
      </c>
      <c r="CK35" s="1">
        <f t="shared" si="213"/>
        <v>22864.81136346397</v>
      </c>
      <c r="CM35" s="638"/>
      <c r="CN35" s="1847">
        <v>32</v>
      </c>
      <c r="CO35" s="1851"/>
      <c r="CP35" s="2">
        <v>149030.96359445309</v>
      </c>
      <c r="CQ35" s="2">
        <v>1941330.172574237</v>
      </c>
      <c r="CR35" s="646">
        <f t="shared" si="63"/>
        <v>2090361.1361686902</v>
      </c>
      <c r="CS35" s="1141"/>
      <c r="CT35" s="809"/>
      <c r="CU35" s="954"/>
      <c r="CV35" s="1850"/>
      <c r="CW35" s="1850"/>
      <c r="CX35" s="1850"/>
      <c r="CY35" s="1850"/>
      <c r="CZ35" s="1850"/>
      <c r="DA35" s="1850"/>
      <c r="DB35" s="808"/>
      <c r="DC35" s="808"/>
      <c r="DD35" s="808"/>
      <c r="DE35" s="808"/>
      <c r="DF35" s="451"/>
      <c r="DG35" s="647">
        <v>32</v>
      </c>
      <c r="DH35" s="666"/>
      <c r="DI35" s="955"/>
      <c r="DJ35" s="1852"/>
      <c r="DK35" s="1852"/>
      <c r="DL35" s="1852"/>
      <c r="DM35" s="1852">
        <v>42.857142857142854</v>
      </c>
      <c r="DN35" s="1852">
        <v>57.142857142857146</v>
      </c>
      <c r="DO35" s="1852"/>
      <c r="DP35" s="1456"/>
      <c r="DQ35" s="1456"/>
      <c r="DR35" s="1456"/>
      <c r="DS35" s="1847">
        <v>32</v>
      </c>
      <c r="DT35" s="192">
        <f t="shared" si="190"/>
        <v>0</v>
      </c>
      <c r="DU35" s="192">
        <f t="shared" si="191"/>
        <v>0</v>
      </c>
      <c r="DV35" s="192">
        <f t="shared" si="192"/>
        <v>0</v>
      </c>
      <c r="DW35" s="192">
        <f t="shared" si="193"/>
        <v>0</v>
      </c>
      <c r="DX35" s="192">
        <f t="shared" si="194"/>
        <v>0</v>
      </c>
      <c r="DY35" s="192">
        <f t="shared" si="195"/>
        <v>895869.05835801002</v>
      </c>
      <c r="DZ35" s="192">
        <f t="shared" si="196"/>
        <v>1194492.07781068</v>
      </c>
      <c r="EA35" s="192">
        <f t="shared" si="197"/>
        <v>0</v>
      </c>
      <c r="EB35" s="192">
        <f t="shared" si="198"/>
        <v>0</v>
      </c>
      <c r="EC35" s="192">
        <f t="shared" si="199"/>
        <v>0</v>
      </c>
      <c r="ED35" s="192">
        <f t="shared" si="200"/>
        <v>0</v>
      </c>
      <c r="EE35" s="667">
        <f t="shared" si="46"/>
        <v>2090361.1361686899</v>
      </c>
      <c r="EG35" s="1">
        <v>2</v>
      </c>
      <c r="EH35" s="976">
        <v>33</v>
      </c>
      <c r="EI35" s="974"/>
      <c r="EJ35" s="974"/>
      <c r="EK35" s="974"/>
      <c r="EL35" s="974"/>
      <c r="EM35" s="974"/>
      <c r="EN35" s="974">
        <v>21.739130434782609</v>
      </c>
      <c r="EO35" s="974">
        <v>56.521739130434781</v>
      </c>
      <c r="EP35" s="974">
        <v>21.739130434782609</v>
      </c>
      <c r="EQ35" s="974"/>
      <c r="ER35" s="974"/>
      <c r="ES35" s="974"/>
      <c r="EX35" s="975">
        <v>100</v>
      </c>
      <c r="EY35" s="357">
        <v>742069.63874027831</v>
      </c>
      <c r="EZ35" s="989">
        <f t="shared" si="64"/>
        <v>0</v>
      </c>
      <c r="FA35" s="989">
        <f t="shared" si="47"/>
        <v>0</v>
      </c>
      <c r="FB35" s="989">
        <f t="shared" si="48"/>
        <v>0</v>
      </c>
      <c r="FC35" s="989">
        <f t="shared" si="49"/>
        <v>0</v>
      </c>
      <c r="FD35" s="989">
        <f t="shared" si="50"/>
        <v>0</v>
      </c>
      <c r="FE35" s="989">
        <f t="shared" si="51"/>
        <v>161319.4866826692</v>
      </c>
      <c r="FF35" s="989">
        <f t="shared" si="52"/>
        <v>419430.66537493991</v>
      </c>
      <c r="FG35" s="989">
        <f t="shared" si="53"/>
        <v>161319.4866826692</v>
      </c>
      <c r="FH35" s="989">
        <f t="shared" si="54"/>
        <v>0</v>
      </c>
      <c r="FI35" s="989">
        <f t="shared" si="55"/>
        <v>0</v>
      </c>
      <c r="FJ35" s="989">
        <f t="shared" si="56"/>
        <v>0</v>
      </c>
      <c r="FM35" s="1002">
        <v>33</v>
      </c>
      <c r="FN35" s="1003"/>
      <c r="FO35" s="1006"/>
      <c r="FP35" s="1006"/>
      <c r="FQ35" s="1006"/>
      <c r="FR35" s="1006"/>
      <c r="FS35" s="1006">
        <v>24.137931034482758</v>
      </c>
      <c r="FT35" s="1006">
        <v>55.172413793103445</v>
      </c>
      <c r="FU35" s="1006">
        <v>20.689655172413794</v>
      </c>
      <c r="FV35" s="1006"/>
      <c r="FW35" s="1006"/>
      <c r="FX35" s="1006"/>
      <c r="FY35" s="1006"/>
      <c r="FZ35" s="1006"/>
      <c r="GA35" s="1003"/>
      <c r="GB35" s="1004">
        <v>100</v>
      </c>
      <c r="GC35" s="1002">
        <v>33</v>
      </c>
      <c r="GD35" s="2">
        <v>4066451.5075124884</v>
      </c>
      <c r="GE35" s="989">
        <f t="shared" si="152"/>
        <v>0</v>
      </c>
      <c r="GF35" s="989">
        <f t="shared" si="153"/>
        <v>0</v>
      </c>
      <c r="GG35" s="989">
        <f t="shared" si="154"/>
        <v>0</v>
      </c>
      <c r="GH35" s="989">
        <f t="shared" si="155"/>
        <v>0</v>
      </c>
      <c r="GI35" s="989">
        <f t="shared" si="156"/>
        <v>0</v>
      </c>
      <c r="GJ35" s="989">
        <f t="shared" si="157"/>
        <v>981557.26043404895</v>
      </c>
      <c r="GK35" s="989">
        <f t="shared" si="158"/>
        <v>2243559.4524206831</v>
      </c>
      <c r="GL35" s="989">
        <f t="shared" si="159"/>
        <v>841334.79465775623</v>
      </c>
      <c r="GM35" s="989">
        <f t="shared" si="160"/>
        <v>0</v>
      </c>
      <c r="GN35" s="989">
        <f t="shared" si="161"/>
        <v>0</v>
      </c>
      <c r="GO35" s="989">
        <f t="shared" si="162"/>
        <v>0</v>
      </c>
      <c r="GP35" s="989">
        <f t="shared" si="163"/>
        <v>0</v>
      </c>
      <c r="GQ35" s="989">
        <f t="shared" si="164"/>
        <v>0</v>
      </c>
      <c r="GR35" s="989">
        <f t="shared" si="165"/>
        <v>0</v>
      </c>
      <c r="GX35" s="1033">
        <v>33</v>
      </c>
      <c r="GY35" s="1">
        <v>5691739.9479387319</v>
      </c>
      <c r="GZ35" s="1041"/>
      <c r="HA35" s="1039"/>
      <c r="HB35" s="1039"/>
      <c r="HC35" s="1039"/>
      <c r="HD35" s="1039"/>
      <c r="HE35" s="1039">
        <v>4.7619047619047619</v>
      </c>
      <c r="HF35" s="1039">
        <v>61.904761904761905</v>
      </c>
      <c r="HG35" s="1039">
        <v>33.333333333333336</v>
      </c>
      <c r="HH35" s="1039"/>
      <c r="HI35" s="1039"/>
      <c r="HJ35" s="1039"/>
      <c r="HK35" s="1039"/>
      <c r="HL35" s="1039"/>
      <c r="HM35" s="1040">
        <f t="shared" si="189"/>
        <v>100</v>
      </c>
      <c r="HN35" s="989">
        <f t="shared" si="67"/>
        <v>0</v>
      </c>
      <c r="HO35" s="989">
        <f t="shared" si="68"/>
        <v>0</v>
      </c>
      <c r="HP35" s="989">
        <f t="shared" si="69"/>
        <v>0</v>
      </c>
      <c r="HQ35" s="989">
        <f t="shared" si="70"/>
        <v>0</v>
      </c>
      <c r="HR35" s="989">
        <f t="shared" si="71"/>
        <v>0</v>
      </c>
      <c r="HS35" s="989">
        <f t="shared" si="72"/>
        <v>271035.23561613006</v>
      </c>
      <c r="HT35" s="989">
        <f t="shared" si="73"/>
        <v>3523458.0630096914</v>
      </c>
      <c r="HU35" s="989">
        <f t="shared" si="74"/>
        <v>1897246.6493129106</v>
      </c>
      <c r="HV35" s="989">
        <f t="shared" si="75"/>
        <v>0</v>
      </c>
      <c r="HW35" s="989">
        <f t="shared" si="76"/>
        <v>0</v>
      </c>
      <c r="HX35" s="989">
        <f t="shared" si="77"/>
        <v>0</v>
      </c>
      <c r="HY35" s="989">
        <f t="shared" si="78"/>
        <v>0</v>
      </c>
      <c r="HZ35" s="989">
        <f t="shared" si="79"/>
        <v>0</v>
      </c>
      <c r="IE35" s="2">
        <v>15349072.341287699</v>
      </c>
      <c r="IF35" s="1002">
        <v>28</v>
      </c>
      <c r="IG35" s="553"/>
      <c r="IH35" s="553"/>
      <c r="II35" s="553">
        <v>3.125</v>
      </c>
      <c r="IJ35" s="553">
        <v>3.125</v>
      </c>
      <c r="IK35" s="553">
        <v>65.625</v>
      </c>
      <c r="IL35" s="553">
        <v>28.125</v>
      </c>
      <c r="IM35" s="553"/>
      <c r="IN35" s="553"/>
      <c r="IO35" s="553"/>
      <c r="IP35" s="553"/>
      <c r="IQ35" s="553"/>
      <c r="IS35" s="1270">
        <v>28</v>
      </c>
      <c r="IT35" s="989">
        <f t="shared" si="201"/>
        <v>0</v>
      </c>
      <c r="IU35" s="989">
        <f t="shared" si="202"/>
        <v>0</v>
      </c>
      <c r="IV35" s="989">
        <f t="shared" si="203"/>
        <v>479658.51066524058</v>
      </c>
      <c r="IW35" s="989">
        <f t="shared" si="204"/>
        <v>479658.51066524058</v>
      </c>
      <c r="IX35" s="989">
        <f t="shared" si="205"/>
        <v>10072828.723970052</v>
      </c>
      <c r="IY35" s="989">
        <f t="shared" si="206"/>
        <v>4316926.5959871653</v>
      </c>
      <c r="IZ35" s="989">
        <f t="shared" si="207"/>
        <v>0</v>
      </c>
      <c r="JA35" s="989">
        <f t="shared" si="208"/>
        <v>0</v>
      </c>
      <c r="JB35" s="989">
        <f t="shared" si="209"/>
        <v>0</v>
      </c>
      <c r="JC35" s="989">
        <f t="shared" si="210"/>
        <v>0</v>
      </c>
      <c r="JD35" s="989">
        <f t="shared" si="211"/>
        <v>0</v>
      </c>
      <c r="JE35" s="989">
        <f t="shared" si="212"/>
        <v>0</v>
      </c>
      <c r="JG35" s="1135">
        <v>323796.32518558769</v>
      </c>
      <c r="JH35" s="1002">
        <v>28</v>
      </c>
      <c r="JI35" s="666"/>
      <c r="JJ35" s="1272"/>
      <c r="JK35" s="1272"/>
      <c r="JL35" s="1272">
        <v>50</v>
      </c>
      <c r="JM35" s="1272">
        <v>50</v>
      </c>
      <c r="JN35" s="1272"/>
      <c r="JO35" s="1272"/>
      <c r="JP35" s="1272"/>
      <c r="JQ35" s="1272"/>
      <c r="JR35" s="1272"/>
      <c r="JS35" s="1272"/>
      <c r="JT35" s="1273"/>
      <c r="JU35" s="1273"/>
      <c r="JW35" s="989">
        <f t="shared" si="103"/>
        <v>0</v>
      </c>
      <c r="JX35" s="989">
        <f t="shared" si="104"/>
        <v>0</v>
      </c>
      <c r="JY35" s="989">
        <f t="shared" si="92"/>
        <v>161898.16259279384</v>
      </c>
      <c r="JZ35" s="989">
        <f t="shared" si="93"/>
        <v>161898.16259279384</v>
      </c>
      <c r="KA35" s="989">
        <f t="shared" si="94"/>
        <v>0</v>
      </c>
      <c r="KB35" s="989">
        <f t="shared" si="95"/>
        <v>0</v>
      </c>
      <c r="KC35" s="989">
        <f t="shared" si="96"/>
        <v>0</v>
      </c>
      <c r="KD35" s="989">
        <f t="shared" si="97"/>
        <v>0</v>
      </c>
      <c r="KE35" s="989">
        <f t="shared" si="98"/>
        <v>0</v>
      </c>
      <c r="KF35" s="989">
        <f t="shared" si="99"/>
        <v>0</v>
      </c>
      <c r="KG35" s="989">
        <f t="shared" si="100"/>
        <v>0</v>
      </c>
      <c r="KJ35" s="192">
        <f t="shared" si="178"/>
        <v>0</v>
      </c>
      <c r="KK35" s="192">
        <f t="shared" si="179"/>
        <v>0</v>
      </c>
      <c r="KL35" s="192">
        <f t="shared" si="180"/>
        <v>641556.6732580344</v>
      </c>
      <c r="KM35" s="192">
        <f t="shared" si="181"/>
        <v>641556.6732580344</v>
      </c>
      <c r="KN35" s="192">
        <f t="shared" si="182"/>
        <v>10072828.723970052</v>
      </c>
      <c r="KO35" s="192">
        <f t="shared" si="183"/>
        <v>4316926.5959871653</v>
      </c>
      <c r="KP35" s="192">
        <f t="shared" si="184"/>
        <v>0</v>
      </c>
      <c r="KQ35" s="192">
        <f t="shared" si="185"/>
        <v>0</v>
      </c>
      <c r="KR35" s="192">
        <f t="shared" si="186"/>
        <v>0</v>
      </c>
      <c r="KS35" s="192">
        <f t="shared" si="187"/>
        <v>0</v>
      </c>
      <c r="KT35" s="192">
        <f t="shared" si="188"/>
        <v>0</v>
      </c>
      <c r="KV35" s="1033">
        <v>33</v>
      </c>
      <c r="KW35" s="2">
        <v>7995992.6983475666</v>
      </c>
      <c r="KX35" s="1">
        <v>0</v>
      </c>
      <c r="KY35" s="1">
        <v>0</v>
      </c>
      <c r="KZ35" s="1">
        <v>0</v>
      </c>
      <c r="LA35" s="1">
        <v>0</v>
      </c>
      <c r="LB35" s="1">
        <v>11.111111111111111</v>
      </c>
      <c r="LC35" s="1">
        <v>38.888888888888893</v>
      </c>
      <c r="LD35" s="1">
        <v>38.888888888888893</v>
      </c>
      <c r="LE35" s="1">
        <v>5.5555555555555554</v>
      </c>
      <c r="LF35" s="1">
        <v>5.5555555555555554</v>
      </c>
      <c r="LG35" s="1">
        <v>0</v>
      </c>
      <c r="LH35" s="1">
        <v>0</v>
      </c>
      <c r="LJ35" s="989">
        <f t="shared" si="141"/>
        <v>0</v>
      </c>
      <c r="LK35" s="989">
        <f t="shared" si="142"/>
        <v>0</v>
      </c>
      <c r="LL35" s="989">
        <f t="shared" si="143"/>
        <v>0</v>
      </c>
      <c r="LM35" s="989">
        <f t="shared" si="144"/>
        <v>0</v>
      </c>
      <c r="LN35" s="989">
        <f t="shared" si="145"/>
        <v>888443.63314972969</v>
      </c>
      <c r="LO35" s="989">
        <f t="shared" si="146"/>
        <v>3109552.7160240542</v>
      </c>
      <c r="LP35" s="989">
        <f t="shared" si="147"/>
        <v>3109552.7160240542</v>
      </c>
      <c r="LQ35" s="989">
        <f t="shared" si="148"/>
        <v>444221.81657486485</v>
      </c>
      <c r="LR35" s="989">
        <f t="shared" si="149"/>
        <v>444221.81657486485</v>
      </c>
      <c r="LS35" s="989">
        <f t="shared" si="150"/>
        <v>0</v>
      </c>
      <c r="LT35" s="989">
        <f t="shared" si="151"/>
        <v>0</v>
      </c>
      <c r="LV35" s="2">
        <v>4561335.1846465776</v>
      </c>
      <c r="LW35" s="1446">
        <v>0</v>
      </c>
      <c r="LX35" s="1446">
        <v>0</v>
      </c>
      <c r="LY35" s="1446">
        <v>0</v>
      </c>
      <c r="LZ35" s="1446">
        <v>0</v>
      </c>
      <c r="MA35" s="1446">
        <v>10</v>
      </c>
      <c r="MB35" s="1446">
        <v>70</v>
      </c>
      <c r="MC35" s="1446">
        <v>20</v>
      </c>
      <c r="MD35" s="1446">
        <v>0</v>
      </c>
      <c r="ME35" s="1446">
        <v>0</v>
      </c>
      <c r="MF35" s="1446">
        <v>0</v>
      </c>
      <c r="MH35" s="1">
        <f t="shared" si="166"/>
        <v>100</v>
      </c>
      <c r="MI35" s="989">
        <f t="shared" si="167"/>
        <v>0</v>
      </c>
      <c r="MJ35" s="989">
        <f t="shared" si="168"/>
        <v>0</v>
      </c>
      <c r="MK35" s="989">
        <f t="shared" si="169"/>
        <v>0</v>
      </c>
      <c r="ML35" s="989">
        <f t="shared" si="170"/>
        <v>0</v>
      </c>
      <c r="MM35" s="989">
        <f t="shared" si="171"/>
        <v>456133.51846465771</v>
      </c>
      <c r="MN35" s="989">
        <f t="shared" si="172"/>
        <v>3192934.6292526042</v>
      </c>
      <c r="MO35" s="989">
        <f t="shared" si="173"/>
        <v>912267.03692931542</v>
      </c>
      <c r="MP35" s="989">
        <f t="shared" si="174"/>
        <v>0</v>
      </c>
      <c r="MQ35" s="989">
        <f t="shared" si="175"/>
        <v>0</v>
      </c>
      <c r="MR35" s="989">
        <f t="shared" si="176"/>
        <v>0</v>
      </c>
      <c r="MS35" s="989">
        <f t="shared" si="177"/>
        <v>0</v>
      </c>
      <c r="MU35" s="1033">
        <v>33</v>
      </c>
      <c r="MV35" s="57">
        <v>4153213.0721770269</v>
      </c>
      <c r="MW35" s="1964"/>
      <c r="MX35" s="1964"/>
      <c r="MY35" s="1964"/>
      <c r="MZ35" s="1964"/>
      <c r="NA35" s="1964"/>
      <c r="NB35" s="1964">
        <v>38.46</v>
      </c>
      <c r="NC35" s="1964">
        <v>53.85</v>
      </c>
      <c r="ND35" s="1964">
        <v>7.69</v>
      </c>
      <c r="NE35" s="1964"/>
      <c r="NF35" s="1964"/>
      <c r="NG35" s="1964"/>
      <c r="NJ35" s="989">
        <f t="shared" si="116"/>
        <v>0</v>
      </c>
      <c r="NK35" s="989">
        <f t="shared" si="117"/>
        <v>0</v>
      </c>
      <c r="NL35" s="989">
        <f t="shared" si="118"/>
        <v>0</v>
      </c>
      <c r="NM35" s="989">
        <f t="shared" si="119"/>
        <v>0</v>
      </c>
      <c r="NN35" s="989">
        <f t="shared" si="120"/>
        <v>0</v>
      </c>
      <c r="NO35" s="989">
        <f t="shared" si="121"/>
        <v>1597325.7475592846</v>
      </c>
      <c r="NP35" s="989">
        <f t="shared" si="122"/>
        <v>2236505.239367329</v>
      </c>
      <c r="NQ35" s="989">
        <f t="shared" si="123"/>
        <v>319382.08525041339</v>
      </c>
      <c r="NR35" s="989">
        <f t="shared" si="124"/>
        <v>0</v>
      </c>
      <c r="NS35" s="989">
        <f t="shared" si="125"/>
        <v>0</v>
      </c>
      <c r="NT35" s="989">
        <f t="shared" si="126"/>
        <v>0</v>
      </c>
    </row>
    <row r="36" spans="1:384" ht="15" thickTop="1" thickBot="1">
      <c r="A36" s="1822">
        <v>35</v>
      </c>
      <c r="B36" s="1199"/>
      <c r="C36" s="1822">
        <v>15576289.7062419</v>
      </c>
      <c r="D36" s="1199">
        <v>167471.76410001965</v>
      </c>
      <c r="E36" s="20"/>
      <c r="F36" s="1843">
        <f t="shared" si="12"/>
        <v>15743761.470341919</v>
      </c>
      <c r="G36" s="951">
        <v>0</v>
      </c>
      <c r="H36" s="806">
        <v>0</v>
      </c>
      <c r="I36" s="806">
        <v>0</v>
      </c>
      <c r="J36" s="806">
        <v>0</v>
      </c>
      <c r="K36" s="806">
        <v>0</v>
      </c>
      <c r="L36" s="806">
        <v>0</v>
      </c>
      <c r="M36" s="806">
        <v>15.300669992001556</v>
      </c>
      <c r="N36" s="806">
        <v>65.300669992001545</v>
      </c>
      <c r="O36" s="806">
        <v>19.398660015996892</v>
      </c>
      <c r="P36" s="806">
        <v>0</v>
      </c>
      <c r="Q36" s="806"/>
      <c r="R36" s="806"/>
      <c r="S36" s="2"/>
      <c r="T36" s="114">
        <v>35</v>
      </c>
      <c r="U36" s="2">
        <f t="shared" si="127"/>
        <v>0</v>
      </c>
      <c r="V36" s="2">
        <f t="shared" si="13"/>
        <v>0</v>
      </c>
      <c r="W36" s="2">
        <f t="shared" si="14"/>
        <v>0</v>
      </c>
      <c r="X36" s="2">
        <f t="shared" si="15"/>
        <v>0</v>
      </c>
      <c r="Y36" s="2">
        <f t="shared" si="16"/>
        <v>0</v>
      </c>
      <c r="Z36" s="2">
        <f t="shared" si="17"/>
        <v>0</v>
      </c>
      <c r="AA36" s="2">
        <f t="shared" si="18"/>
        <v>2408900.9869049089</v>
      </c>
      <c r="AB36" s="2">
        <f t="shared" si="19"/>
        <v>10280781.722075867</v>
      </c>
      <c r="AC36" s="2">
        <f t="shared" si="20"/>
        <v>3054078.7613611426</v>
      </c>
      <c r="AD36" s="2">
        <f t="shared" si="21"/>
        <v>0</v>
      </c>
      <c r="AE36" s="2">
        <f t="shared" si="22"/>
        <v>0</v>
      </c>
      <c r="AF36" s="1844">
        <v>35</v>
      </c>
      <c r="AG36" s="1724">
        <f t="shared" si="23"/>
        <v>0</v>
      </c>
      <c r="AH36" s="1724">
        <f t="shared" si="24"/>
        <v>0</v>
      </c>
      <c r="AI36" s="1724">
        <f t="shared" si="25"/>
        <v>0</v>
      </c>
      <c r="AJ36" s="1724">
        <f t="shared" si="26"/>
        <v>0</v>
      </c>
      <c r="AK36" s="1724">
        <f t="shared" si="27"/>
        <v>0</v>
      </c>
      <c r="AL36" s="1724">
        <f t="shared" si="28"/>
        <v>0</v>
      </c>
      <c r="AM36" s="1724">
        <f t="shared" si="29"/>
        <v>84311534.541671813</v>
      </c>
      <c r="AN36" s="1724">
        <f t="shared" si="30"/>
        <v>359827360.27265531</v>
      </c>
      <c r="AO36" s="1724">
        <f t="shared" si="31"/>
        <v>106892756.64763999</v>
      </c>
      <c r="AP36" s="1724">
        <f t="shared" si="32"/>
        <v>0</v>
      </c>
      <c r="AR36" s="1822">
        <v>35</v>
      </c>
      <c r="AS36" s="1199"/>
      <c r="AT36" s="1">
        <v>2338113.0402783891</v>
      </c>
      <c r="AU36" s="1">
        <v>156612.72180725489</v>
      </c>
      <c r="AV36" s="20"/>
      <c r="AW36" s="1843">
        <f t="shared" si="33"/>
        <v>2494725.7620856441</v>
      </c>
      <c r="AX36" s="807"/>
      <c r="AY36" s="953"/>
      <c r="AZ36" s="1849"/>
      <c r="BA36" s="1849"/>
      <c r="BB36" s="1849"/>
      <c r="BC36" s="1849"/>
      <c r="BD36" s="1849"/>
      <c r="BE36" s="1849"/>
      <c r="BF36" s="806">
        <v>100</v>
      </c>
      <c r="BG36" s="806"/>
      <c r="BH36" s="806"/>
      <c r="BI36" s="806"/>
      <c r="BJ36" s="2"/>
      <c r="BK36" s="114">
        <v>35</v>
      </c>
      <c r="BL36" s="2">
        <f t="shared" si="128"/>
        <v>0</v>
      </c>
      <c r="BM36" s="2">
        <f t="shared" si="129"/>
        <v>0</v>
      </c>
      <c r="BN36" s="2">
        <f t="shared" si="130"/>
        <v>0</v>
      </c>
      <c r="BO36" s="2">
        <f t="shared" si="131"/>
        <v>0</v>
      </c>
      <c r="BP36" s="2">
        <f t="shared" si="132"/>
        <v>0</v>
      </c>
      <c r="BQ36" s="2">
        <f t="shared" si="133"/>
        <v>0</v>
      </c>
      <c r="BR36" s="2">
        <f t="shared" si="134"/>
        <v>0</v>
      </c>
      <c r="BS36" s="2">
        <f t="shared" si="135"/>
        <v>0</v>
      </c>
      <c r="BT36" s="2">
        <f t="shared" si="136"/>
        <v>2494725.7620856441</v>
      </c>
      <c r="BU36" s="2">
        <f t="shared" si="137"/>
        <v>0</v>
      </c>
      <c r="BV36" s="2">
        <f t="shared" si="138"/>
        <v>0</v>
      </c>
      <c r="BW36" s="1844">
        <v>35</v>
      </c>
      <c r="BX36" s="1724">
        <f t="shared" si="139"/>
        <v>0</v>
      </c>
      <c r="BY36" s="1724">
        <f t="shared" si="3"/>
        <v>0</v>
      </c>
      <c r="BZ36" s="1724">
        <f t="shared" si="4"/>
        <v>0</v>
      </c>
      <c r="CA36" s="1724">
        <f t="shared" si="5"/>
        <v>0</v>
      </c>
      <c r="CB36" s="1724">
        <f t="shared" si="6"/>
        <v>0</v>
      </c>
      <c r="CC36" s="1724">
        <f t="shared" si="7"/>
        <v>0</v>
      </c>
      <c r="CD36" s="1724">
        <f t="shared" si="8"/>
        <v>0</v>
      </c>
      <c r="CE36" s="1724">
        <f t="shared" si="9"/>
        <v>0</v>
      </c>
      <c r="CF36" s="1724">
        <f t="shared" si="10"/>
        <v>87315401.672997549</v>
      </c>
      <c r="CG36" s="1724">
        <f t="shared" si="11"/>
        <v>0</v>
      </c>
      <c r="CH36" s="75"/>
      <c r="CI36" s="1" t="s">
        <v>576</v>
      </c>
      <c r="CJ36" s="1">
        <v>19513112.065309651</v>
      </c>
      <c r="CK36" s="1">
        <f t="shared" si="213"/>
        <v>19513.112065309651</v>
      </c>
      <c r="CM36" s="638"/>
      <c r="CN36" s="1847">
        <v>33</v>
      </c>
      <c r="CO36" s="1851"/>
      <c r="CP36" s="2">
        <v>149030.96359445309</v>
      </c>
      <c r="CQ36" s="2">
        <v>1306572.0219907141</v>
      </c>
      <c r="CR36" s="646">
        <f t="shared" si="63"/>
        <v>1455602.9855851673</v>
      </c>
      <c r="CS36" s="1141"/>
      <c r="CT36" s="809"/>
      <c r="CU36" s="954"/>
      <c r="CV36" s="1850"/>
      <c r="CW36" s="1850"/>
      <c r="CX36" s="1850"/>
      <c r="CY36" s="1850"/>
      <c r="CZ36" s="1850"/>
      <c r="DA36" s="1850"/>
      <c r="DB36" s="808"/>
      <c r="DC36" s="808"/>
      <c r="DD36" s="808"/>
      <c r="DE36" s="808"/>
      <c r="DF36" s="451"/>
      <c r="DG36" s="647">
        <v>33</v>
      </c>
      <c r="DH36" s="666"/>
      <c r="DI36" s="955"/>
      <c r="DJ36" s="1852"/>
      <c r="DK36" s="1852"/>
      <c r="DL36" s="1852"/>
      <c r="DM36" s="1852">
        <v>25</v>
      </c>
      <c r="DN36" s="1852">
        <v>50</v>
      </c>
      <c r="DO36" s="1852">
        <v>25</v>
      </c>
      <c r="DP36" s="1456"/>
      <c r="DQ36" s="1456"/>
      <c r="DR36" s="1456"/>
      <c r="DS36" s="1847">
        <v>33</v>
      </c>
      <c r="DT36" s="192">
        <f t="shared" si="190"/>
        <v>0</v>
      </c>
      <c r="DU36" s="192">
        <f t="shared" si="191"/>
        <v>0</v>
      </c>
      <c r="DV36" s="192">
        <f t="shared" si="192"/>
        <v>0</v>
      </c>
      <c r="DW36" s="192">
        <f t="shared" si="193"/>
        <v>0</v>
      </c>
      <c r="DX36" s="192">
        <f t="shared" si="194"/>
        <v>0</v>
      </c>
      <c r="DY36" s="192">
        <f t="shared" si="195"/>
        <v>363900.74639629183</v>
      </c>
      <c r="DZ36" s="192">
        <f t="shared" si="196"/>
        <v>727801.49279258365</v>
      </c>
      <c r="EA36" s="192">
        <f t="shared" si="197"/>
        <v>363900.74639629183</v>
      </c>
      <c r="EB36" s="192">
        <f t="shared" si="198"/>
        <v>0</v>
      </c>
      <c r="EC36" s="192">
        <f t="shared" si="199"/>
        <v>0</v>
      </c>
      <c r="ED36" s="192">
        <f t="shared" si="200"/>
        <v>0</v>
      </c>
      <c r="EE36" s="667">
        <f t="shared" si="46"/>
        <v>1455602.9855851673</v>
      </c>
      <c r="EH36" s="973">
        <v>34</v>
      </c>
      <c r="EI36" s="974"/>
      <c r="EJ36" s="974"/>
      <c r="EK36" s="974"/>
      <c r="EL36" s="974"/>
      <c r="EM36" s="974"/>
      <c r="EN36" s="974">
        <v>3.8461538461538463</v>
      </c>
      <c r="EO36" s="974">
        <v>61.53846153846154</v>
      </c>
      <c r="EP36" s="974">
        <v>34.615384615384613</v>
      </c>
      <c r="EQ36" s="974"/>
      <c r="ER36" s="974"/>
      <c r="ES36" s="974"/>
      <c r="EX36" s="977">
        <v>100</v>
      </c>
      <c r="EY36" s="357">
        <v>648801.33506414283</v>
      </c>
      <c r="EZ36" s="989">
        <f t="shared" si="64"/>
        <v>0</v>
      </c>
      <c r="FA36" s="989">
        <f t="shared" si="47"/>
        <v>0</v>
      </c>
      <c r="FB36" s="989">
        <f t="shared" si="48"/>
        <v>0</v>
      </c>
      <c r="FC36" s="989">
        <f t="shared" si="49"/>
        <v>0</v>
      </c>
      <c r="FD36" s="989">
        <f t="shared" si="50"/>
        <v>0</v>
      </c>
      <c r="FE36" s="989">
        <f t="shared" si="51"/>
        <v>24953.897502467033</v>
      </c>
      <c r="FF36" s="989">
        <f t="shared" si="52"/>
        <v>399262.36003947252</v>
      </c>
      <c r="FG36" s="989">
        <f t="shared" si="53"/>
        <v>224585.0775222033</v>
      </c>
      <c r="FH36" s="989">
        <f t="shared" si="54"/>
        <v>0</v>
      </c>
      <c r="FI36" s="989">
        <f t="shared" si="55"/>
        <v>0</v>
      </c>
      <c r="FJ36" s="989">
        <f t="shared" si="56"/>
        <v>0</v>
      </c>
      <c r="FM36" s="1002">
        <v>34</v>
      </c>
      <c r="FN36" s="1003"/>
      <c r="FO36" s="1006"/>
      <c r="FP36" s="1006"/>
      <c r="FQ36" s="1006"/>
      <c r="FR36" s="1006"/>
      <c r="FS36" s="1006">
        <v>3.8461538461538463</v>
      </c>
      <c r="FT36" s="1006">
        <v>46.153846153846153</v>
      </c>
      <c r="FU36" s="1006">
        <v>42.307692307692307</v>
      </c>
      <c r="FV36" s="1006">
        <v>7.6923076923076925</v>
      </c>
      <c r="FW36" s="1006"/>
      <c r="FX36" s="1006"/>
      <c r="FY36" s="1006"/>
      <c r="FZ36" s="1006"/>
      <c r="GA36" s="1003"/>
      <c r="GB36" s="1004">
        <v>100</v>
      </c>
      <c r="GC36" s="1002">
        <v>34</v>
      </c>
      <c r="GD36" s="2">
        <v>2978666.4778370792</v>
      </c>
      <c r="GE36" s="989">
        <f t="shared" si="152"/>
        <v>0</v>
      </c>
      <c r="GF36" s="989">
        <f t="shared" si="153"/>
        <v>0</v>
      </c>
      <c r="GG36" s="989">
        <f t="shared" si="154"/>
        <v>0</v>
      </c>
      <c r="GH36" s="989">
        <f t="shared" si="155"/>
        <v>0</v>
      </c>
      <c r="GI36" s="989">
        <f t="shared" si="156"/>
        <v>0</v>
      </c>
      <c r="GJ36" s="989">
        <f t="shared" si="157"/>
        <v>114564.09530142613</v>
      </c>
      <c r="GK36" s="989">
        <f t="shared" si="158"/>
        <v>1374769.1436171136</v>
      </c>
      <c r="GL36" s="989">
        <f t="shared" si="159"/>
        <v>1260205.0483156873</v>
      </c>
      <c r="GM36" s="989">
        <f t="shared" si="160"/>
        <v>229128.19060285226</v>
      </c>
      <c r="GN36" s="989">
        <f t="shared" si="161"/>
        <v>0</v>
      </c>
      <c r="GO36" s="989">
        <f t="shared" si="162"/>
        <v>0</v>
      </c>
      <c r="GP36" s="989">
        <f t="shared" si="163"/>
        <v>0</v>
      </c>
      <c r="GQ36" s="989">
        <f t="shared" si="164"/>
        <v>0</v>
      </c>
      <c r="GR36" s="989">
        <f t="shared" si="165"/>
        <v>0</v>
      </c>
      <c r="GX36" s="1032">
        <v>34</v>
      </c>
      <c r="GY36" s="1">
        <v>4259607.9194235597</v>
      </c>
      <c r="GZ36" s="1041"/>
      <c r="HA36" s="1039"/>
      <c r="HB36" s="1039"/>
      <c r="HC36" s="1039"/>
      <c r="HD36" s="1039"/>
      <c r="HE36" s="1039"/>
      <c r="HF36" s="1039">
        <v>25</v>
      </c>
      <c r="HG36" s="1039">
        <v>75</v>
      </c>
      <c r="HH36" s="1039"/>
      <c r="HI36" s="1039"/>
      <c r="HJ36" s="1039"/>
      <c r="HK36" s="1039"/>
      <c r="HL36" s="1039"/>
      <c r="HM36" s="1040">
        <f t="shared" si="189"/>
        <v>100</v>
      </c>
      <c r="HN36" s="989">
        <f t="shared" si="67"/>
        <v>0</v>
      </c>
      <c r="HO36" s="989">
        <f t="shared" si="68"/>
        <v>0</v>
      </c>
      <c r="HP36" s="989">
        <f t="shared" si="69"/>
        <v>0</v>
      </c>
      <c r="HQ36" s="989">
        <f t="shared" si="70"/>
        <v>0</v>
      </c>
      <c r="HR36" s="989">
        <f t="shared" si="71"/>
        <v>0</v>
      </c>
      <c r="HS36" s="989">
        <f t="shared" si="72"/>
        <v>0</v>
      </c>
      <c r="HT36" s="989">
        <f t="shared" si="73"/>
        <v>1064901.9798558899</v>
      </c>
      <c r="HU36" s="989">
        <f t="shared" si="74"/>
        <v>3194705.9395676698</v>
      </c>
      <c r="HV36" s="989">
        <f t="shared" si="75"/>
        <v>0</v>
      </c>
      <c r="HW36" s="989">
        <f t="shared" si="76"/>
        <v>0</v>
      </c>
      <c r="HX36" s="989">
        <f t="shared" si="77"/>
        <v>0</v>
      </c>
      <c r="HY36" s="989">
        <f t="shared" si="78"/>
        <v>0</v>
      </c>
      <c r="HZ36" s="989">
        <f t="shared" si="79"/>
        <v>0</v>
      </c>
      <c r="IE36" s="2">
        <v>16592300.791885989</v>
      </c>
      <c r="IF36" s="1268">
        <v>29</v>
      </c>
      <c r="IG36" s="553"/>
      <c r="IH36" s="553"/>
      <c r="II36" s="553"/>
      <c r="IJ36" s="553">
        <v>0</v>
      </c>
      <c r="IK36" s="553">
        <v>36</v>
      </c>
      <c r="IL36" s="553">
        <v>56</v>
      </c>
      <c r="IM36" s="553">
        <v>8</v>
      </c>
      <c r="IN36" s="553"/>
      <c r="IO36" s="553"/>
      <c r="IP36" s="553"/>
      <c r="IQ36" s="553"/>
      <c r="IS36" s="1270">
        <v>29</v>
      </c>
      <c r="IT36" s="989">
        <f>$IE36*IG36/100</f>
        <v>0</v>
      </c>
      <c r="IU36" s="989">
        <f t="shared" si="202"/>
        <v>0</v>
      </c>
      <c r="IV36" s="989">
        <f t="shared" si="203"/>
        <v>0</v>
      </c>
      <c r="IW36" s="989">
        <f t="shared" si="204"/>
        <v>0</v>
      </c>
      <c r="IX36" s="989">
        <f t="shared" si="205"/>
        <v>5973228.2850789558</v>
      </c>
      <c r="IY36" s="989">
        <f t="shared" si="206"/>
        <v>9291688.4434561543</v>
      </c>
      <c r="IZ36" s="989">
        <f t="shared" si="207"/>
        <v>1327384.0633508791</v>
      </c>
      <c r="JA36" s="989">
        <f t="shared" si="208"/>
        <v>0</v>
      </c>
      <c r="JB36" s="989">
        <f t="shared" si="209"/>
        <v>0</v>
      </c>
      <c r="JC36" s="989">
        <f t="shared" si="210"/>
        <v>0</v>
      </c>
      <c r="JD36" s="989">
        <f t="shared" si="211"/>
        <v>0</v>
      </c>
      <c r="JE36" s="989">
        <f>$IE36*IR36/100</f>
        <v>0</v>
      </c>
      <c r="JG36" s="1135">
        <v>265262.18905209698</v>
      </c>
      <c r="JH36" s="1005">
        <v>29</v>
      </c>
      <c r="JI36" s="557"/>
      <c r="JJ36" s="1272"/>
      <c r="JK36" s="1272"/>
      <c r="JL36" s="1272"/>
      <c r="JM36" s="1272">
        <v>50</v>
      </c>
      <c r="JN36" s="1272">
        <v>50</v>
      </c>
      <c r="JO36" s="1272"/>
      <c r="JP36" s="1272"/>
      <c r="JQ36" s="1272"/>
      <c r="JR36" s="1272"/>
      <c r="JS36" s="1272"/>
      <c r="JT36" s="1273"/>
      <c r="JU36" s="1273"/>
      <c r="JW36" s="989">
        <f t="shared" si="103"/>
        <v>0</v>
      </c>
      <c r="JX36" s="989">
        <f t="shared" si="104"/>
        <v>0</v>
      </c>
      <c r="JY36" s="989">
        <f t="shared" si="92"/>
        <v>0</v>
      </c>
      <c r="JZ36" s="989">
        <f t="shared" si="93"/>
        <v>132631.09452604849</v>
      </c>
      <c r="KA36" s="989">
        <f t="shared" si="94"/>
        <v>132631.09452604849</v>
      </c>
      <c r="KB36" s="989">
        <f t="shared" si="95"/>
        <v>0</v>
      </c>
      <c r="KC36" s="989">
        <f t="shared" si="96"/>
        <v>0</v>
      </c>
      <c r="KD36" s="989">
        <f t="shared" si="97"/>
        <v>0</v>
      </c>
      <c r="KE36" s="989">
        <f t="shared" si="98"/>
        <v>0</v>
      </c>
      <c r="KF36" s="989">
        <f t="shared" si="99"/>
        <v>0</v>
      </c>
      <c r="KG36" s="989">
        <f t="shared" si="100"/>
        <v>0</v>
      </c>
      <c r="KJ36" s="192">
        <f t="shared" si="178"/>
        <v>0</v>
      </c>
      <c r="KK36" s="192">
        <f t="shared" si="179"/>
        <v>0</v>
      </c>
      <c r="KL36" s="192">
        <f t="shared" si="180"/>
        <v>0</v>
      </c>
      <c r="KM36" s="192">
        <f t="shared" si="181"/>
        <v>132631.09452604849</v>
      </c>
      <c r="KN36" s="192">
        <f t="shared" si="182"/>
        <v>6105859.3796050046</v>
      </c>
      <c r="KO36" s="192">
        <f t="shared" si="183"/>
        <v>9291688.4434561543</v>
      </c>
      <c r="KP36" s="192">
        <f t="shared" si="184"/>
        <v>1327384.0633508791</v>
      </c>
      <c r="KQ36" s="192">
        <f t="shared" si="185"/>
        <v>0</v>
      </c>
      <c r="KR36" s="192">
        <f t="shared" si="186"/>
        <v>0</v>
      </c>
      <c r="KS36" s="192">
        <f t="shared" si="187"/>
        <v>0</v>
      </c>
      <c r="KT36" s="192">
        <f t="shared" si="188"/>
        <v>0</v>
      </c>
      <c r="KV36" s="1032">
        <v>34</v>
      </c>
      <c r="KW36" s="2">
        <v>6306043.6856922926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31.578947368421051</v>
      </c>
      <c r="LD36" s="1">
        <v>47.368421052631582</v>
      </c>
      <c r="LE36" s="1">
        <v>21.052631578947366</v>
      </c>
      <c r="LF36" s="1">
        <v>0</v>
      </c>
      <c r="LG36" s="1">
        <v>0</v>
      </c>
      <c r="LH36" s="1">
        <v>0</v>
      </c>
      <c r="LJ36" s="989">
        <f t="shared" si="141"/>
        <v>0</v>
      </c>
      <c r="LK36" s="989">
        <f t="shared" si="142"/>
        <v>0</v>
      </c>
      <c r="LL36" s="989">
        <f t="shared" si="143"/>
        <v>0</v>
      </c>
      <c r="LM36" s="989">
        <f t="shared" si="144"/>
        <v>0</v>
      </c>
      <c r="LN36" s="989">
        <f t="shared" si="145"/>
        <v>0</v>
      </c>
      <c r="LO36" s="989">
        <f t="shared" si="146"/>
        <v>1991382.216534408</v>
      </c>
      <c r="LP36" s="989">
        <f t="shared" si="147"/>
        <v>2987073.3248016126</v>
      </c>
      <c r="LQ36" s="989">
        <f t="shared" si="148"/>
        <v>1327588.1443562722</v>
      </c>
      <c r="LR36" s="989">
        <f t="shared" si="149"/>
        <v>0</v>
      </c>
      <c r="LS36" s="989">
        <f t="shared" si="150"/>
        <v>0</v>
      </c>
      <c r="LT36" s="989">
        <f t="shared" si="151"/>
        <v>0</v>
      </c>
      <c r="LV36" s="2">
        <v>3661899.0648954916</v>
      </c>
      <c r="LW36" s="1446">
        <v>0</v>
      </c>
      <c r="LX36" s="1446">
        <v>0</v>
      </c>
      <c r="LY36" s="1446">
        <v>0</v>
      </c>
      <c r="LZ36" s="1446">
        <v>0</v>
      </c>
      <c r="MA36" s="1446">
        <v>0</v>
      </c>
      <c r="MB36" s="1446">
        <v>57.100000000000009</v>
      </c>
      <c r="MC36" s="1446">
        <v>42.9</v>
      </c>
      <c r="MD36" s="1446">
        <v>0</v>
      </c>
      <c r="ME36" s="1446">
        <v>0</v>
      </c>
      <c r="MF36" s="1446">
        <v>0</v>
      </c>
      <c r="MH36" s="1">
        <f t="shared" si="166"/>
        <v>100</v>
      </c>
      <c r="MI36" s="989">
        <f t="shared" si="167"/>
        <v>0</v>
      </c>
      <c r="MJ36" s="989">
        <f t="shared" si="168"/>
        <v>0</v>
      </c>
      <c r="MK36" s="989">
        <f t="shared" si="169"/>
        <v>0</v>
      </c>
      <c r="ML36" s="989">
        <f t="shared" si="170"/>
        <v>0</v>
      </c>
      <c r="MM36" s="989">
        <f t="shared" si="171"/>
        <v>0</v>
      </c>
      <c r="MN36" s="989">
        <f t="shared" si="172"/>
        <v>2090944.3660553258</v>
      </c>
      <c r="MO36" s="989">
        <f t="shared" si="173"/>
        <v>1570954.6988401657</v>
      </c>
      <c r="MP36" s="989">
        <f t="shared" si="174"/>
        <v>0</v>
      </c>
      <c r="MQ36" s="989">
        <f t="shared" si="175"/>
        <v>0</v>
      </c>
      <c r="MR36" s="989">
        <f t="shared" si="176"/>
        <v>0</v>
      </c>
      <c r="MS36" s="989">
        <f t="shared" si="177"/>
        <v>0</v>
      </c>
      <c r="MU36" s="1032">
        <v>34</v>
      </c>
      <c r="MV36" s="57">
        <v>2177882.6571365586</v>
      </c>
      <c r="MW36" s="1964"/>
      <c r="MX36" s="1964"/>
      <c r="MY36" s="1964"/>
      <c r="MZ36" s="1964"/>
      <c r="NA36" s="1964"/>
      <c r="NB36" s="1964"/>
      <c r="NC36" s="1964">
        <v>50</v>
      </c>
      <c r="ND36" s="1964">
        <v>50</v>
      </c>
      <c r="NE36" s="1964"/>
      <c r="NF36" s="1964"/>
      <c r="NG36" s="1964"/>
      <c r="NJ36" s="989">
        <f t="shared" si="116"/>
        <v>0</v>
      </c>
      <c r="NK36" s="989">
        <f t="shared" si="117"/>
        <v>0</v>
      </c>
      <c r="NL36" s="989">
        <f t="shared" si="118"/>
        <v>0</v>
      </c>
      <c r="NM36" s="989">
        <f t="shared" si="119"/>
        <v>0</v>
      </c>
      <c r="NN36" s="989">
        <f t="shared" si="120"/>
        <v>0</v>
      </c>
      <c r="NO36" s="989">
        <f t="shared" si="121"/>
        <v>0</v>
      </c>
      <c r="NP36" s="989">
        <f t="shared" si="122"/>
        <v>1088941.3285682793</v>
      </c>
      <c r="NQ36" s="989">
        <f t="shared" si="123"/>
        <v>1088941.3285682793</v>
      </c>
      <c r="NR36" s="989">
        <f t="shared" si="124"/>
        <v>0</v>
      </c>
      <c r="NS36" s="989">
        <f t="shared" si="125"/>
        <v>0</v>
      </c>
      <c r="NT36" s="989">
        <f t="shared" si="126"/>
        <v>0</v>
      </c>
    </row>
    <row r="37" spans="1:384" ht="15" thickTop="1" thickBot="1">
      <c r="A37" s="1822">
        <v>36</v>
      </c>
      <c r="B37" s="1199"/>
      <c r="C37" s="1822">
        <v>3964579.7512352522</v>
      </c>
      <c r="D37" s="1199">
        <v>101242.36351333496</v>
      </c>
      <c r="E37" s="20"/>
      <c r="F37" s="1843">
        <f t="shared" si="12"/>
        <v>4065822.1147485874</v>
      </c>
      <c r="G37" s="951">
        <v>0</v>
      </c>
      <c r="H37" s="806">
        <v>0</v>
      </c>
      <c r="I37" s="806">
        <v>0</v>
      </c>
      <c r="J37" s="806">
        <v>0</v>
      </c>
      <c r="K37" s="806">
        <v>0</v>
      </c>
      <c r="L37" s="806">
        <v>0</v>
      </c>
      <c r="M37" s="806">
        <v>0</v>
      </c>
      <c r="N37" s="806">
        <v>52.981208857786065</v>
      </c>
      <c r="O37" s="806">
        <v>47.018791142213942</v>
      </c>
      <c r="P37" s="806">
        <v>0</v>
      </c>
      <c r="Q37" s="806"/>
      <c r="R37" s="806"/>
      <c r="S37" s="2"/>
      <c r="T37" s="114">
        <v>36</v>
      </c>
      <c r="U37" s="2">
        <f t="shared" si="127"/>
        <v>0</v>
      </c>
      <c r="V37" s="2">
        <f t="shared" si="13"/>
        <v>0</v>
      </c>
      <c r="W37" s="2">
        <f t="shared" si="14"/>
        <v>0</v>
      </c>
      <c r="X37" s="2">
        <f t="shared" si="15"/>
        <v>0</v>
      </c>
      <c r="Y37" s="2">
        <f t="shared" si="16"/>
        <v>0</v>
      </c>
      <c r="Z37" s="2">
        <f t="shared" si="17"/>
        <v>0</v>
      </c>
      <c r="AA37" s="2">
        <f t="shared" si="18"/>
        <v>0</v>
      </c>
      <c r="AB37" s="2">
        <f t="shared" si="19"/>
        <v>2154121.7064010035</v>
      </c>
      <c r="AC37" s="2">
        <f t="shared" si="20"/>
        <v>1911700.4083475843</v>
      </c>
      <c r="AD37" s="2">
        <f t="shared" si="21"/>
        <v>0</v>
      </c>
      <c r="AE37" s="2">
        <f t="shared" si="22"/>
        <v>0</v>
      </c>
      <c r="AF37" s="1844">
        <v>36</v>
      </c>
      <c r="AG37" s="1724">
        <f t="shared" si="23"/>
        <v>0</v>
      </c>
      <c r="AH37" s="1724">
        <f t="shared" si="24"/>
        <v>0</v>
      </c>
      <c r="AI37" s="1724">
        <f t="shared" si="25"/>
        <v>0</v>
      </c>
      <c r="AJ37" s="1724">
        <f t="shared" si="26"/>
        <v>0</v>
      </c>
      <c r="AK37" s="1724">
        <f t="shared" si="27"/>
        <v>0</v>
      </c>
      <c r="AL37" s="1724">
        <f t="shared" si="28"/>
        <v>0</v>
      </c>
      <c r="AM37" s="1724">
        <f t="shared" si="29"/>
        <v>0</v>
      </c>
      <c r="AN37" s="1724">
        <f t="shared" si="30"/>
        <v>77548381.430436134</v>
      </c>
      <c r="AO37" s="1724">
        <f t="shared" si="31"/>
        <v>68821214.700513035</v>
      </c>
      <c r="AP37" s="1724">
        <f t="shared" si="32"/>
        <v>0</v>
      </c>
      <c r="AR37" s="1822">
        <v>36</v>
      </c>
      <c r="AS37" s="1199"/>
      <c r="AT37" s="1">
        <v>1956238.4352484308</v>
      </c>
      <c r="AU37" s="1">
        <v>47932.702971584782</v>
      </c>
      <c r="AV37" s="20"/>
      <c r="AW37" s="1843">
        <f t="shared" si="33"/>
        <v>2004171.1382200157</v>
      </c>
      <c r="AX37" s="951"/>
      <c r="AY37" s="806"/>
      <c r="AZ37" s="806"/>
      <c r="BA37" s="806"/>
      <c r="BB37" s="806"/>
      <c r="BC37" s="806"/>
      <c r="BD37" s="806"/>
      <c r="BE37" s="1849"/>
      <c r="BF37" s="806">
        <v>100</v>
      </c>
      <c r="BG37" s="806"/>
      <c r="BH37" s="806"/>
      <c r="BI37" s="806"/>
      <c r="BJ37" s="2"/>
      <c r="BK37" s="114">
        <v>36</v>
      </c>
      <c r="BL37" s="2">
        <f t="shared" si="128"/>
        <v>0</v>
      </c>
      <c r="BM37" s="2">
        <f t="shared" si="129"/>
        <v>0</v>
      </c>
      <c r="BN37" s="2">
        <f t="shared" si="130"/>
        <v>0</v>
      </c>
      <c r="BO37" s="2">
        <f t="shared" si="131"/>
        <v>0</v>
      </c>
      <c r="BP37" s="2">
        <f t="shared" si="132"/>
        <v>0</v>
      </c>
      <c r="BQ37" s="2">
        <f t="shared" si="133"/>
        <v>0</v>
      </c>
      <c r="BR37" s="2">
        <f t="shared" si="134"/>
        <v>0</v>
      </c>
      <c r="BS37" s="2">
        <f t="shared" si="135"/>
        <v>0</v>
      </c>
      <c r="BT37" s="2">
        <f t="shared" si="136"/>
        <v>2004171.1382200157</v>
      </c>
      <c r="BU37" s="2">
        <f t="shared" si="137"/>
        <v>0</v>
      </c>
      <c r="BV37" s="2">
        <f t="shared" si="138"/>
        <v>0</v>
      </c>
      <c r="BW37" s="1844">
        <v>36</v>
      </c>
      <c r="BX37" s="1724">
        <f t="shared" si="139"/>
        <v>0</v>
      </c>
      <c r="BY37" s="1724">
        <f t="shared" si="3"/>
        <v>0</v>
      </c>
      <c r="BZ37" s="1724">
        <f t="shared" si="4"/>
        <v>0</v>
      </c>
      <c r="CA37" s="1724">
        <f t="shared" si="5"/>
        <v>0</v>
      </c>
      <c r="CB37" s="1724">
        <f t="shared" si="6"/>
        <v>0</v>
      </c>
      <c r="CC37" s="1724">
        <f t="shared" si="7"/>
        <v>0</v>
      </c>
      <c r="CD37" s="1724">
        <f t="shared" si="8"/>
        <v>0</v>
      </c>
      <c r="CE37" s="1724">
        <f t="shared" si="9"/>
        <v>0</v>
      </c>
      <c r="CF37" s="1724">
        <f t="shared" si="10"/>
        <v>72150160.975920558</v>
      </c>
      <c r="CG37" s="1724">
        <f t="shared" si="11"/>
        <v>0</v>
      </c>
      <c r="CH37" s="75"/>
      <c r="CI37" s="1" t="s">
        <v>577</v>
      </c>
      <c r="CJ37" s="1">
        <v>8776055.9306886569</v>
      </c>
      <c r="CK37" s="1">
        <f t="shared" si="213"/>
        <v>8776.0559306886571</v>
      </c>
      <c r="CM37" s="638"/>
      <c r="CN37" s="1847">
        <v>34</v>
      </c>
      <c r="CO37" s="1851"/>
      <c r="CP37" s="2">
        <v>271.85799705582122</v>
      </c>
      <c r="CQ37" s="2">
        <v>1204362.9054256198</v>
      </c>
      <c r="CR37" s="646">
        <f t="shared" si="63"/>
        <v>1204634.7634226757</v>
      </c>
      <c r="CS37" s="1141"/>
      <c r="CT37" s="648"/>
      <c r="CU37" s="649"/>
      <c r="CV37" s="650"/>
      <c r="CW37" s="650"/>
      <c r="CX37" s="650"/>
      <c r="CY37" s="650"/>
      <c r="CZ37" s="650"/>
      <c r="DA37" s="650"/>
      <c r="DB37" s="808"/>
      <c r="DC37" s="808"/>
      <c r="DD37" s="808"/>
      <c r="DE37" s="808"/>
      <c r="DF37" s="451"/>
      <c r="DG37" s="647">
        <v>34</v>
      </c>
      <c r="DH37" s="666"/>
      <c r="DI37" s="955"/>
      <c r="DJ37" s="1852"/>
      <c r="DK37" s="1852"/>
      <c r="DL37" s="1852"/>
      <c r="DM37" s="1852"/>
      <c r="DN37" s="1852">
        <v>20</v>
      </c>
      <c r="DO37" s="1852">
        <v>80</v>
      </c>
      <c r="DP37" s="1456"/>
      <c r="DQ37" s="1456"/>
      <c r="DR37" s="1456"/>
      <c r="DS37" s="1847">
        <v>34</v>
      </c>
      <c r="DT37" s="192">
        <f t="shared" si="190"/>
        <v>0</v>
      </c>
      <c r="DU37" s="192">
        <f t="shared" si="191"/>
        <v>0</v>
      </c>
      <c r="DV37" s="192">
        <f t="shared" si="192"/>
        <v>0</v>
      </c>
      <c r="DW37" s="192">
        <f t="shared" si="193"/>
        <v>0</v>
      </c>
      <c r="DX37" s="192">
        <f t="shared" si="194"/>
        <v>0</v>
      </c>
      <c r="DY37" s="192">
        <f t="shared" si="195"/>
        <v>0</v>
      </c>
      <c r="DZ37" s="192">
        <f t="shared" si="196"/>
        <v>240926.95268453512</v>
      </c>
      <c r="EA37" s="192">
        <f t="shared" si="197"/>
        <v>963707.81073814048</v>
      </c>
      <c r="EB37" s="192">
        <f t="shared" si="198"/>
        <v>0</v>
      </c>
      <c r="EC37" s="192">
        <f t="shared" si="199"/>
        <v>0</v>
      </c>
      <c r="ED37" s="192">
        <f t="shared" si="200"/>
        <v>0</v>
      </c>
      <c r="EE37" s="667">
        <f t="shared" si="46"/>
        <v>1204634.7634226757</v>
      </c>
      <c r="EH37" s="978">
        <v>35</v>
      </c>
      <c r="EI37" s="974"/>
      <c r="EJ37" s="974"/>
      <c r="EK37" s="974"/>
      <c r="EL37" s="974"/>
      <c r="EM37" s="974"/>
      <c r="EN37" s="974">
        <v>8.3333333333333339</v>
      </c>
      <c r="EO37" s="974">
        <v>29.166666666666668</v>
      </c>
      <c r="EP37" s="974">
        <v>50</v>
      </c>
      <c r="EQ37" s="974">
        <v>12.5</v>
      </c>
      <c r="ER37" s="974"/>
      <c r="ES37" s="974"/>
      <c r="EX37" s="975">
        <v>100</v>
      </c>
      <c r="EY37" s="357">
        <v>488706.40609409742</v>
      </c>
      <c r="EZ37" s="989">
        <f t="shared" si="64"/>
        <v>0</v>
      </c>
      <c r="FA37" s="989">
        <f t="shared" si="47"/>
        <v>0</v>
      </c>
      <c r="FB37" s="989">
        <f t="shared" si="48"/>
        <v>0</v>
      </c>
      <c r="FC37" s="989">
        <f t="shared" si="49"/>
        <v>0</v>
      </c>
      <c r="FD37" s="989">
        <f t="shared" si="50"/>
        <v>0</v>
      </c>
      <c r="FE37" s="989">
        <f t="shared" si="51"/>
        <v>40725.533841174787</v>
      </c>
      <c r="FF37" s="989">
        <f t="shared" si="52"/>
        <v>142539.36844411175</v>
      </c>
      <c r="FG37" s="989">
        <f t="shared" si="53"/>
        <v>244353.20304704871</v>
      </c>
      <c r="FH37" s="989">
        <f t="shared" si="54"/>
        <v>61088.300761762177</v>
      </c>
      <c r="FI37" s="989">
        <f t="shared" si="55"/>
        <v>0</v>
      </c>
      <c r="FJ37" s="989">
        <f t="shared" si="56"/>
        <v>0</v>
      </c>
      <c r="FM37" s="1005">
        <v>35</v>
      </c>
      <c r="FN37" s="1003"/>
      <c r="FO37" s="1006"/>
      <c r="FP37" s="1006"/>
      <c r="FQ37" s="1006"/>
      <c r="FR37" s="1006"/>
      <c r="FS37" s="1006"/>
      <c r="FT37" s="1006">
        <v>26.923076923076923</v>
      </c>
      <c r="FU37" s="1006">
        <v>57.692307692307693</v>
      </c>
      <c r="FV37" s="1006">
        <v>15.384615384615385</v>
      </c>
      <c r="FW37" s="1006"/>
      <c r="FX37" s="1006"/>
      <c r="FY37" s="1006"/>
      <c r="FZ37" s="1006"/>
      <c r="GA37" s="1003"/>
      <c r="GB37" s="1004">
        <v>100</v>
      </c>
      <c r="GC37" s="1005">
        <v>35</v>
      </c>
      <c r="GD37" s="2">
        <v>2464779.9186074003</v>
      </c>
      <c r="GE37" s="989">
        <f t="shared" si="152"/>
        <v>0</v>
      </c>
      <c r="GF37" s="989">
        <f t="shared" si="153"/>
        <v>0</v>
      </c>
      <c r="GG37" s="989">
        <f t="shared" si="154"/>
        <v>0</v>
      </c>
      <c r="GH37" s="989">
        <f t="shared" si="155"/>
        <v>0</v>
      </c>
      <c r="GI37" s="989">
        <f t="shared" si="156"/>
        <v>0</v>
      </c>
      <c r="GJ37" s="989">
        <f t="shared" si="157"/>
        <v>0</v>
      </c>
      <c r="GK37" s="989">
        <f t="shared" si="158"/>
        <v>663594.59347122314</v>
      </c>
      <c r="GL37" s="989">
        <f t="shared" si="159"/>
        <v>1421988.4145811924</v>
      </c>
      <c r="GM37" s="989">
        <f t="shared" si="160"/>
        <v>379196.91055498464</v>
      </c>
      <c r="GN37" s="989">
        <f t="shared" si="161"/>
        <v>0</v>
      </c>
      <c r="GO37" s="989">
        <f t="shared" si="162"/>
        <v>0</v>
      </c>
      <c r="GP37" s="989">
        <f t="shared" si="163"/>
        <v>0</v>
      </c>
      <c r="GQ37" s="989">
        <f t="shared" si="164"/>
        <v>0</v>
      </c>
      <c r="GR37" s="989">
        <f t="shared" si="165"/>
        <v>0</v>
      </c>
      <c r="GX37" s="1034">
        <v>35</v>
      </c>
      <c r="GY37" s="1">
        <v>2762559.5867122593</v>
      </c>
      <c r="GZ37" s="1038"/>
      <c r="HA37" s="1039"/>
      <c r="HB37" s="1039"/>
      <c r="HC37" s="1039"/>
      <c r="HD37" s="1039"/>
      <c r="HE37" s="1039"/>
      <c r="HF37" s="1039">
        <v>35</v>
      </c>
      <c r="HG37" s="1039">
        <v>50</v>
      </c>
      <c r="HH37" s="1039">
        <v>15</v>
      </c>
      <c r="HI37" s="1039"/>
      <c r="HJ37" s="1039"/>
      <c r="HK37" s="1039"/>
      <c r="HL37" s="1039"/>
      <c r="HM37" s="1040">
        <f t="shared" si="189"/>
        <v>100</v>
      </c>
      <c r="HN37" s="989">
        <f t="shared" si="67"/>
        <v>0</v>
      </c>
      <c r="HO37" s="989">
        <f t="shared" si="68"/>
        <v>0</v>
      </c>
      <c r="HP37" s="989">
        <f t="shared" si="69"/>
        <v>0</v>
      </c>
      <c r="HQ37" s="989">
        <f t="shared" si="70"/>
        <v>0</v>
      </c>
      <c r="HR37" s="989">
        <f t="shared" si="71"/>
        <v>0</v>
      </c>
      <c r="HS37" s="989">
        <f t="shared" si="72"/>
        <v>0</v>
      </c>
      <c r="HT37" s="989">
        <f t="shared" si="73"/>
        <v>966895.85534929077</v>
      </c>
      <c r="HU37" s="989">
        <f t="shared" si="74"/>
        <v>1381279.7933561294</v>
      </c>
      <c r="HV37" s="989">
        <f t="shared" si="75"/>
        <v>414383.93800683896</v>
      </c>
      <c r="HW37" s="989">
        <f t="shared" si="76"/>
        <v>0</v>
      </c>
      <c r="HX37" s="989">
        <f t="shared" si="77"/>
        <v>0</v>
      </c>
      <c r="HY37" s="989">
        <f t="shared" si="78"/>
        <v>0</v>
      </c>
      <c r="HZ37" s="989">
        <f t="shared" si="79"/>
        <v>0</v>
      </c>
      <c r="IE37" s="2">
        <v>17981568.009823173</v>
      </c>
      <c r="IF37" s="1002">
        <v>30</v>
      </c>
      <c r="IG37" s="553"/>
      <c r="IH37" s="553"/>
      <c r="II37" s="553"/>
      <c r="IJ37" s="553"/>
      <c r="IK37" s="553">
        <v>19.047619047619047</v>
      </c>
      <c r="IL37" s="553">
        <v>57.142857142857146</v>
      </c>
      <c r="IM37" s="553">
        <v>23.80952380952381</v>
      </c>
      <c r="IN37" s="553"/>
      <c r="IO37" s="553"/>
      <c r="IP37" s="553"/>
      <c r="IQ37" s="553"/>
      <c r="IS37" s="1270">
        <v>30</v>
      </c>
      <c r="IT37" s="989">
        <f t="shared" ref="IT37:IT49" si="214">$IE37*IG37/100</f>
        <v>0</v>
      </c>
      <c r="IU37" s="989">
        <f t="shared" si="202"/>
        <v>0</v>
      </c>
      <c r="IV37" s="989">
        <f t="shared" si="203"/>
        <v>0</v>
      </c>
      <c r="IW37" s="989">
        <f t="shared" si="204"/>
        <v>0</v>
      </c>
      <c r="IX37" s="989">
        <f t="shared" si="205"/>
        <v>3425060.573299652</v>
      </c>
      <c r="IY37" s="989">
        <f t="shared" si="206"/>
        <v>10275181.719898958</v>
      </c>
      <c r="IZ37" s="989">
        <f t="shared" si="207"/>
        <v>4281325.7166245654</v>
      </c>
      <c r="JA37" s="989">
        <f t="shared" si="208"/>
        <v>0</v>
      </c>
      <c r="JB37" s="989">
        <f t="shared" si="209"/>
        <v>0</v>
      </c>
      <c r="JC37" s="989">
        <f t="shared" si="210"/>
        <v>0</v>
      </c>
      <c r="JD37" s="989">
        <f t="shared" si="211"/>
        <v>0</v>
      </c>
      <c r="JE37" s="989">
        <f t="shared" ref="JE37:JE49" si="215">$IE37*IR37/100</f>
        <v>0</v>
      </c>
      <c r="JG37" s="1135">
        <v>271751.15145661234</v>
      </c>
      <c r="JH37" s="1002">
        <v>30</v>
      </c>
      <c r="JI37" s="666"/>
      <c r="JJ37" s="1272"/>
      <c r="JK37" s="1272"/>
      <c r="JL37" s="1272"/>
      <c r="JM37" s="1272"/>
      <c r="JN37" s="1272">
        <v>100</v>
      </c>
      <c r="JO37" s="1272"/>
      <c r="JP37" s="1272"/>
      <c r="JQ37" s="1272"/>
      <c r="JR37" s="1272"/>
      <c r="JS37" s="1272"/>
      <c r="JT37" s="1273"/>
      <c r="JU37" s="1273"/>
      <c r="JW37" s="989">
        <f t="shared" si="103"/>
        <v>0</v>
      </c>
      <c r="JX37" s="989">
        <f t="shared" si="104"/>
        <v>0</v>
      </c>
      <c r="JY37" s="989">
        <f t="shared" si="92"/>
        <v>0</v>
      </c>
      <c r="JZ37" s="989">
        <f t="shared" si="93"/>
        <v>0</v>
      </c>
      <c r="KA37" s="989">
        <f t="shared" si="94"/>
        <v>271751.15145661234</v>
      </c>
      <c r="KB37" s="989">
        <f t="shared" si="95"/>
        <v>0</v>
      </c>
      <c r="KC37" s="989">
        <f t="shared" si="96"/>
        <v>0</v>
      </c>
      <c r="KD37" s="989">
        <f t="shared" si="97"/>
        <v>0</v>
      </c>
      <c r="KE37" s="989">
        <f t="shared" si="98"/>
        <v>0</v>
      </c>
      <c r="KF37" s="989">
        <f t="shared" si="99"/>
        <v>0</v>
      </c>
      <c r="KG37" s="989">
        <f t="shared" si="100"/>
        <v>0</v>
      </c>
      <c r="KJ37" s="192">
        <f t="shared" si="178"/>
        <v>0</v>
      </c>
      <c r="KK37" s="192">
        <f t="shared" si="179"/>
        <v>0</v>
      </c>
      <c r="KL37" s="192">
        <f t="shared" si="180"/>
        <v>0</v>
      </c>
      <c r="KM37" s="192">
        <f t="shared" si="181"/>
        <v>0</v>
      </c>
      <c r="KN37" s="192">
        <f t="shared" si="182"/>
        <v>3696811.7247562641</v>
      </c>
      <c r="KO37" s="192">
        <f t="shared" si="183"/>
        <v>10275181.719898958</v>
      </c>
      <c r="KP37" s="192">
        <f t="shared" si="184"/>
        <v>4281325.7166245654</v>
      </c>
      <c r="KQ37" s="192">
        <f t="shared" si="185"/>
        <v>0</v>
      </c>
      <c r="KR37" s="192">
        <f t="shared" si="186"/>
        <v>0</v>
      </c>
      <c r="KS37" s="192">
        <f t="shared" si="187"/>
        <v>0</v>
      </c>
      <c r="KT37" s="192">
        <f t="shared" si="188"/>
        <v>0</v>
      </c>
      <c r="KV37" s="1034">
        <v>35</v>
      </c>
      <c r="KW37" s="2">
        <v>4621886.123572235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36.363636363636367</v>
      </c>
      <c r="LD37" s="1">
        <v>27.27272727272727</v>
      </c>
      <c r="LE37" s="1">
        <v>18.181818181818183</v>
      </c>
      <c r="LF37" s="1">
        <v>18.181818181818183</v>
      </c>
      <c r="LG37" s="1">
        <v>0</v>
      </c>
      <c r="LH37" s="1">
        <v>0</v>
      </c>
      <c r="LJ37" s="989">
        <f t="shared" si="141"/>
        <v>0</v>
      </c>
      <c r="LK37" s="989">
        <f t="shared" si="142"/>
        <v>0</v>
      </c>
      <c r="LL37" s="989">
        <f t="shared" si="143"/>
        <v>0</v>
      </c>
      <c r="LM37" s="989">
        <f t="shared" si="144"/>
        <v>0</v>
      </c>
      <c r="LN37" s="989">
        <f t="shared" si="145"/>
        <v>0</v>
      </c>
      <c r="LO37" s="989">
        <f t="shared" si="146"/>
        <v>1680685.8631171766</v>
      </c>
      <c r="LP37" s="989">
        <f t="shared" si="147"/>
        <v>1260514.3973378821</v>
      </c>
      <c r="LQ37" s="989">
        <f t="shared" si="148"/>
        <v>840342.93155858829</v>
      </c>
      <c r="LR37" s="989">
        <f t="shared" si="149"/>
        <v>840342.93155858829</v>
      </c>
      <c r="LS37" s="989">
        <f t="shared" si="150"/>
        <v>0</v>
      </c>
      <c r="LT37" s="989">
        <f t="shared" si="151"/>
        <v>0</v>
      </c>
      <c r="LV37" s="2">
        <v>2763646.6717319516</v>
      </c>
      <c r="LW37" s="1446">
        <v>0</v>
      </c>
      <c r="LX37" s="1446">
        <v>0</v>
      </c>
      <c r="LY37" s="1446">
        <v>0</v>
      </c>
      <c r="LZ37" s="1446">
        <v>0</v>
      </c>
      <c r="MA37" s="1446">
        <v>0</v>
      </c>
      <c r="MB37" s="1446">
        <v>40</v>
      </c>
      <c r="MC37" s="1446">
        <v>60</v>
      </c>
      <c r="MD37" s="1446">
        <v>0</v>
      </c>
      <c r="ME37" s="1446">
        <v>0</v>
      </c>
      <c r="MF37" s="1446">
        <v>0</v>
      </c>
      <c r="MH37" s="1">
        <f t="shared" si="166"/>
        <v>100</v>
      </c>
      <c r="MI37" s="989">
        <f t="shared" si="167"/>
        <v>0</v>
      </c>
      <c r="MJ37" s="989">
        <f t="shared" si="168"/>
        <v>0</v>
      </c>
      <c r="MK37" s="989">
        <f t="shared" si="169"/>
        <v>0</v>
      </c>
      <c r="ML37" s="989">
        <f t="shared" si="170"/>
        <v>0</v>
      </c>
      <c r="MM37" s="989">
        <f t="shared" si="171"/>
        <v>0</v>
      </c>
      <c r="MN37" s="989">
        <f t="shared" si="172"/>
        <v>1105458.6686927807</v>
      </c>
      <c r="MO37" s="989">
        <f t="shared" si="173"/>
        <v>1658188.003039171</v>
      </c>
      <c r="MP37" s="989">
        <f t="shared" si="174"/>
        <v>0</v>
      </c>
      <c r="MQ37" s="989">
        <f t="shared" si="175"/>
        <v>0</v>
      </c>
      <c r="MR37" s="989">
        <f t="shared" si="176"/>
        <v>0</v>
      </c>
      <c r="MS37" s="989">
        <f t="shared" si="177"/>
        <v>0</v>
      </c>
      <c r="MU37" s="1034">
        <v>35</v>
      </c>
      <c r="MV37" s="57">
        <v>1084283.234147009</v>
      </c>
      <c r="MW37" s="1964"/>
      <c r="MX37" s="1964"/>
      <c r="MY37" s="1964"/>
      <c r="MZ37" s="1964"/>
      <c r="NA37" s="1964"/>
      <c r="NB37" s="1964"/>
      <c r="NC37" s="1964">
        <v>33.33</v>
      </c>
      <c r="ND37" s="1964">
        <v>66.67</v>
      </c>
      <c r="NE37" s="1964"/>
      <c r="NF37" s="1964"/>
      <c r="NG37" s="1964"/>
      <c r="NJ37" s="989">
        <f t="shared" si="116"/>
        <v>0</v>
      </c>
      <c r="NK37" s="989">
        <f t="shared" si="117"/>
        <v>0</v>
      </c>
      <c r="NL37" s="989">
        <f t="shared" si="118"/>
        <v>0</v>
      </c>
      <c r="NM37" s="989">
        <f t="shared" si="119"/>
        <v>0</v>
      </c>
      <c r="NN37" s="989">
        <f t="shared" si="120"/>
        <v>0</v>
      </c>
      <c r="NO37" s="989">
        <f t="shared" si="121"/>
        <v>0</v>
      </c>
      <c r="NP37" s="989">
        <f t="shared" si="122"/>
        <v>361391.60194119805</v>
      </c>
      <c r="NQ37" s="989">
        <f t="shared" si="123"/>
        <v>722891.63220581086</v>
      </c>
      <c r="NR37" s="989">
        <f t="shared" si="124"/>
        <v>0</v>
      </c>
      <c r="NS37" s="989">
        <f t="shared" si="125"/>
        <v>0</v>
      </c>
      <c r="NT37" s="989">
        <f t="shared" si="126"/>
        <v>0</v>
      </c>
    </row>
    <row r="38" spans="1:384" ht="15" thickTop="1" thickBot="1">
      <c r="A38" s="1822">
        <v>37</v>
      </c>
      <c r="B38" s="1199"/>
      <c r="C38" s="1822">
        <v>3484374.8542528958</v>
      </c>
      <c r="D38" s="1199">
        <v>50185.390007557427</v>
      </c>
      <c r="E38" s="20"/>
      <c r="F38" s="1843">
        <f t="shared" si="12"/>
        <v>3534560.2442604532</v>
      </c>
      <c r="G38" s="951">
        <v>0</v>
      </c>
      <c r="H38" s="806">
        <v>0</v>
      </c>
      <c r="I38" s="806">
        <v>0</v>
      </c>
      <c r="J38" s="806">
        <v>0</v>
      </c>
      <c r="K38" s="806">
        <v>0</v>
      </c>
      <c r="L38" s="806">
        <v>0</v>
      </c>
      <c r="M38" s="806">
        <v>1.4570296283703974</v>
      </c>
      <c r="N38" s="806">
        <v>20.874217777022238</v>
      </c>
      <c r="O38" s="806">
        <v>77.668752594607369</v>
      </c>
      <c r="P38" s="806">
        <v>0</v>
      </c>
      <c r="Q38" s="806"/>
      <c r="R38" s="806"/>
      <c r="S38" s="2"/>
      <c r="T38" s="114">
        <v>37</v>
      </c>
      <c r="U38" s="2">
        <f t="shared" si="127"/>
        <v>0</v>
      </c>
      <c r="V38" s="2">
        <f t="shared" si="13"/>
        <v>0</v>
      </c>
      <c r="W38" s="2">
        <f t="shared" si="14"/>
        <v>0</v>
      </c>
      <c r="X38" s="2">
        <f t="shared" si="15"/>
        <v>0</v>
      </c>
      <c r="Y38" s="2">
        <f t="shared" si="16"/>
        <v>0</v>
      </c>
      <c r="Z38" s="2">
        <f t="shared" si="17"/>
        <v>0</v>
      </c>
      <c r="AA38" s="2">
        <f t="shared" si="18"/>
        <v>51499.589991475892</v>
      </c>
      <c r="AB38" s="2">
        <f t="shared" si="19"/>
        <v>737811.80284697621</v>
      </c>
      <c r="AC38" s="2">
        <f t="shared" si="20"/>
        <v>2745248.8514220011</v>
      </c>
      <c r="AD38" s="2">
        <f t="shared" si="21"/>
        <v>0</v>
      </c>
      <c r="AE38" s="2">
        <f t="shared" si="22"/>
        <v>0</v>
      </c>
      <c r="AF38" s="1844">
        <v>37</v>
      </c>
      <c r="AG38" s="1724">
        <f t="shared" si="23"/>
        <v>0</v>
      </c>
      <c r="AH38" s="1724">
        <f t="shared" si="24"/>
        <v>0</v>
      </c>
      <c r="AI38" s="1724">
        <f t="shared" si="25"/>
        <v>0</v>
      </c>
      <c r="AJ38" s="1724">
        <f t="shared" si="26"/>
        <v>0</v>
      </c>
      <c r="AK38" s="1724">
        <f t="shared" si="27"/>
        <v>0</v>
      </c>
      <c r="AL38" s="1724">
        <f t="shared" si="28"/>
        <v>0</v>
      </c>
      <c r="AM38" s="1724">
        <f t="shared" si="29"/>
        <v>1905484.8296846079</v>
      </c>
      <c r="AN38" s="1724">
        <f t="shared" si="30"/>
        <v>27299036.70533812</v>
      </c>
      <c r="AO38" s="1724">
        <f t="shared" si="31"/>
        <v>101574207.50261404</v>
      </c>
      <c r="AP38" s="1724">
        <f t="shared" si="32"/>
        <v>0</v>
      </c>
      <c r="AR38" s="1822">
        <v>37</v>
      </c>
      <c r="AS38" s="1199"/>
      <c r="AT38" s="1">
        <v>2218497.848673631</v>
      </c>
      <c r="AU38" s="1">
        <v>11983.175742896199</v>
      </c>
      <c r="AV38" s="20"/>
      <c r="AW38" s="1843">
        <f t="shared" si="33"/>
        <v>2230481.0244165272</v>
      </c>
      <c r="AX38" s="951"/>
      <c r="AY38" s="806"/>
      <c r="AZ38" s="806"/>
      <c r="BA38" s="806"/>
      <c r="BB38" s="806"/>
      <c r="BC38" s="806"/>
      <c r="BD38" s="806"/>
      <c r="BE38" s="1849"/>
      <c r="BF38" s="806">
        <v>100</v>
      </c>
      <c r="BG38" s="806"/>
      <c r="BH38" s="806"/>
      <c r="BI38" s="806"/>
      <c r="BJ38" s="2"/>
      <c r="BK38" s="114">
        <v>37</v>
      </c>
      <c r="BL38" s="2">
        <f t="shared" si="128"/>
        <v>0</v>
      </c>
      <c r="BM38" s="2">
        <f t="shared" si="129"/>
        <v>0</v>
      </c>
      <c r="BN38" s="2">
        <f t="shared" si="130"/>
        <v>0</v>
      </c>
      <c r="BO38" s="2">
        <f t="shared" si="131"/>
        <v>0</v>
      </c>
      <c r="BP38" s="2">
        <f t="shared" si="132"/>
        <v>0</v>
      </c>
      <c r="BQ38" s="2">
        <f t="shared" si="133"/>
        <v>0</v>
      </c>
      <c r="BR38" s="2">
        <f t="shared" si="134"/>
        <v>0</v>
      </c>
      <c r="BS38" s="2">
        <f t="shared" si="135"/>
        <v>0</v>
      </c>
      <c r="BT38" s="2">
        <f t="shared" si="136"/>
        <v>2230481.0244165272</v>
      </c>
      <c r="BU38" s="2">
        <f t="shared" si="137"/>
        <v>0</v>
      </c>
      <c r="BV38" s="2">
        <f t="shared" si="138"/>
        <v>0</v>
      </c>
      <c r="BW38" s="1844">
        <v>37</v>
      </c>
      <c r="BX38" s="1724">
        <f t="shared" si="139"/>
        <v>0</v>
      </c>
      <c r="BY38" s="1724">
        <f t="shared" si="3"/>
        <v>0</v>
      </c>
      <c r="BZ38" s="1724">
        <f t="shared" si="4"/>
        <v>0</v>
      </c>
      <c r="CA38" s="1724">
        <f t="shared" si="5"/>
        <v>0</v>
      </c>
      <c r="CB38" s="1724">
        <f t="shared" si="6"/>
        <v>0</v>
      </c>
      <c r="CC38" s="1724">
        <f t="shared" si="7"/>
        <v>0</v>
      </c>
      <c r="CD38" s="1724">
        <f t="shared" si="8"/>
        <v>0</v>
      </c>
      <c r="CE38" s="1724">
        <f t="shared" si="9"/>
        <v>0</v>
      </c>
      <c r="CF38" s="1724">
        <f t="shared" si="10"/>
        <v>82527797.903411508</v>
      </c>
      <c r="CG38" s="1724">
        <f t="shared" si="11"/>
        <v>0</v>
      </c>
      <c r="CH38" s="75"/>
      <c r="CI38" s="1" t="s">
        <v>578</v>
      </c>
      <c r="CJ38" s="1">
        <v>4582359.6228738185</v>
      </c>
      <c r="CK38" s="1">
        <f t="shared" si="213"/>
        <v>4582.3596228738188</v>
      </c>
      <c r="CM38" s="638"/>
      <c r="CN38" s="1847">
        <v>35</v>
      </c>
      <c r="CO38" s="1851"/>
      <c r="CP38" s="2">
        <v>0</v>
      </c>
      <c r="CQ38" s="2">
        <v>640071.79645530367</v>
      </c>
      <c r="CR38" s="646">
        <f t="shared" si="63"/>
        <v>640071.79645530367</v>
      </c>
      <c r="CS38" s="1141"/>
      <c r="CT38" s="809"/>
      <c r="CU38" s="954"/>
      <c r="CV38" s="1850"/>
      <c r="CW38" s="1850"/>
      <c r="CX38" s="1850"/>
      <c r="CY38" s="1850"/>
      <c r="CZ38" s="1850"/>
      <c r="DA38" s="1850"/>
      <c r="DB38" s="808"/>
      <c r="DC38" s="808"/>
      <c r="DD38" s="808"/>
      <c r="DE38" s="808"/>
      <c r="DF38" s="451"/>
      <c r="DG38" s="647">
        <v>35</v>
      </c>
      <c r="DH38" s="553"/>
      <c r="DI38" s="554"/>
      <c r="DJ38" s="555"/>
      <c r="DK38" s="555"/>
      <c r="DL38" s="555"/>
      <c r="DM38" s="555"/>
      <c r="DN38" s="555"/>
      <c r="DO38" s="555">
        <v>66.666666666666671</v>
      </c>
      <c r="DP38" s="561">
        <v>33.333333333333336</v>
      </c>
      <c r="DQ38" s="561"/>
      <c r="DR38" s="561"/>
      <c r="DS38" s="1847">
        <v>35</v>
      </c>
      <c r="DT38" s="192">
        <f t="shared" si="190"/>
        <v>0</v>
      </c>
      <c r="DU38" s="192">
        <f t="shared" si="191"/>
        <v>0</v>
      </c>
      <c r="DV38" s="192">
        <f t="shared" si="192"/>
        <v>0</v>
      </c>
      <c r="DW38" s="192">
        <f t="shared" si="193"/>
        <v>0</v>
      </c>
      <c r="DX38" s="192">
        <f t="shared" si="194"/>
        <v>0</v>
      </c>
      <c r="DY38" s="192">
        <f t="shared" si="195"/>
        <v>0</v>
      </c>
      <c r="DZ38" s="192">
        <f t="shared" si="196"/>
        <v>0</v>
      </c>
      <c r="EA38" s="192">
        <f t="shared" si="197"/>
        <v>426714.53097020247</v>
      </c>
      <c r="EB38" s="192">
        <f t="shared" si="198"/>
        <v>213357.26548510123</v>
      </c>
      <c r="EC38" s="192">
        <f t="shared" si="199"/>
        <v>0</v>
      </c>
      <c r="ED38" s="192">
        <f t="shared" si="200"/>
        <v>0</v>
      </c>
      <c r="EE38" s="667">
        <f t="shared" si="46"/>
        <v>640071.79645530367</v>
      </c>
      <c r="EH38" s="973">
        <v>36</v>
      </c>
      <c r="EI38" s="974"/>
      <c r="EJ38" s="974"/>
      <c r="EK38" s="974"/>
      <c r="EL38" s="974"/>
      <c r="EM38" s="974"/>
      <c r="EN38" s="974"/>
      <c r="EO38" s="974">
        <v>31.25</v>
      </c>
      <c r="EP38" s="974">
        <v>50</v>
      </c>
      <c r="EQ38" s="974">
        <v>18.75</v>
      </c>
      <c r="ER38" s="974"/>
      <c r="ES38" s="974"/>
      <c r="EX38" s="975">
        <v>100</v>
      </c>
      <c r="EY38" s="357">
        <v>576221.37575649342</v>
      </c>
      <c r="EZ38" s="989">
        <f t="shared" si="64"/>
        <v>0</v>
      </c>
      <c r="FA38" s="989">
        <f t="shared" si="47"/>
        <v>0</v>
      </c>
      <c r="FB38" s="989">
        <f t="shared" si="48"/>
        <v>0</v>
      </c>
      <c r="FC38" s="989">
        <f t="shared" si="49"/>
        <v>0</v>
      </c>
      <c r="FD38" s="989">
        <f t="shared" si="50"/>
        <v>0</v>
      </c>
      <c r="FE38" s="989">
        <f t="shared" si="51"/>
        <v>0</v>
      </c>
      <c r="FF38" s="989">
        <f t="shared" si="52"/>
        <v>180069.17992390422</v>
      </c>
      <c r="FG38" s="989">
        <f t="shared" si="53"/>
        <v>288110.68787824671</v>
      </c>
      <c r="FH38" s="989">
        <f t="shared" si="54"/>
        <v>108041.50795434251</v>
      </c>
      <c r="FI38" s="989">
        <f t="shared" si="55"/>
        <v>0</v>
      </c>
      <c r="FJ38" s="989">
        <f t="shared" si="56"/>
        <v>0</v>
      </c>
      <c r="FM38" s="1002">
        <v>36</v>
      </c>
      <c r="FN38" s="1003"/>
      <c r="FO38" s="1006"/>
      <c r="FP38" s="1006"/>
      <c r="FQ38" s="1006"/>
      <c r="FR38" s="1006"/>
      <c r="FS38" s="1006"/>
      <c r="FT38" s="1006">
        <v>25</v>
      </c>
      <c r="FU38" s="1006">
        <v>54.166666666666664</v>
      </c>
      <c r="FV38" s="1006">
        <v>20.833333333333332</v>
      </c>
      <c r="FW38" s="1006"/>
      <c r="FX38" s="1006"/>
      <c r="FY38" s="1006"/>
      <c r="FZ38" s="1006"/>
      <c r="GA38" s="1003"/>
      <c r="GB38" s="1004">
        <v>99.999999999999986</v>
      </c>
      <c r="GC38" s="1002">
        <v>36</v>
      </c>
      <c r="GD38" s="2">
        <v>2144663.0084645972</v>
      </c>
      <c r="GE38" s="989">
        <f t="shared" si="152"/>
        <v>0</v>
      </c>
      <c r="GF38" s="989">
        <f t="shared" si="153"/>
        <v>0</v>
      </c>
      <c r="GG38" s="989">
        <f t="shared" si="154"/>
        <v>0</v>
      </c>
      <c r="GH38" s="989">
        <f t="shared" si="155"/>
        <v>0</v>
      </c>
      <c r="GI38" s="989">
        <f t="shared" si="156"/>
        <v>0</v>
      </c>
      <c r="GJ38" s="989">
        <f t="shared" si="157"/>
        <v>0</v>
      </c>
      <c r="GK38" s="989">
        <f t="shared" si="158"/>
        <v>536165.75211614929</v>
      </c>
      <c r="GL38" s="989">
        <f t="shared" si="159"/>
        <v>1161692.4629183235</v>
      </c>
      <c r="GM38" s="989">
        <f t="shared" si="160"/>
        <v>446804.79343012435</v>
      </c>
      <c r="GN38" s="989">
        <f t="shared" si="161"/>
        <v>0</v>
      </c>
      <c r="GO38" s="989">
        <f t="shared" si="162"/>
        <v>0</v>
      </c>
      <c r="GP38" s="989">
        <f t="shared" si="163"/>
        <v>0</v>
      </c>
      <c r="GQ38" s="989">
        <f t="shared" si="164"/>
        <v>0</v>
      </c>
      <c r="GR38" s="989">
        <f t="shared" si="165"/>
        <v>0</v>
      </c>
      <c r="GX38" s="1032">
        <v>36</v>
      </c>
      <c r="GY38" s="1">
        <v>1865755.9531102658</v>
      </c>
      <c r="GZ38" s="1041"/>
      <c r="HA38" s="1039"/>
      <c r="HB38" s="1039"/>
      <c r="HC38" s="1039"/>
      <c r="HD38" s="1039"/>
      <c r="HE38" s="1039"/>
      <c r="HF38" s="1039">
        <v>5</v>
      </c>
      <c r="HG38" s="1039">
        <v>50</v>
      </c>
      <c r="HH38" s="1039">
        <v>45</v>
      </c>
      <c r="HI38" s="1039"/>
      <c r="HJ38" s="1039"/>
      <c r="HK38" s="1039"/>
      <c r="HL38" s="1039"/>
      <c r="HM38" s="1040">
        <f t="shared" si="189"/>
        <v>100</v>
      </c>
      <c r="HN38" s="989">
        <f t="shared" si="67"/>
        <v>0</v>
      </c>
      <c r="HO38" s="989">
        <f t="shared" si="68"/>
        <v>0</v>
      </c>
      <c r="HP38" s="989">
        <f t="shared" si="69"/>
        <v>0</v>
      </c>
      <c r="HQ38" s="989">
        <f t="shared" si="70"/>
        <v>0</v>
      </c>
      <c r="HR38" s="989">
        <f t="shared" si="71"/>
        <v>0</v>
      </c>
      <c r="HS38" s="989">
        <f t="shared" si="72"/>
        <v>0</v>
      </c>
      <c r="HT38" s="989">
        <f t="shared" si="73"/>
        <v>93287.797655513292</v>
      </c>
      <c r="HU38" s="989">
        <f t="shared" si="74"/>
        <v>932877.97655513289</v>
      </c>
      <c r="HV38" s="989">
        <f t="shared" si="75"/>
        <v>839590.17889961961</v>
      </c>
      <c r="HW38" s="989">
        <f t="shared" si="76"/>
        <v>0</v>
      </c>
      <c r="HX38" s="989">
        <f t="shared" si="77"/>
        <v>0</v>
      </c>
      <c r="HY38" s="989">
        <f t="shared" si="78"/>
        <v>0</v>
      </c>
      <c r="HZ38" s="989">
        <f t="shared" si="79"/>
        <v>0</v>
      </c>
      <c r="IE38" s="2">
        <v>8852655.0049217977</v>
      </c>
      <c r="IF38" s="1005">
        <v>31</v>
      </c>
      <c r="IG38" s="553"/>
      <c r="IH38" s="553"/>
      <c r="II38" s="553"/>
      <c r="IJ38" s="553"/>
      <c r="IK38" s="553"/>
      <c r="IL38" s="553">
        <v>52.631578947368418</v>
      </c>
      <c r="IM38" s="553">
        <v>47.368421052631582</v>
      </c>
      <c r="IN38" s="553"/>
      <c r="IO38" s="553"/>
      <c r="IP38" s="553"/>
      <c r="IQ38" s="553"/>
      <c r="IS38" s="1270">
        <v>31</v>
      </c>
      <c r="IT38" s="989">
        <f t="shared" si="214"/>
        <v>0</v>
      </c>
      <c r="IU38" s="989">
        <f t="shared" si="202"/>
        <v>0</v>
      </c>
      <c r="IV38" s="989">
        <f t="shared" si="203"/>
        <v>0</v>
      </c>
      <c r="IW38" s="989">
        <f t="shared" si="204"/>
        <v>0</v>
      </c>
      <c r="IX38" s="989">
        <f t="shared" si="205"/>
        <v>0</v>
      </c>
      <c r="IY38" s="989">
        <f t="shared" si="206"/>
        <v>4659292.1078535775</v>
      </c>
      <c r="IZ38" s="989">
        <f t="shared" si="207"/>
        <v>4193362.8970682202</v>
      </c>
      <c r="JA38" s="989">
        <f t="shared" si="208"/>
        <v>0</v>
      </c>
      <c r="JB38" s="989">
        <f t="shared" si="209"/>
        <v>0</v>
      </c>
      <c r="JC38" s="989">
        <f t="shared" si="210"/>
        <v>0</v>
      </c>
      <c r="JD38" s="989">
        <f t="shared" si="211"/>
        <v>0</v>
      </c>
      <c r="JE38" s="989">
        <f t="shared" si="215"/>
        <v>0</v>
      </c>
      <c r="JG38" s="1135">
        <v>377824.02189890755</v>
      </c>
      <c r="JH38" s="1002">
        <v>31</v>
      </c>
      <c r="JI38" s="666"/>
      <c r="JJ38" s="1272"/>
      <c r="JK38" s="1272"/>
      <c r="JL38" s="1272"/>
      <c r="JM38" s="1272"/>
      <c r="JN38" s="1272">
        <v>100</v>
      </c>
      <c r="JO38" s="1272"/>
      <c r="JP38" s="1272"/>
      <c r="JQ38" s="1272"/>
      <c r="JR38" s="1272"/>
      <c r="JS38" s="1272"/>
      <c r="JT38" s="1273"/>
      <c r="JU38" s="1273"/>
      <c r="JW38" s="989">
        <f t="shared" si="103"/>
        <v>0</v>
      </c>
      <c r="JX38" s="989">
        <f t="shared" si="104"/>
        <v>0</v>
      </c>
      <c r="JY38" s="989">
        <f t="shared" si="92"/>
        <v>0</v>
      </c>
      <c r="JZ38" s="989">
        <f t="shared" si="93"/>
        <v>0</v>
      </c>
      <c r="KA38" s="989">
        <f t="shared" si="94"/>
        <v>377824.02189890755</v>
      </c>
      <c r="KB38" s="989">
        <f t="shared" si="95"/>
        <v>0</v>
      </c>
      <c r="KC38" s="989">
        <f t="shared" si="96"/>
        <v>0</v>
      </c>
      <c r="KD38" s="989">
        <f t="shared" si="97"/>
        <v>0</v>
      </c>
      <c r="KE38" s="989">
        <f t="shared" si="98"/>
        <v>0</v>
      </c>
      <c r="KF38" s="989">
        <f t="shared" si="99"/>
        <v>0</v>
      </c>
      <c r="KG38" s="989">
        <f t="shared" si="100"/>
        <v>0</v>
      </c>
      <c r="KJ38" s="192">
        <f t="shared" si="178"/>
        <v>0</v>
      </c>
      <c r="KK38" s="192">
        <f t="shared" si="179"/>
        <v>0</v>
      </c>
      <c r="KL38" s="192">
        <f t="shared" si="180"/>
        <v>0</v>
      </c>
      <c r="KM38" s="192">
        <f t="shared" si="181"/>
        <v>0</v>
      </c>
      <c r="KN38" s="192">
        <f t="shared" si="182"/>
        <v>377824.02189890755</v>
      </c>
      <c r="KO38" s="192">
        <f t="shared" si="183"/>
        <v>4659292.1078535775</v>
      </c>
      <c r="KP38" s="192">
        <f t="shared" si="184"/>
        <v>4193362.8970682202</v>
      </c>
      <c r="KQ38" s="192">
        <f t="shared" si="185"/>
        <v>0</v>
      </c>
      <c r="KR38" s="192">
        <f t="shared" si="186"/>
        <v>0</v>
      </c>
      <c r="KS38" s="192">
        <f t="shared" si="187"/>
        <v>0</v>
      </c>
      <c r="KT38" s="192">
        <f t="shared" si="188"/>
        <v>0</v>
      </c>
      <c r="KV38" s="1032">
        <v>36</v>
      </c>
      <c r="KW38" s="2">
        <v>2373437.8990922538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11.111111111111111</v>
      </c>
      <c r="LD38" s="1">
        <v>44.444444444444443</v>
      </c>
      <c r="LE38" s="1">
        <v>44.444444444444443</v>
      </c>
      <c r="LF38" s="1">
        <v>0</v>
      </c>
      <c r="LG38" s="1">
        <v>0</v>
      </c>
      <c r="LH38" s="1">
        <v>0</v>
      </c>
      <c r="LJ38" s="989">
        <f t="shared" si="141"/>
        <v>0</v>
      </c>
      <c r="LK38" s="989">
        <f t="shared" si="142"/>
        <v>0</v>
      </c>
      <c r="LL38" s="989">
        <f t="shared" si="143"/>
        <v>0</v>
      </c>
      <c r="LM38" s="989">
        <f t="shared" si="144"/>
        <v>0</v>
      </c>
      <c r="LN38" s="989">
        <f t="shared" si="145"/>
        <v>0</v>
      </c>
      <c r="LO38" s="989">
        <f t="shared" si="146"/>
        <v>263715.3221213615</v>
      </c>
      <c r="LP38" s="989">
        <f t="shared" si="147"/>
        <v>1054861.288485446</v>
      </c>
      <c r="LQ38" s="989">
        <f t="shared" si="148"/>
        <v>1054861.288485446</v>
      </c>
      <c r="LR38" s="989">
        <f t="shared" si="149"/>
        <v>0</v>
      </c>
      <c r="LS38" s="989">
        <f t="shared" si="150"/>
        <v>0</v>
      </c>
      <c r="LT38" s="989">
        <f t="shared" si="151"/>
        <v>0</v>
      </c>
      <c r="LV38" s="2">
        <v>2087955.2199882912</v>
      </c>
      <c r="LW38" s="1446">
        <v>0</v>
      </c>
      <c r="LX38" s="1446">
        <v>0</v>
      </c>
      <c r="LY38" s="1446">
        <v>0</v>
      </c>
      <c r="LZ38" s="1446">
        <v>0</v>
      </c>
      <c r="MA38" s="1446">
        <v>0</v>
      </c>
      <c r="MB38" s="1446">
        <v>0</v>
      </c>
      <c r="MC38" s="1446">
        <v>100</v>
      </c>
      <c r="MD38" s="1446">
        <v>0</v>
      </c>
      <c r="ME38" s="1446">
        <v>0</v>
      </c>
      <c r="MF38" s="1446">
        <v>0</v>
      </c>
      <c r="MH38" s="1">
        <f t="shared" si="166"/>
        <v>100</v>
      </c>
      <c r="MI38" s="989">
        <f t="shared" si="167"/>
        <v>0</v>
      </c>
      <c r="MJ38" s="989">
        <f t="shared" si="168"/>
        <v>0</v>
      </c>
      <c r="MK38" s="989">
        <f t="shared" si="169"/>
        <v>0</v>
      </c>
      <c r="ML38" s="989">
        <f t="shared" si="170"/>
        <v>0</v>
      </c>
      <c r="MM38" s="989">
        <f t="shared" si="171"/>
        <v>0</v>
      </c>
      <c r="MN38" s="989">
        <f t="shared" si="172"/>
        <v>0</v>
      </c>
      <c r="MO38" s="989">
        <f t="shared" si="173"/>
        <v>2087955.2199882912</v>
      </c>
      <c r="MP38" s="989">
        <f t="shared" si="174"/>
        <v>0</v>
      </c>
      <c r="MQ38" s="989">
        <f t="shared" si="175"/>
        <v>0</v>
      </c>
      <c r="MR38" s="989">
        <f t="shared" si="176"/>
        <v>0</v>
      </c>
      <c r="MS38" s="989">
        <f t="shared" si="177"/>
        <v>0</v>
      </c>
      <c r="MU38" s="1032">
        <v>36</v>
      </c>
      <c r="MV38" s="57">
        <v>252639.78961627901</v>
      </c>
      <c r="MW38" s="1964"/>
      <c r="MX38" s="1964"/>
      <c r="MY38" s="1964"/>
      <c r="MZ38" s="1964"/>
      <c r="NA38" s="1964"/>
      <c r="NB38" s="1964"/>
      <c r="NC38" s="1964">
        <v>66.67</v>
      </c>
      <c r="ND38" s="1964">
        <v>33.33</v>
      </c>
      <c r="NE38" s="1964"/>
      <c r="NF38" s="1964"/>
      <c r="NG38" s="1964"/>
      <c r="NJ38" s="989">
        <f t="shared" si="116"/>
        <v>0</v>
      </c>
      <c r="NK38" s="989">
        <f t="shared" si="117"/>
        <v>0</v>
      </c>
      <c r="NL38" s="989">
        <f t="shared" si="118"/>
        <v>0</v>
      </c>
      <c r="NM38" s="989">
        <f t="shared" si="119"/>
        <v>0</v>
      </c>
      <c r="NN38" s="989">
        <f t="shared" si="120"/>
        <v>0</v>
      </c>
      <c r="NO38" s="989">
        <f t="shared" si="121"/>
        <v>0</v>
      </c>
      <c r="NP38" s="989">
        <f t="shared" si="122"/>
        <v>168434.94773717321</v>
      </c>
      <c r="NQ38" s="989">
        <f t="shared" si="123"/>
        <v>84204.841879105792</v>
      </c>
      <c r="NR38" s="989">
        <f t="shared" si="124"/>
        <v>0</v>
      </c>
      <c r="NS38" s="989">
        <f t="shared" si="125"/>
        <v>0</v>
      </c>
      <c r="NT38" s="989">
        <f t="shared" si="126"/>
        <v>0</v>
      </c>
    </row>
    <row r="39" spans="1:384" ht="15" thickTop="1" thickBot="1">
      <c r="A39" s="1822">
        <v>38</v>
      </c>
      <c r="B39" s="1199"/>
      <c r="C39" s="1822">
        <v>1782694.0039829074</v>
      </c>
      <c r="D39" s="1199">
        <v>74505.912746838643</v>
      </c>
      <c r="E39" s="20"/>
      <c r="F39" s="1843">
        <f t="shared" si="12"/>
        <v>1857199.9167297459</v>
      </c>
      <c r="G39" s="951">
        <v>0</v>
      </c>
      <c r="H39" s="806">
        <v>0</v>
      </c>
      <c r="I39" s="806">
        <v>0</v>
      </c>
      <c r="J39" s="806">
        <v>0</v>
      </c>
      <c r="K39" s="806">
        <v>0</v>
      </c>
      <c r="L39" s="806">
        <v>0</v>
      </c>
      <c r="M39" s="806">
        <v>0</v>
      </c>
      <c r="N39" s="806">
        <v>0.1463028389536554</v>
      </c>
      <c r="O39" s="806">
        <v>37.445136435392378</v>
      </c>
      <c r="P39" s="806">
        <v>62.408560725653963</v>
      </c>
      <c r="Q39" s="806"/>
      <c r="R39" s="806"/>
      <c r="S39" s="2"/>
      <c r="T39" s="114">
        <v>38</v>
      </c>
      <c r="U39" s="2">
        <f t="shared" si="127"/>
        <v>0</v>
      </c>
      <c r="V39" s="2">
        <f t="shared" si="13"/>
        <v>0</v>
      </c>
      <c r="W39" s="2">
        <f t="shared" si="14"/>
        <v>0</v>
      </c>
      <c r="X39" s="2">
        <f t="shared" si="15"/>
        <v>0</v>
      </c>
      <c r="Y39" s="2">
        <f t="shared" si="16"/>
        <v>0</v>
      </c>
      <c r="Z39" s="2">
        <f t="shared" si="17"/>
        <v>0</v>
      </c>
      <c r="AA39" s="2">
        <f t="shared" si="18"/>
        <v>0</v>
      </c>
      <c r="AB39" s="2">
        <f t="shared" si="19"/>
        <v>2717.1362032205425</v>
      </c>
      <c r="AC39" s="2">
        <f t="shared" si="20"/>
        <v>695431.04269744689</v>
      </c>
      <c r="AD39" s="2">
        <f t="shared" si="21"/>
        <v>1159051.7378290782</v>
      </c>
      <c r="AE39" s="2">
        <f t="shared" si="22"/>
        <v>0</v>
      </c>
      <c r="AF39" s="1844">
        <v>38</v>
      </c>
      <c r="AG39" s="1724">
        <f t="shared" si="23"/>
        <v>0</v>
      </c>
      <c r="AH39" s="1724">
        <f t="shared" si="24"/>
        <v>0</v>
      </c>
      <c r="AI39" s="1724">
        <f t="shared" si="25"/>
        <v>0</v>
      </c>
      <c r="AJ39" s="1724">
        <f t="shared" si="26"/>
        <v>0</v>
      </c>
      <c r="AK39" s="1724">
        <f t="shared" si="27"/>
        <v>0</v>
      </c>
      <c r="AL39" s="1724">
        <f t="shared" si="28"/>
        <v>0</v>
      </c>
      <c r="AM39" s="1724">
        <f t="shared" si="29"/>
        <v>0</v>
      </c>
      <c r="AN39" s="1724">
        <f t="shared" si="30"/>
        <v>103251.17572238062</v>
      </c>
      <c r="AO39" s="1724">
        <f t="shared" si="31"/>
        <v>26426379.622502983</v>
      </c>
      <c r="AP39" s="1724">
        <f t="shared" si="32"/>
        <v>44043966.037504971</v>
      </c>
      <c r="AR39" s="1822">
        <v>38</v>
      </c>
      <c r="AS39" s="1199"/>
      <c r="AT39" s="1">
        <v>2450978.9244064749</v>
      </c>
      <c r="AU39" s="1">
        <v>0</v>
      </c>
      <c r="AV39" s="20"/>
      <c r="AW39" s="1843">
        <f t="shared" si="33"/>
        <v>2450978.9244064749</v>
      </c>
      <c r="AX39" s="951"/>
      <c r="AY39" s="806"/>
      <c r="AZ39" s="806"/>
      <c r="BA39" s="806"/>
      <c r="BB39" s="806"/>
      <c r="BC39" s="806"/>
      <c r="BD39" s="806"/>
      <c r="BE39" s="1849"/>
      <c r="BF39" s="806">
        <v>100</v>
      </c>
      <c r="BG39" s="806"/>
      <c r="BH39" s="806"/>
      <c r="BI39" s="806"/>
      <c r="BJ39" s="2"/>
      <c r="BK39" s="114">
        <v>38</v>
      </c>
      <c r="BL39" s="2">
        <f t="shared" si="128"/>
        <v>0</v>
      </c>
      <c r="BM39" s="2">
        <f t="shared" si="129"/>
        <v>0</v>
      </c>
      <c r="BN39" s="2">
        <f t="shared" si="130"/>
        <v>0</v>
      </c>
      <c r="BO39" s="2">
        <f t="shared" si="131"/>
        <v>0</v>
      </c>
      <c r="BP39" s="2">
        <f t="shared" si="132"/>
        <v>0</v>
      </c>
      <c r="BQ39" s="2">
        <f t="shared" si="133"/>
        <v>0</v>
      </c>
      <c r="BR39" s="2">
        <f t="shared" si="134"/>
        <v>0</v>
      </c>
      <c r="BS39" s="2">
        <f t="shared" si="135"/>
        <v>0</v>
      </c>
      <c r="BT39" s="2">
        <f t="shared" si="136"/>
        <v>2450978.9244064749</v>
      </c>
      <c r="BU39" s="2">
        <f t="shared" si="137"/>
        <v>0</v>
      </c>
      <c r="BV39" s="2">
        <f t="shared" si="138"/>
        <v>0</v>
      </c>
      <c r="BW39" s="1844">
        <v>38</v>
      </c>
      <c r="BX39" s="1724">
        <f t="shared" si="139"/>
        <v>0</v>
      </c>
      <c r="BY39" s="1724">
        <f t="shared" si="3"/>
        <v>0</v>
      </c>
      <c r="BZ39" s="1724">
        <f t="shared" si="4"/>
        <v>0</v>
      </c>
      <c r="CA39" s="1724">
        <f t="shared" si="5"/>
        <v>0</v>
      </c>
      <c r="CB39" s="1724">
        <f t="shared" si="6"/>
        <v>0</v>
      </c>
      <c r="CC39" s="1724">
        <f t="shared" si="7"/>
        <v>0</v>
      </c>
      <c r="CD39" s="1724">
        <f t="shared" si="8"/>
        <v>0</v>
      </c>
      <c r="CE39" s="1724">
        <f t="shared" si="9"/>
        <v>0</v>
      </c>
      <c r="CF39" s="1724">
        <f t="shared" si="10"/>
        <v>93137199.127446041</v>
      </c>
      <c r="CG39" s="1724">
        <f t="shared" si="11"/>
        <v>0</v>
      </c>
      <c r="CH39" s="75"/>
      <c r="CI39" s="1" t="s">
        <v>579</v>
      </c>
      <c r="CJ39" s="1">
        <v>16611712.391165191</v>
      </c>
      <c r="CK39" s="1">
        <f t="shared" si="213"/>
        <v>16611.712391165191</v>
      </c>
      <c r="CM39" s="638"/>
      <c r="CN39" s="1847">
        <v>36</v>
      </c>
      <c r="CO39" s="1851"/>
      <c r="CP39" s="2">
        <v>271.85799705582122</v>
      </c>
      <c r="CQ39" s="2">
        <v>655911.8151732987</v>
      </c>
      <c r="CR39" s="646">
        <f t="shared" si="63"/>
        <v>656183.67317035457</v>
      </c>
      <c r="CS39" s="1141"/>
      <c r="CT39" s="952"/>
      <c r="CU39" s="808"/>
      <c r="CV39" s="808"/>
      <c r="CW39" s="808"/>
      <c r="CX39" s="808"/>
      <c r="CY39" s="808"/>
      <c r="CZ39" s="808"/>
      <c r="DA39" s="1850"/>
      <c r="DB39" s="808"/>
      <c r="DC39" s="808"/>
      <c r="DD39" s="808"/>
      <c r="DE39" s="808"/>
      <c r="DF39" s="451"/>
      <c r="DG39" s="647">
        <v>36</v>
      </c>
      <c r="DH39" s="666"/>
      <c r="DI39" s="955"/>
      <c r="DJ39" s="1852"/>
      <c r="DK39" s="1852"/>
      <c r="DL39" s="1852"/>
      <c r="DM39" s="1852"/>
      <c r="DN39" s="1852"/>
      <c r="DO39" s="1852">
        <v>50</v>
      </c>
      <c r="DP39" s="1263">
        <v>50</v>
      </c>
      <c r="DQ39" s="1263"/>
      <c r="DR39" s="1263"/>
      <c r="DS39" s="1847">
        <v>36</v>
      </c>
      <c r="DT39" s="192">
        <f t="shared" si="190"/>
        <v>0</v>
      </c>
      <c r="DU39" s="192">
        <f t="shared" si="191"/>
        <v>0</v>
      </c>
      <c r="DV39" s="192">
        <f t="shared" si="192"/>
        <v>0</v>
      </c>
      <c r="DW39" s="192">
        <f t="shared" si="193"/>
        <v>0</v>
      </c>
      <c r="DX39" s="192">
        <f t="shared" si="194"/>
        <v>0</v>
      </c>
      <c r="DY39" s="192">
        <f t="shared" si="195"/>
        <v>0</v>
      </c>
      <c r="DZ39" s="192">
        <f t="shared" si="196"/>
        <v>0</v>
      </c>
      <c r="EA39" s="192">
        <f t="shared" si="197"/>
        <v>328091.83658517728</v>
      </c>
      <c r="EB39" s="192">
        <f t="shared" si="198"/>
        <v>328091.83658517728</v>
      </c>
      <c r="EC39" s="192">
        <f t="shared" si="199"/>
        <v>0</v>
      </c>
      <c r="ED39" s="192">
        <f t="shared" si="200"/>
        <v>0</v>
      </c>
      <c r="EE39" s="667">
        <f t="shared" si="46"/>
        <v>656183.67317035457</v>
      </c>
      <c r="EH39" s="973">
        <v>37</v>
      </c>
      <c r="EI39" s="974"/>
      <c r="EJ39" s="974"/>
      <c r="EK39" s="974"/>
      <c r="EL39" s="974"/>
      <c r="EM39" s="974"/>
      <c r="EN39" s="974"/>
      <c r="EO39" s="974"/>
      <c r="EP39" s="974">
        <v>37.5</v>
      </c>
      <c r="EQ39" s="974">
        <v>62.5</v>
      </c>
      <c r="ER39" s="974"/>
      <c r="ES39" s="974"/>
      <c r="EX39" s="975">
        <v>100</v>
      </c>
      <c r="EY39" s="357">
        <v>282049.27233201679</v>
      </c>
      <c r="EZ39" s="989">
        <f t="shared" si="64"/>
        <v>0</v>
      </c>
      <c r="FA39" s="989">
        <f t="shared" si="47"/>
        <v>0</v>
      </c>
      <c r="FB39" s="989">
        <f t="shared" si="48"/>
        <v>0</v>
      </c>
      <c r="FC39" s="989">
        <f t="shared" si="49"/>
        <v>0</v>
      </c>
      <c r="FD39" s="989">
        <f t="shared" si="50"/>
        <v>0</v>
      </c>
      <c r="FE39" s="989">
        <f t="shared" si="51"/>
        <v>0</v>
      </c>
      <c r="FF39" s="989">
        <f t="shared" si="52"/>
        <v>0</v>
      </c>
      <c r="FG39" s="989">
        <f t="shared" si="53"/>
        <v>105768.47712450629</v>
      </c>
      <c r="FH39" s="989">
        <f t="shared" si="54"/>
        <v>176280.79520751047</v>
      </c>
      <c r="FI39" s="989">
        <f t="shared" si="55"/>
        <v>0</v>
      </c>
      <c r="FJ39" s="989">
        <f t="shared" si="56"/>
        <v>0</v>
      </c>
      <c r="FM39" s="1002">
        <v>37</v>
      </c>
      <c r="FN39" s="1003"/>
      <c r="FO39" s="1006"/>
      <c r="FP39" s="1006"/>
      <c r="FQ39" s="1006"/>
      <c r="FR39" s="1006"/>
      <c r="FS39" s="1006"/>
      <c r="FT39" s="1006">
        <v>4.7619047619047619</v>
      </c>
      <c r="FU39" s="1006">
        <v>28.571428571428573</v>
      </c>
      <c r="FV39" s="1006">
        <v>57.142857142857146</v>
      </c>
      <c r="FW39" s="1006">
        <v>9.5238095238095237</v>
      </c>
      <c r="FX39" s="1006"/>
      <c r="FY39" s="1006"/>
      <c r="FZ39" s="1006"/>
      <c r="GA39" s="1003"/>
      <c r="GB39" s="1004">
        <v>100</v>
      </c>
      <c r="GC39" s="1002">
        <v>37</v>
      </c>
      <c r="GD39" s="2">
        <v>1275012.8743899385</v>
      </c>
      <c r="GE39" s="989">
        <f t="shared" si="152"/>
        <v>0</v>
      </c>
      <c r="GF39" s="989">
        <f t="shared" si="153"/>
        <v>0</v>
      </c>
      <c r="GG39" s="989">
        <f t="shared" si="154"/>
        <v>0</v>
      </c>
      <c r="GH39" s="989">
        <f t="shared" si="155"/>
        <v>0</v>
      </c>
      <c r="GI39" s="989">
        <f t="shared" si="156"/>
        <v>0</v>
      </c>
      <c r="GJ39" s="989">
        <f t="shared" si="157"/>
        <v>0</v>
      </c>
      <c r="GK39" s="989">
        <f t="shared" si="158"/>
        <v>60714.898780473268</v>
      </c>
      <c r="GL39" s="989">
        <f t="shared" si="159"/>
        <v>364289.39268283965</v>
      </c>
      <c r="GM39" s="989">
        <f t="shared" si="160"/>
        <v>728578.7853656793</v>
      </c>
      <c r="GN39" s="989">
        <f t="shared" si="161"/>
        <v>121429.79756094654</v>
      </c>
      <c r="GO39" s="989">
        <f t="shared" si="162"/>
        <v>0</v>
      </c>
      <c r="GP39" s="989">
        <f t="shared" si="163"/>
        <v>0</v>
      </c>
      <c r="GQ39" s="989">
        <f t="shared" si="164"/>
        <v>0</v>
      </c>
      <c r="GR39" s="989">
        <f t="shared" si="165"/>
        <v>0</v>
      </c>
      <c r="GX39" s="1032">
        <v>37</v>
      </c>
      <c r="GY39" s="1">
        <v>1341865.1067108845</v>
      </c>
      <c r="GZ39" s="1038"/>
      <c r="HA39" s="1039"/>
      <c r="HB39" s="1039"/>
      <c r="HC39" s="1039"/>
      <c r="HD39" s="1039"/>
      <c r="HE39" s="1039"/>
      <c r="HF39" s="1039"/>
      <c r="HG39" s="1039">
        <v>20</v>
      </c>
      <c r="HH39" s="1039">
        <v>80</v>
      </c>
      <c r="HI39" s="1039"/>
      <c r="HJ39" s="1039"/>
      <c r="HK39" s="1039"/>
      <c r="HL39" s="1039"/>
      <c r="HM39" s="1040">
        <f t="shared" si="189"/>
        <v>100</v>
      </c>
      <c r="HN39" s="989">
        <f t="shared" si="67"/>
        <v>0</v>
      </c>
      <c r="HO39" s="989">
        <f t="shared" si="68"/>
        <v>0</v>
      </c>
      <c r="HP39" s="989">
        <f t="shared" si="69"/>
        <v>0</v>
      </c>
      <c r="HQ39" s="989">
        <f t="shared" si="70"/>
        <v>0</v>
      </c>
      <c r="HR39" s="989">
        <f t="shared" si="71"/>
        <v>0</v>
      </c>
      <c r="HS39" s="989">
        <f t="shared" si="72"/>
        <v>0</v>
      </c>
      <c r="HT39" s="989">
        <f t="shared" si="73"/>
        <v>0</v>
      </c>
      <c r="HU39" s="989">
        <f t="shared" si="74"/>
        <v>268373.02134217689</v>
      </c>
      <c r="HV39" s="989">
        <f t="shared" si="75"/>
        <v>1073492.0853687075</v>
      </c>
      <c r="HW39" s="989">
        <f t="shared" si="76"/>
        <v>0</v>
      </c>
      <c r="HX39" s="989">
        <f t="shared" si="77"/>
        <v>0</v>
      </c>
      <c r="HY39" s="989">
        <f t="shared" si="78"/>
        <v>0</v>
      </c>
      <c r="HZ39" s="989">
        <f t="shared" si="79"/>
        <v>0</v>
      </c>
      <c r="IE39" s="2">
        <v>5142692.7105738148</v>
      </c>
      <c r="IF39" s="1002">
        <v>32</v>
      </c>
      <c r="IG39" s="553"/>
      <c r="IH39" s="553"/>
      <c r="II39" s="553"/>
      <c r="IJ39" s="553"/>
      <c r="IK39" s="553"/>
      <c r="IL39" s="553">
        <v>23.076923076923077</v>
      </c>
      <c r="IM39" s="553">
        <v>76.92307692307692</v>
      </c>
      <c r="IN39" s="553"/>
      <c r="IO39" s="553"/>
      <c r="IP39" s="553"/>
      <c r="IQ39" s="553"/>
      <c r="IS39" s="1270">
        <v>32</v>
      </c>
      <c r="IT39" s="989">
        <f t="shared" si="214"/>
        <v>0</v>
      </c>
      <c r="IU39" s="989">
        <f t="shared" si="202"/>
        <v>0</v>
      </c>
      <c r="IV39" s="989">
        <f t="shared" si="203"/>
        <v>0</v>
      </c>
      <c r="IW39" s="989">
        <f t="shared" si="204"/>
        <v>0</v>
      </c>
      <c r="IX39" s="989">
        <f t="shared" si="205"/>
        <v>0</v>
      </c>
      <c r="IY39" s="989">
        <f t="shared" si="206"/>
        <v>1186775.2409016497</v>
      </c>
      <c r="IZ39" s="989">
        <f t="shared" si="207"/>
        <v>3955917.4696721649</v>
      </c>
      <c r="JA39" s="989">
        <f t="shared" si="208"/>
        <v>0</v>
      </c>
      <c r="JB39" s="989">
        <f t="shared" si="209"/>
        <v>0</v>
      </c>
      <c r="JC39" s="989">
        <f t="shared" si="210"/>
        <v>0</v>
      </c>
      <c r="JD39" s="989">
        <f t="shared" si="211"/>
        <v>0</v>
      </c>
      <c r="JE39" s="989">
        <f t="shared" si="215"/>
        <v>0</v>
      </c>
      <c r="JG39" s="1135">
        <v>342277.41169552517</v>
      </c>
      <c r="JH39" s="1005">
        <v>32</v>
      </c>
      <c r="JI39" s="666"/>
      <c r="JJ39" s="1272"/>
      <c r="JK39" s="1272"/>
      <c r="JL39" s="1272"/>
      <c r="JM39" s="1272"/>
      <c r="JN39" s="1272"/>
      <c r="JO39" s="1272">
        <v>50</v>
      </c>
      <c r="JP39" s="1272">
        <v>50</v>
      </c>
      <c r="JQ39" s="1272"/>
      <c r="JR39" s="1272"/>
      <c r="JS39" s="1272"/>
      <c r="JT39" s="1273"/>
      <c r="JU39" s="1273"/>
      <c r="JW39" s="989">
        <f t="shared" si="103"/>
        <v>0</v>
      </c>
      <c r="JX39" s="989">
        <f t="shared" si="104"/>
        <v>0</v>
      </c>
      <c r="JY39" s="989">
        <f t="shared" si="92"/>
        <v>0</v>
      </c>
      <c r="JZ39" s="989">
        <f t="shared" si="93"/>
        <v>0</v>
      </c>
      <c r="KA39" s="989">
        <f t="shared" si="94"/>
        <v>0</v>
      </c>
      <c r="KB39" s="989">
        <f t="shared" si="95"/>
        <v>171138.70584776261</v>
      </c>
      <c r="KC39" s="989">
        <f t="shared" si="96"/>
        <v>171138.70584776261</v>
      </c>
      <c r="KD39" s="989">
        <f t="shared" si="97"/>
        <v>0</v>
      </c>
      <c r="KE39" s="989">
        <f t="shared" si="98"/>
        <v>0</v>
      </c>
      <c r="KF39" s="989">
        <f t="shared" si="99"/>
        <v>0</v>
      </c>
      <c r="KG39" s="989">
        <f t="shared" si="100"/>
        <v>0</v>
      </c>
      <c r="KJ39" s="192">
        <f t="shared" si="178"/>
        <v>0</v>
      </c>
      <c r="KK39" s="192">
        <f t="shared" si="179"/>
        <v>0</v>
      </c>
      <c r="KL39" s="192">
        <f t="shared" si="180"/>
        <v>0</v>
      </c>
      <c r="KM39" s="192">
        <f t="shared" si="181"/>
        <v>0</v>
      </c>
      <c r="KN39" s="192">
        <f t="shared" si="182"/>
        <v>0</v>
      </c>
      <c r="KO39" s="192">
        <f t="shared" si="183"/>
        <v>1357913.9467494122</v>
      </c>
      <c r="KP39" s="192">
        <f t="shared" si="184"/>
        <v>4127056.1755199274</v>
      </c>
      <c r="KQ39" s="192">
        <f t="shared" si="185"/>
        <v>0</v>
      </c>
      <c r="KR39" s="192">
        <f t="shared" si="186"/>
        <v>0</v>
      </c>
      <c r="KS39" s="192">
        <f t="shared" si="187"/>
        <v>0</v>
      </c>
      <c r="KT39" s="192">
        <f t="shared" si="188"/>
        <v>0</v>
      </c>
      <c r="KV39" s="1032">
        <v>37</v>
      </c>
      <c r="KW39" s="2">
        <v>2126883.0258631706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25.000000000000007</v>
      </c>
      <c r="LE39" s="1">
        <v>41.666666666666671</v>
      </c>
      <c r="LF39" s="1">
        <v>25.000000000000007</v>
      </c>
      <c r="LG39" s="1">
        <v>8.3333333333333357</v>
      </c>
      <c r="LH39" s="1">
        <v>0</v>
      </c>
      <c r="LJ39" s="989">
        <f t="shared" si="141"/>
        <v>0</v>
      </c>
      <c r="LK39" s="989">
        <f t="shared" si="142"/>
        <v>0</v>
      </c>
      <c r="LL39" s="989">
        <f t="shared" si="143"/>
        <v>0</v>
      </c>
      <c r="LM39" s="989">
        <f t="shared" si="144"/>
        <v>0</v>
      </c>
      <c r="LN39" s="989">
        <f t="shared" si="145"/>
        <v>0</v>
      </c>
      <c r="LO39" s="989">
        <f t="shared" si="146"/>
        <v>0</v>
      </c>
      <c r="LP39" s="989">
        <f t="shared" si="147"/>
        <v>531720.75646579277</v>
      </c>
      <c r="LQ39" s="989">
        <f t="shared" si="148"/>
        <v>886201.26077632117</v>
      </c>
      <c r="LR39" s="989">
        <f t="shared" si="149"/>
        <v>531720.75646579277</v>
      </c>
      <c r="LS39" s="989">
        <f t="shared" si="150"/>
        <v>177240.25215526429</v>
      </c>
      <c r="LT39" s="989">
        <f t="shared" si="151"/>
        <v>0</v>
      </c>
      <c r="LV39" s="2">
        <v>1420012.8017483095</v>
      </c>
      <c r="LW39" s="1446">
        <v>0</v>
      </c>
      <c r="LX39" s="1446">
        <v>0</v>
      </c>
      <c r="LY39" s="1446">
        <v>0</v>
      </c>
      <c r="LZ39" s="1446">
        <v>0</v>
      </c>
      <c r="MA39" s="1446">
        <v>0</v>
      </c>
      <c r="MB39" s="1446">
        <v>0</v>
      </c>
      <c r="MC39" s="1446">
        <v>57.099999999999994</v>
      </c>
      <c r="MD39" s="1446">
        <v>42.899999999999991</v>
      </c>
      <c r="ME39" s="1446">
        <v>0</v>
      </c>
      <c r="MF39" s="1446">
        <v>0</v>
      </c>
      <c r="MH39" s="1">
        <f t="shared" si="166"/>
        <v>99.999999999999986</v>
      </c>
      <c r="MI39" s="989">
        <f t="shared" si="167"/>
        <v>0</v>
      </c>
      <c r="MJ39" s="989">
        <f t="shared" si="168"/>
        <v>0</v>
      </c>
      <c r="MK39" s="989">
        <f t="shared" si="169"/>
        <v>0</v>
      </c>
      <c r="ML39" s="989">
        <f t="shared" si="170"/>
        <v>0</v>
      </c>
      <c r="MM39" s="989">
        <f t="shared" si="171"/>
        <v>0</v>
      </c>
      <c r="MN39" s="989">
        <f t="shared" si="172"/>
        <v>0</v>
      </c>
      <c r="MO39" s="989">
        <f t="shared" si="173"/>
        <v>810827.30979828467</v>
      </c>
      <c r="MP39" s="989">
        <f t="shared" si="174"/>
        <v>609185.49195002462</v>
      </c>
      <c r="MQ39" s="989">
        <f t="shared" si="175"/>
        <v>0</v>
      </c>
      <c r="MR39" s="989">
        <f t="shared" si="176"/>
        <v>0</v>
      </c>
      <c r="MS39" s="989">
        <f t="shared" si="177"/>
        <v>0</v>
      </c>
      <c r="MU39" s="1032">
        <v>37</v>
      </c>
      <c r="MV39" s="57">
        <v>219775.35935790598</v>
      </c>
      <c r="MW39" s="1964"/>
      <c r="MX39" s="1964"/>
      <c r="MY39" s="1964"/>
      <c r="MZ39" s="1964"/>
      <c r="NA39" s="1964"/>
      <c r="NB39" s="1964"/>
      <c r="NC39" s="1964">
        <v>9.09</v>
      </c>
      <c r="ND39" s="1964">
        <v>63.64</v>
      </c>
      <c r="NE39" s="1964">
        <v>27.27</v>
      </c>
      <c r="NF39" s="1964"/>
      <c r="NG39" s="1964"/>
      <c r="NJ39" s="989">
        <f t="shared" si="116"/>
        <v>0</v>
      </c>
      <c r="NK39" s="989">
        <f t="shared" si="117"/>
        <v>0</v>
      </c>
      <c r="NL39" s="989">
        <f t="shared" si="118"/>
        <v>0</v>
      </c>
      <c r="NM39" s="989">
        <f t="shared" si="119"/>
        <v>0</v>
      </c>
      <c r="NN39" s="989">
        <f t="shared" si="120"/>
        <v>0</v>
      </c>
      <c r="NO39" s="989">
        <f t="shared" si="121"/>
        <v>0</v>
      </c>
      <c r="NP39" s="989">
        <f t="shared" si="122"/>
        <v>19977.580165633652</v>
      </c>
      <c r="NQ39" s="989">
        <f t="shared" si="123"/>
        <v>139865.03869537136</v>
      </c>
      <c r="NR39" s="989">
        <f t="shared" si="124"/>
        <v>59932.740496900959</v>
      </c>
      <c r="NS39" s="989">
        <f t="shared" si="125"/>
        <v>0</v>
      </c>
      <c r="NT39" s="989">
        <f t="shared" si="126"/>
        <v>0</v>
      </c>
    </row>
    <row r="40" spans="1:384" ht="15" thickTop="1" thickBot="1">
      <c r="A40" s="1822">
        <v>39</v>
      </c>
      <c r="B40" s="1199"/>
      <c r="C40" s="1822">
        <v>737965.41812870523</v>
      </c>
      <c r="D40" s="1199">
        <v>23010.630725635736</v>
      </c>
      <c r="E40" s="20"/>
      <c r="F40" s="1843">
        <f t="shared" si="12"/>
        <v>760976.04885434092</v>
      </c>
      <c r="G40" s="951">
        <v>0</v>
      </c>
      <c r="H40" s="806">
        <v>0</v>
      </c>
      <c r="I40" s="806">
        <v>0</v>
      </c>
      <c r="J40" s="806">
        <v>0</v>
      </c>
      <c r="K40" s="806">
        <v>0</v>
      </c>
      <c r="L40" s="806">
        <v>0</v>
      </c>
      <c r="M40" s="806">
        <v>0</v>
      </c>
      <c r="N40" s="806">
        <v>1.4849653177236344</v>
      </c>
      <c r="O40" s="806">
        <v>0</v>
      </c>
      <c r="P40" s="806">
        <v>98.515034682276365</v>
      </c>
      <c r="Q40" s="806"/>
      <c r="R40" s="806"/>
      <c r="S40" s="2"/>
      <c r="T40" s="114">
        <v>39</v>
      </c>
      <c r="U40" s="2">
        <f t="shared" si="127"/>
        <v>0</v>
      </c>
      <c r="V40" s="2">
        <f t="shared" si="13"/>
        <v>0</v>
      </c>
      <c r="W40" s="2">
        <f t="shared" si="14"/>
        <v>0</v>
      </c>
      <c r="X40" s="2">
        <f t="shared" si="15"/>
        <v>0</v>
      </c>
      <c r="Y40" s="2">
        <f t="shared" si="16"/>
        <v>0</v>
      </c>
      <c r="Z40" s="2">
        <f t="shared" si="17"/>
        <v>0</v>
      </c>
      <c r="AA40" s="2">
        <f t="shared" si="18"/>
        <v>0</v>
      </c>
      <c r="AB40" s="2">
        <f t="shared" si="19"/>
        <v>11300.230401670624</v>
      </c>
      <c r="AC40" s="2">
        <f t="shared" si="20"/>
        <v>0</v>
      </c>
      <c r="AD40" s="2">
        <f t="shared" si="21"/>
        <v>749675.81845267024</v>
      </c>
      <c r="AE40" s="2">
        <f t="shared" si="22"/>
        <v>0</v>
      </c>
      <c r="AF40" s="1844">
        <v>39</v>
      </c>
      <c r="AG40" s="1724">
        <f t="shared" si="23"/>
        <v>0</v>
      </c>
      <c r="AH40" s="1724">
        <f t="shared" si="24"/>
        <v>0</v>
      </c>
      <c r="AI40" s="1724">
        <f t="shared" si="25"/>
        <v>0</v>
      </c>
      <c r="AJ40" s="1724">
        <f t="shared" si="26"/>
        <v>0</v>
      </c>
      <c r="AK40" s="1724">
        <f t="shared" si="27"/>
        <v>0</v>
      </c>
      <c r="AL40" s="1724">
        <f t="shared" si="28"/>
        <v>0</v>
      </c>
      <c r="AM40" s="1724">
        <f t="shared" si="29"/>
        <v>0</v>
      </c>
      <c r="AN40" s="1724">
        <f t="shared" si="30"/>
        <v>440708.98566515435</v>
      </c>
      <c r="AO40" s="1724">
        <f t="shared" si="31"/>
        <v>0</v>
      </c>
      <c r="AP40" s="1724">
        <f t="shared" si="32"/>
        <v>29237356.919654138</v>
      </c>
      <c r="AR40" s="1822">
        <v>39</v>
      </c>
      <c r="AS40" s="1199"/>
      <c r="AT40" s="1">
        <v>1681834.3118274589</v>
      </c>
      <c r="AU40" s="1">
        <v>11983.175742896196</v>
      </c>
      <c r="AV40" s="20"/>
      <c r="AW40" s="1843">
        <f t="shared" si="33"/>
        <v>1693817.4875703552</v>
      </c>
      <c r="AX40" s="951"/>
      <c r="AY40" s="806"/>
      <c r="AZ40" s="806"/>
      <c r="BA40" s="806"/>
      <c r="BB40" s="806"/>
      <c r="BC40" s="806"/>
      <c r="BD40" s="806"/>
      <c r="BE40" s="1849"/>
      <c r="BF40" s="806">
        <v>100</v>
      </c>
      <c r="BG40" s="806"/>
      <c r="BH40" s="806"/>
      <c r="BI40" s="806"/>
      <c r="BJ40" s="2"/>
      <c r="BK40" s="114">
        <v>39</v>
      </c>
      <c r="BL40" s="2">
        <f t="shared" si="128"/>
        <v>0</v>
      </c>
      <c r="BM40" s="2">
        <f t="shared" si="129"/>
        <v>0</v>
      </c>
      <c r="BN40" s="2">
        <f t="shared" si="130"/>
        <v>0</v>
      </c>
      <c r="BO40" s="2">
        <f t="shared" si="131"/>
        <v>0</v>
      </c>
      <c r="BP40" s="2">
        <f t="shared" si="132"/>
        <v>0</v>
      </c>
      <c r="BQ40" s="2">
        <f t="shared" si="133"/>
        <v>0</v>
      </c>
      <c r="BR40" s="2">
        <f t="shared" si="134"/>
        <v>0</v>
      </c>
      <c r="BS40" s="2">
        <f t="shared" si="135"/>
        <v>0</v>
      </c>
      <c r="BT40" s="2">
        <f t="shared" si="136"/>
        <v>1693817.4875703552</v>
      </c>
      <c r="BU40" s="2">
        <f t="shared" si="137"/>
        <v>0</v>
      </c>
      <c r="BV40" s="2">
        <f t="shared" si="138"/>
        <v>0</v>
      </c>
      <c r="BW40" s="1844">
        <v>39</v>
      </c>
      <c r="BX40" s="1724">
        <f t="shared" si="139"/>
        <v>0</v>
      </c>
      <c r="BY40" s="1724">
        <f t="shared" si="3"/>
        <v>0</v>
      </c>
      <c r="BZ40" s="1724">
        <f t="shared" si="4"/>
        <v>0</v>
      </c>
      <c r="CA40" s="1724">
        <f t="shared" si="5"/>
        <v>0</v>
      </c>
      <c r="CB40" s="1724">
        <f t="shared" si="6"/>
        <v>0</v>
      </c>
      <c r="CC40" s="1724">
        <f t="shared" si="7"/>
        <v>0</v>
      </c>
      <c r="CD40" s="1724">
        <f t="shared" si="8"/>
        <v>0</v>
      </c>
      <c r="CE40" s="1724">
        <f t="shared" si="9"/>
        <v>0</v>
      </c>
      <c r="CF40" s="1724">
        <f t="shared" si="10"/>
        <v>66058882.015243851</v>
      </c>
      <c r="CG40" s="1724">
        <f t="shared" si="11"/>
        <v>0</v>
      </c>
      <c r="CH40" s="75"/>
      <c r="CM40" s="638"/>
      <c r="CN40" s="1847">
        <v>37</v>
      </c>
      <c r="CO40" s="1851"/>
      <c r="CP40" s="2">
        <v>0</v>
      </c>
      <c r="CQ40" s="2">
        <v>346690.6016705244</v>
      </c>
      <c r="CR40" s="646">
        <f t="shared" si="63"/>
        <v>346690.6016705244</v>
      </c>
      <c r="CS40" s="1141"/>
      <c r="CT40" s="952"/>
      <c r="CU40" s="808"/>
      <c r="CV40" s="808"/>
      <c r="CW40" s="808"/>
      <c r="CX40" s="808"/>
      <c r="CY40" s="808"/>
      <c r="CZ40" s="808"/>
      <c r="DA40" s="1850"/>
      <c r="DB40" s="808"/>
      <c r="DC40" s="808"/>
      <c r="DD40" s="808"/>
      <c r="DE40" s="808"/>
      <c r="DF40" s="451"/>
      <c r="DG40" s="647">
        <v>37</v>
      </c>
      <c r="DH40" s="553"/>
      <c r="DI40" s="554"/>
      <c r="DJ40" s="555"/>
      <c r="DK40" s="555"/>
      <c r="DL40" s="555"/>
      <c r="DM40" s="555"/>
      <c r="DN40" s="555"/>
      <c r="DO40" s="555"/>
      <c r="DP40" s="561">
        <v>50</v>
      </c>
      <c r="DQ40" s="561">
        <v>50</v>
      </c>
      <c r="DR40" s="561"/>
      <c r="DS40" s="1847">
        <v>37</v>
      </c>
      <c r="DT40" s="192">
        <f t="shared" si="190"/>
        <v>0</v>
      </c>
      <c r="DU40" s="192">
        <f t="shared" si="191"/>
        <v>0</v>
      </c>
      <c r="DV40" s="192">
        <f t="shared" si="192"/>
        <v>0</v>
      </c>
      <c r="DW40" s="192">
        <f t="shared" si="193"/>
        <v>0</v>
      </c>
      <c r="DX40" s="192">
        <f t="shared" si="194"/>
        <v>0</v>
      </c>
      <c r="DY40" s="192">
        <f t="shared" si="195"/>
        <v>0</v>
      </c>
      <c r="DZ40" s="192">
        <f t="shared" si="196"/>
        <v>0</v>
      </c>
      <c r="EA40" s="192">
        <f t="shared" si="197"/>
        <v>0</v>
      </c>
      <c r="EB40" s="192">
        <f t="shared" si="198"/>
        <v>173345.3008352622</v>
      </c>
      <c r="EC40" s="192">
        <f t="shared" si="199"/>
        <v>173345.3008352622</v>
      </c>
      <c r="ED40" s="192">
        <f t="shared" si="200"/>
        <v>0</v>
      </c>
      <c r="EE40" s="667">
        <f t="shared" si="46"/>
        <v>346690.6016705244</v>
      </c>
      <c r="EH40" s="978">
        <v>38</v>
      </c>
      <c r="EI40" s="974"/>
      <c r="EJ40" s="974"/>
      <c r="EK40" s="974"/>
      <c r="EL40" s="974"/>
      <c r="EM40" s="974"/>
      <c r="EN40" s="974"/>
      <c r="EO40" s="974"/>
      <c r="EP40" s="974">
        <v>66.666666666666671</v>
      </c>
      <c r="EQ40" s="974">
        <v>22.222222222222221</v>
      </c>
      <c r="ER40" s="974">
        <v>11.111111111111111</v>
      </c>
      <c r="ES40" s="974"/>
      <c r="EX40" s="975">
        <v>100</v>
      </c>
      <c r="EY40" s="357">
        <v>143314.98191417014</v>
      </c>
      <c r="EZ40" s="989">
        <f t="shared" si="64"/>
        <v>0</v>
      </c>
      <c r="FA40" s="989">
        <f t="shared" si="47"/>
        <v>0</v>
      </c>
      <c r="FB40" s="989">
        <f t="shared" si="48"/>
        <v>0</v>
      </c>
      <c r="FC40" s="989">
        <f t="shared" si="49"/>
        <v>0</v>
      </c>
      <c r="FD40" s="989">
        <f t="shared" si="50"/>
        <v>0</v>
      </c>
      <c r="FE40" s="989">
        <f t="shared" si="51"/>
        <v>0</v>
      </c>
      <c r="FF40" s="989">
        <f t="shared" si="52"/>
        <v>0</v>
      </c>
      <c r="FG40" s="989">
        <f t="shared" si="53"/>
        <v>95543.321276113435</v>
      </c>
      <c r="FH40" s="989">
        <f t="shared" si="54"/>
        <v>31847.773758704476</v>
      </c>
      <c r="FI40" s="989">
        <f t="shared" si="55"/>
        <v>15923.886879352238</v>
      </c>
      <c r="FJ40" s="989">
        <f t="shared" si="56"/>
        <v>0</v>
      </c>
      <c r="FM40" s="1002">
        <v>38</v>
      </c>
      <c r="FN40" s="1003"/>
      <c r="FO40" s="1006"/>
      <c r="FP40" s="1006"/>
      <c r="FQ40" s="1006"/>
      <c r="FR40" s="1006"/>
      <c r="FS40" s="1006"/>
      <c r="FT40" s="1006"/>
      <c r="FU40" s="1006">
        <v>15.384615384615385</v>
      </c>
      <c r="FV40" s="1006">
        <v>50</v>
      </c>
      <c r="FW40" s="1006">
        <v>19.23076923076923</v>
      </c>
      <c r="FX40" s="1006">
        <v>15.384615384615385</v>
      </c>
      <c r="FY40" s="1006"/>
      <c r="FZ40" s="1006"/>
      <c r="GA40" s="1003"/>
      <c r="GB40" s="1004">
        <v>100</v>
      </c>
      <c r="GC40" s="1002">
        <v>38</v>
      </c>
      <c r="GD40" s="2">
        <v>924055.42605517176</v>
      </c>
      <c r="GE40" s="989">
        <f t="shared" si="152"/>
        <v>0</v>
      </c>
      <c r="GF40" s="989">
        <f t="shared" si="153"/>
        <v>0</v>
      </c>
      <c r="GG40" s="989">
        <f t="shared" si="154"/>
        <v>0</v>
      </c>
      <c r="GH40" s="989">
        <f t="shared" si="155"/>
        <v>0</v>
      </c>
      <c r="GI40" s="989">
        <f t="shared" si="156"/>
        <v>0</v>
      </c>
      <c r="GJ40" s="989">
        <f t="shared" si="157"/>
        <v>0</v>
      </c>
      <c r="GK40" s="989">
        <f t="shared" si="158"/>
        <v>0</v>
      </c>
      <c r="GL40" s="989">
        <f t="shared" si="159"/>
        <v>142162.3732392572</v>
      </c>
      <c r="GM40" s="989">
        <f t="shared" si="160"/>
        <v>462027.71302758588</v>
      </c>
      <c r="GN40" s="989">
        <f t="shared" si="161"/>
        <v>177702.96654907148</v>
      </c>
      <c r="GO40" s="989">
        <f t="shared" si="162"/>
        <v>142162.3732392572</v>
      </c>
      <c r="GP40" s="989">
        <f t="shared" si="163"/>
        <v>0</v>
      </c>
      <c r="GQ40" s="989">
        <f t="shared" si="164"/>
        <v>0</v>
      </c>
      <c r="GR40" s="989">
        <f t="shared" si="165"/>
        <v>0</v>
      </c>
      <c r="GX40" s="1034">
        <v>38</v>
      </c>
      <c r="GY40" s="1">
        <v>874475.90815224091</v>
      </c>
      <c r="GZ40" s="1041"/>
      <c r="HA40" s="1039"/>
      <c r="HB40" s="1039"/>
      <c r="HC40" s="1039"/>
      <c r="HD40" s="1039"/>
      <c r="HE40" s="1039"/>
      <c r="HF40" s="1039"/>
      <c r="HG40" s="1039">
        <v>10</v>
      </c>
      <c r="HH40" s="1039">
        <v>20</v>
      </c>
      <c r="HI40" s="1039">
        <v>70</v>
      </c>
      <c r="HJ40" s="1039"/>
      <c r="HK40" s="1039"/>
      <c r="HL40" s="1039"/>
      <c r="HM40" s="1040">
        <f t="shared" si="189"/>
        <v>100</v>
      </c>
      <c r="HN40" s="989">
        <f t="shared" si="67"/>
        <v>0</v>
      </c>
      <c r="HO40" s="989">
        <f t="shared" si="68"/>
        <v>0</v>
      </c>
      <c r="HP40" s="989">
        <f t="shared" si="69"/>
        <v>0</v>
      </c>
      <c r="HQ40" s="989">
        <f t="shared" si="70"/>
        <v>0</v>
      </c>
      <c r="HR40" s="989">
        <f t="shared" si="71"/>
        <v>0</v>
      </c>
      <c r="HS40" s="989">
        <f t="shared" si="72"/>
        <v>0</v>
      </c>
      <c r="HT40" s="989">
        <f t="shared" si="73"/>
        <v>0</v>
      </c>
      <c r="HU40" s="989">
        <f t="shared" si="74"/>
        <v>87447.590815224088</v>
      </c>
      <c r="HV40" s="989">
        <f t="shared" si="75"/>
        <v>174895.18163044818</v>
      </c>
      <c r="HW40" s="989">
        <f t="shared" si="76"/>
        <v>612133.1357065686</v>
      </c>
      <c r="HX40" s="989">
        <f t="shared" si="77"/>
        <v>0</v>
      </c>
      <c r="HY40" s="989">
        <f t="shared" si="78"/>
        <v>0</v>
      </c>
      <c r="HZ40" s="989">
        <f t="shared" si="79"/>
        <v>0</v>
      </c>
      <c r="IE40" s="2">
        <v>4430440.5720908307</v>
      </c>
      <c r="IF40" s="1268">
        <v>33</v>
      </c>
      <c r="IG40" s="553"/>
      <c r="IH40" s="553"/>
      <c r="II40" s="553"/>
      <c r="IJ40" s="553"/>
      <c r="IK40" s="553"/>
      <c r="IL40" s="553">
        <v>7.6923076923076925</v>
      </c>
      <c r="IM40" s="553">
        <v>53.846153846153847</v>
      </c>
      <c r="IN40" s="553">
        <v>38.46153846153846</v>
      </c>
      <c r="IO40" s="553"/>
      <c r="IP40" s="553"/>
      <c r="IQ40" s="553"/>
      <c r="IS40" s="1270">
        <v>33</v>
      </c>
      <c r="IT40" s="989">
        <f t="shared" si="214"/>
        <v>0</v>
      </c>
      <c r="IU40" s="989">
        <f t="shared" si="202"/>
        <v>0</v>
      </c>
      <c r="IV40" s="989">
        <f t="shared" si="203"/>
        <v>0</v>
      </c>
      <c r="IW40" s="989">
        <f t="shared" si="204"/>
        <v>0</v>
      </c>
      <c r="IX40" s="989">
        <f t="shared" si="205"/>
        <v>0</v>
      </c>
      <c r="IY40" s="989">
        <f t="shared" si="206"/>
        <v>340803.12093006389</v>
      </c>
      <c r="IZ40" s="989">
        <f t="shared" si="207"/>
        <v>2385621.8465104471</v>
      </c>
      <c r="JA40" s="989">
        <f t="shared" si="208"/>
        <v>1704015.6046503196</v>
      </c>
      <c r="JB40" s="989">
        <f t="shared" si="209"/>
        <v>0</v>
      </c>
      <c r="JC40" s="989">
        <f t="shared" si="210"/>
        <v>0</v>
      </c>
      <c r="JD40" s="989">
        <f t="shared" si="211"/>
        <v>0</v>
      </c>
      <c r="JE40" s="989">
        <f t="shared" si="215"/>
        <v>0</v>
      </c>
      <c r="JG40" s="1135">
        <v>249055.52726527158</v>
      </c>
      <c r="JH40" s="1002">
        <v>33</v>
      </c>
      <c r="JI40" s="666"/>
      <c r="JJ40" s="1272"/>
      <c r="JK40" s="1272"/>
      <c r="JL40" s="1272"/>
      <c r="JM40" s="1272"/>
      <c r="JN40" s="1272"/>
      <c r="JO40" s="1272"/>
      <c r="JP40" s="1272">
        <v>100</v>
      </c>
      <c r="JQ40" s="1272"/>
      <c r="JR40" s="1272"/>
      <c r="JS40" s="1272"/>
      <c r="JT40" s="1273"/>
      <c r="JU40" s="1273"/>
      <c r="JW40" s="989">
        <f t="shared" si="103"/>
        <v>0</v>
      </c>
      <c r="JX40" s="989">
        <f t="shared" si="104"/>
        <v>0</v>
      </c>
      <c r="JY40" s="989">
        <f t="shared" si="92"/>
        <v>0</v>
      </c>
      <c r="JZ40" s="989">
        <f t="shared" si="93"/>
        <v>0</v>
      </c>
      <c r="KA40" s="989">
        <f t="shared" si="94"/>
        <v>0</v>
      </c>
      <c r="KB40" s="989">
        <f t="shared" si="95"/>
        <v>0</v>
      </c>
      <c r="KC40" s="989">
        <f t="shared" si="96"/>
        <v>249055.52726527158</v>
      </c>
      <c r="KD40" s="989">
        <f t="shared" si="97"/>
        <v>0</v>
      </c>
      <c r="KE40" s="989">
        <f t="shared" si="98"/>
        <v>0</v>
      </c>
      <c r="KF40" s="989">
        <f t="shared" si="99"/>
        <v>0</v>
      </c>
      <c r="KG40" s="989">
        <f t="shared" si="100"/>
        <v>0</v>
      </c>
      <c r="KJ40" s="192">
        <f t="shared" si="178"/>
        <v>0</v>
      </c>
      <c r="KK40" s="192">
        <f t="shared" si="179"/>
        <v>0</v>
      </c>
      <c r="KL40" s="192">
        <f t="shared" si="180"/>
        <v>0</v>
      </c>
      <c r="KM40" s="192">
        <f t="shared" si="181"/>
        <v>0</v>
      </c>
      <c r="KN40" s="192">
        <f t="shared" si="182"/>
        <v>0</v>
      </c>
      <c r="KO40" s="192">
        <f t="shared" si="183"/>
        <v>340803.12093006389</v>
      </c>
      <c r="KP40" s="192">
        <f t="shared" si="184"/>
        <v>2634677.3737757187</v>
      </c>
      <c r="KQ40" s="192">
        <f t="shared" si="185"/>
        <v>1704015.6046503196</v>
      </c>
      <c r="KR40" s="192">
        <f t="shared" si="186"/>
        <v>0</v>
      </c>
      <c r="KS40" s="192">
        <f t="shared" si="187"/>
        <v>0</v>
      </c>
      <c r="KT40" s="192">
        <f t="shared" si="188"/>
        <v>0</v>
      </c>
      <c r="KV40" s="1034">
        <v>38</v>
      </c>
      <c r="KW40" s="2">
        <v>1452030.8260624278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14.285714285714285</v>
      </c>
      <c r="LE40" s="1">
        <v>57.142857142857139</v>
      </c>
      <c r="LF40" s="1">
        <v>28.571428571428569</v>
      </c>
      <c r="LG40" s="1">
        <v>0</v>
      </c>
      <c r="LH40" s="1">
        <v>0</v>
      </c>
      <c r="LJ40" s="989">
        <f t="shared" si="141"/>
        <v>0</v>
      </c>
      <c r="LK40" s="989">
        <f t="shared" si="142"/>
        <v>0</v>
      </c>
      <c r="LL40" s="989">
        <f t="shared" si="143"/>
        <v>0</v>
      </c>
      <c r="LM40" s="989">
        <f t="shared" si="144"/>
        <v>0</v>
      </c>
      <c r="LN40" s="989">
        <f t="shared" si="145"/>
        <v>0</v>
      </c>
      <c r="LO40" s="989">
        <f t="shared" si="146"/>
        <v>0</v>
      </c>
      <c r="LP40" s="989">
        <f t="shared" si="147"/>
        <v>207432.9751517754</v>
      </c>
      <c r="LQ40" s="989">
        <f t="shared" si="148"/>
        <v>829731.90060710162</v>
      </c>
      <c r="LR40" s="989">
        <f t="shared" si="149"/>
        <v>414865.95030355081</v>
      </c>
      <c r="LS40" s="989">
        <f t="shared" si="150"/>
        <v>0</v>
      </c>
      <c r="LT40" s="989">
        <f t="shared" si="151"/>
        <v>0</v>
      </c>
      <c r="LV40" s="2">
        <v>1093776.2794845875</v>
      </c>
      <c r="LW40" s="1446">
        <v>0</v>
      </c>
      <c r="LX40" s="1446">
        <v>0</v>
      </c>
      <c r="LY40" s="1446">
        <v>0</v>
      </c>
      <c r="LZ40" s="1446">
        <v>0</v>
      </c>
      <c r="MA40" s="1446">
        <v>0</v>
      </c>
      <c r="MB40" s="1446">
        <v>0</v>
      </c>
      <c r="MC40" s="1446">
        <v>20</v>
      </c>
      <c r="MD40" s="1446">
        <v>80</v>
      </c>
      <c r="ME40" s="1446">
        <v>0</v>
      </c>
      <c r="MF40" s="1446">
        <v>0</v>
      </c>
      <c r="MH40" s="1">
        <f t="shared" si="166"/>
        <v>100</v>
      </c>
      <c r="MI40" s="989">
        <f t="shared" si="167"/>
        <v>0</v>
      </c>
      <c r="MJ40" s="989">
        <f t="shared" si="168"/>
        <v>0</v>
      </c>
      <c r="MK40" s="989">
        <f t="shared" si="169"/>
        <v>0</v>
      </c>
      <c r="ML40" s="989">
        <f t="shared" si="170"/>
        <v>0</v>
      </c>
      <c r="MM40" s="989">
        <f t="shared" si="171"/>
        <v>0</v>
      </c>
      <c r="MN40" s="989">
        <f t="shared" si="172"/>
        <v>0</v>
      </c>
      <c r="MO40" s="989">
        <f t="shared" si="173"/>
        <v>218755.25589691752</v>
      </c>
      <c r="MP40" s="989">
        <f t="shared" si="174"/>
        <v>875021.02358767006</v>
      </c>
      <c r="MQ40" s="989">
        <f t="shared" si="175"/>
        <v>0</v>
      </c>
      <c r="MR40" s="989">
        <f t="shared" si="176"/>
        <v>0</v>
      </c>
      <c r="MS40" s="989">
        <f t="shared" si="177"/>
        <v>0</v>
      </c>
      <c r="MU40" s="1034">
        <v>38</v>
      </c>
      <c r="MV40" s="57">
        <v>190520.84343496611</v>
      </c>
      <c r="MW40" s="1964"/>
      <c r="MX40" s="1964"/>
      <c r="MY40" s="1964"/>
      <c r="MZ40" s="1964"/>
      <c r="NA40" s="1964"/>
      <c r="NB40" s="1964"/>
      <c r="NC40" s="1964"/>
      <c r="ND40" s="1964">
        <v>66.67</v>
      </c>
      <c r="NE40" s="1964">
        <v>33.33</v>
      </c>
      <c r="NF40" s="1964"/>
      <c r="NG40" s="1964"/>
      <c r="NJ40" s="989">
        <f t="shared" si="116"/>
        <v>0</v>
      </c>
      <c r="NK40" s="989">
        <f t="shared" si="117"/>
        <v>0</v>
      </c>
      <c r="NL40" s="989">
        <f t="shared" si="118"/>
        <v>0</v>
      </c>
      <c r="NM40" s="989">
        <f t="shared" si="119"/>
        <v>0</v>
      </c>
      <c r="NN40" s="989">
        <f t="shared" si="120"/>
        <v>0</v>
      </c>
      <c r="NO40" s="989">
        <f t="shared" si="121"/>
        <v>0</v>
      </c>
      <c r="NP40" s="989">
        <f t="shared" si="122"/>
        <v>0</v>
      </c>
      <c r="NQ40" s="989">
        <f t="shared" si="123"/>
        <v>127020.24631809191</v>
      </c>
      <c r="NR40" s="989">
        <f t="shared" si="124"/>
        <v>63500.597116874203</v>
      </c>
      <c r="NS40" s="989">
        <f t="shared" si="125"/>
        <v>0</v>
      </c>
      <c r="NT40" s="989">
        <f t="shared" si="126"/>
        <v>0</v>
      </c>
    </row>
    <row r="41" spans="1:384" ht="15" thickTop="1" thickBot="1">
      <c r="A41" s="1822">
        <v>40</v>
      </c>
      <c r="B41" s="1199"/>
      <c r="C41" s="1134">
        <v>124436.06652307486</v>
      </c>
      <c r="D41" s="1199">
        <v>4900.0916608565321</v>
      </c>
      <c r="E41" s="20"/>
      <c r="F41" s="1843">
        <f t="shared" si="12"/>
        <v>129336.15818393139</v>
      </c>
      <c r="G41" s="951">
        <v>0</v>
      </c>
      <c r="H41" s="806">
        <v>0</v>
      </c>
      <c r="I41" s="806">
        <v>0</v>
      </c>
      <c r="J41" s="806">
        <v>0</v>
      </c>
      <c r="K41" s="806">
        <v>0</v>
      </c>
      <c r="L41" s="806">
        <v>0</v>
      </c>
      <c r="M41" s="806">
        <v>0</v>
      </c>
      <c r="N41" s="806">
        <v>0</v>
      </c>
      <c r="O41" s="806">
        <v>0</v>
      </c>
      <c r="P41" s="806">
        <v>100</v>
      </c>
      <c r="Q41" s="806"/>
      <c r="R41" s="806"/>
      <c r="S41" s="2"/>
      <c r="T41" s="114">
        <v>40</v>
      </c>
      <c r="U41" s="2">
        <f t="shared" si="127"/>
        <v>0</v>
      </c>
      <c r="V41" s="2">
        <f t="shared" si="13"/>
        <v>0</v>
      </c>
      <c r="W41" s="2">
        <f t="shared" si="14"/>
        <v>0</v>
      </c>
      <c r="X41" s="2">
        <f t="shared" si="15"/>
        <v>0</v>
      </c>
      <c r="Y41" s="2">
        <f t="shared" si="16"/>
        <v>0</v>
      </c>
      <c r="Z41" s="2">
        <f t="shared" si="17"/>
        <v>0</v>
      </c>
      <c r="AA41" s="2">
        <f t="shared" si="18"/>
        <v>0</v>
      </c>
      <c r="AB41" s="2">
        <f t="shared" si="19"/>
        <v>0</v>
      </c>
      <c r="AC41" s="2">
        <f t="shared" si="20"/>
        <v>0</v>
      </c>
      <c r="AD41" s="2">
        <f t="shared" si="21"/>
        <v>129336.15818393139</v>
      </c>
      <c r="AE41" s="2">
        <f t="shared" si="22"/>
        <v>0</v>
      </c>
      <c r="AF41" s="1844">
        <v>40</v>
      </c>
      <c r="AG41" s="1724">
        <f t="shared" si="23"/>
        <v>0</v>
      </c>
      <c r="AH41" s="1724">
        <f t="shared" si="24"/>
        <v>0</v>
      </c>
      <c r="AI41" s="1724">
        <f t="shared" si="25"/>
        <v>0</v>
      </c>
      <c r="AJ41" s="1724">
        <f t="shared" si="26"/>
        <v>0</v>
      </c>
      <c r="AK41" s="1724">
        <f t="shared" si="27"/>
        <v>0</v>
      </c>
      <c r="AL41" s="1724">
        <f t="shared" si="28"/>
        <v>0</v>
      </c>
      <c r="AM41" s="1724">
        <f t="shared" si="29"/>
        <v>0</v>
      </c>
      <c r="AN41" s="1724">
        <f t="shared" si="30"/>
        <v>0</v>
      </c>
      <c r="AO41" s="1724">
        <f t="shared" si="31"/>
        <v>0</v>
      </c>
      <c r="AP41" s="1724">
        <f t="shared" si="32"/>
        <v>5173446.3273572559</v>
      </c>
      <c r="AR41" s="1822">
        <v>40</v>
      </c>
      <c r="AS41" s="1199"/>
      <c r="AT41" s="1">
        <v>754205.21534966095</v>
      </c>
      <c r="AU41" s="1">
        <v>0</v>
      </c>
      <c r="AV41" s="20"/>
      <c r="AW41" s="1843">
        <f t="shared" si="33"/>
        <v>754205.21534966095</v>
      </c>
      <c r="AX41" s="951"/>
      <c r="AY41" s="806"/>
      <c r="AZ41" s="806"/>
      <c r="BA41" s="806"/>
      <c r="BB41" s="806"/>
      <c r="BC41" s="806"/>
      <c r="BD41" s="806"/>
      <c r="BE41" s="1849"/>
      <c r="BF41" s="806">
        <v>100</v>
      </c>
      <c r="BG41" s="806"/>
      <c r="BH41" s="806"/>
      <c r="BI41" s="806"/>
      <c r="BJ41" s="2"/>
      <c r="BK41" s="114">
        <v>40</v>
      </c>
      <c r="BL41" s="2">
        <f t="shared" si="128"/>
        <v>0</v>
      </c>
      <c r="BM41" s="2">
        <f t="shared" si="129"/>
        <v>0</v>
      </c>
      <c r="BN41" s="2">
        <f t="shared" si="130"/>
        <v>0</v>
      </c>
      <c r="BO41" s="2">
        <f t="shared" si="131"/>
        <v>0</v>
      </c>
      <c r="BP41" s="2">
        <f t="shared" si="132"/>
        <v>0</v>
      </c>
      <c r="BQ41" s="2">
        <f t="shared" si="133"/>
        <v>0</v>
      </c>
      <c r="BR41" s="2">
        <f t="shared" si="134"/>
        <v>0</v>
      </c>
      <c r="BS41" s="2">
        <f t="shared" si="135"/>
        <v>0</v>
      </c>
      <c r="BT41" s="2">
        <f t="shared" si="136"/>
        <v>754205.21534966095</v>
      </c>
      <c r="BU41" s="2">
        <f t="shared" si="137"/>
        <v>0</v>
      </c>
      <c r="BV41" s="2">
        <f t="shared" si="138"/>
        <v>0</v>
      </c>
      <c r="BW41" s="1844">
        <v>40</v>
      </c>
      <c r="BX41" s="1724">
        <f t="shared" si="139"/>
        <v>0</v>
      </c>
      <c r="BY41" s="1724">
        <f t="shared" si="3"/>
        <v>0</v>
      </c>
      <c r="BZ41" s="1724">
        <f t="shared" si="4"/>
        <v>0</v>
      </c>
      <c r="CA41" s="1724">
        <f t="shared" si="5"/>
        <v>0</v>
      </c>
      <c r="CB41" s="1724">
        <f t="shared" si="6"/>
        <v>0</v>
      </c>
      <c r="CC41" s="1724">
        <f t="shared" si="7"/>
        <v>0</v>
      </c>
      <c r="CD41" s="1724">
        <f t="shared" si="8"/>
        <v>0</v>
      </c>
      <c r="CE41" s="1724">
        <f t="shared" si="9"/>
        <v>0</v>
      </c>
      <c r="CF41" s="1724">
        <f t="shared" si="10"/>
        <v>30168208.61398644</v>
      </c>
      <c r="CG41" s="1724">
        <f t="shared" si="11"/>
        <v>0</v>
      </c>
      <c r="CH41" s="75"/>
      <c r="CM41" s="638"/>
      <c r="CN41" s="1847">
        <v>38</v>
      </c>
      <c r="CO41" s="1851"/>
      <c r="CP41" s="638">
        <v>0</v>
      </c>
      <c r="CQ41" s="2">
        <v>166030.88626906084</v>
      </c>
      <c r="CR41" s="646">
        <f t="shared" si="63"/>
        <v>166030.88626906084</v>
      </c>
      <c r="CS41" s="1141"/>
      <c r="CT41" s="952"/>
      <c r="CU41" s="808"/>
      <c r="CV41" s="808"/>
      <c r="CW41" s="808"/>
      <c r="CX41" s="808"/>
      <c r="CY41" s="808"/>
      <c r="CZ41" s="808"/>
      <c r="DA41" s="1850"/>
      <c r="DB41" s="808"/>
      <c r="DC41" s="808"/>
      <c r="DD41" s="808"/>
      <c r="DE41" s="808"/>
      <c r="DF41" s="451"/>
      <c r="DG41" s="647">
        <v>38</v>
      </c>
      <c r="DH41" s="666"/>
      <c r="DI41" s="955"/>
      <c r="DJ41" s="1852"/>
      <c r="DK41" s="1852"/>
      <c r="DL41" s="1852"/>
      <c r="DM41" s="1852"/>
      <c r="DN41" s="1852"/>
      <c r="DO41" s="1852"/>
      <c r="DP41" s="1263"/>
      <c r="DQ41" s="1263">
        <v>100</v>
      </c>
      <c r="DR41" s="1263"/>
      <c r="DS41" s="1847">
        <v>38</v>
      </c>
      <c r="DT41" s="192">
        <f t="shared" si="190"/>
        <v>0</v>
      </c>
      <c r="DU41" s="192">
        <f t="shared" si="191"/>
        <v>0</v>
      </c>
      <c r="DV41" s="192">
        <f t="shared" si="192"/>
        <v>0</v>
      </c>
      <c r="DW41" s="192">
        <f t="shared" si="193"/>
        <v>0</v>
      </c>
      <c r="DX41" s="192">
        <f t="shared" si="194"/>
        <v>0</v>
      </c>
      <c r="DY41" s="192">
        <f t="shared" si="195"/>
        <v>0</v>
      </c>
      <c r="DZ41" s="192">
        <f t="shared" si="196"/>
        <v>0</v>
      </c>
      <c r="EA41" s="192">
        <f t="shared" si="197"/>
        <v>0</v>
      </c>
      <c r="EB41" s="192">
        <f t="shared" si="198"/>
        <v>0</v>
      </c>
      <c r="EC41" s="192">
        <f t="shared" si="199"/>
        <v>166030.88626906084</v>
      </c>
      <c r="ED41" s="192">
        <f t="shared" si="200"/>
        <v>0</v>
      </c>
      <c r="EE41" s="667">
        <f t="shared" si="46"/>
        <v>166030.88626906084</v>
      </c>
      <c r="EH41" s="973">
        <v>39</v>
      </c>
      <c r="EI41" s="974"/>
      <c r="EJ41" s="974"/>
      <c r="EK41" s="974"/>
      <c r="EL41" s="974"/>
      <c r="EM41" s="974"/>
      <c r="EN41" s="974"/>
      <c r="EO41" s="974"/>
      <c r="EP41" s="974"/>
      <c r="EQ41" s="974">
        <v>50</v>
      </c>
      <c r="ER41" s="974">
        <v>50</v>
      </c>
      <c r="ES41" s="974"/>
      <c r="EX41" s="975">
        <v>100</v>
      </c>
      <c r="EY41" s="357">
        <v>57325.515112748733</v>
      </c>
      <c r="EZ41" s="989">
        <f t="shared" si="64"/>
        <v>0</v>
      </c>
      <c r="FA41" s="989">
        <f t="shared" si="47"/>
        <v>0</v>
      </c>
      <c r="FB41" s="989">
        <f t="shared" si="48"/>
        <v>0</v>
      </c>
      <c r="FC41" s="989">
        <f t="shared" si="49"/>
        <v>0</v>
      </c>
      <c r="FD41" s="989">
        <f t="shared" si="50"/>
        <v>0</v>
      </c>
      <c r="FE41" s="989">
        <f t="shared" si="51"/>
        <v>0</v>
      </c>
      <c r="FF41" s="989">
        <f t="shared" si="52"/>
        <v>0</v>
      </c>
      <c r="FG41" s="989">
        <f t="shared" si="53"/>
        <v>0</v>
      </c>
      <c r="FH41" s="989">
        <f t="shared" si="54"/>
        <v>28662.757556374367</v>
      </c>
      <c r="FI41" s="989">
        <f t="shared" si="55"/>
        <v>28662.757556374367</v>
      </c>
      <c r="FJ41" s="989">
        <f t="shared" si="56"/>
        <v>0</v>
      </c>
      <c r="FM41" s="1005">
        <v>39</v>
      </c>
      <c r="FN41" s="1003"/>
      <c r="FO41" s="1006"/>
      <c r="FP41" s="1006"/>
      <c r="FQ41" s="1006"/>
      <c r="FR41" s="1006"/>
      <c r="FS41" s="1006"/>
      <c r="FT41" s="1006"/>
      <c r="FU41" s="1006"/>
      <c r="FV41" s="1006">
        <v>9.5238095238095237</v>
      </c>
      <c r="FW41" s="1006">
        <v>57.142857142857146</v>
      </c>
      <c r="FX41" s="1006">
        <v>33.333333333333336</v>
      </c>
      <c r="FY41" s="1006"/>
      <c r="FZ41" s="1006"/>
      <c r="GA41" s="1003"/>
      <c r="GB41" s="1004">
        <v>100</v>
      </c>
      <c r="GC41" s="1005">
        <v>39</v>
      </c>
      <c r="GD41" s="2">
        <v>462437.98740873783</v>
      </c>
      <c r="GE41" s="989">
        <f t="shared" si="152"/>
        <v>0</v>
      </c>
      <c r="GF41" s="989">
        <f t="shared" si="153"/>
        <v>0</v>
      </c>
      <c r="GG41" s="989">
        <f t="shared" si="154"/>
        <v>0</v>
      </c>
      <c r="GH41" s="989">
        <f t="shared" si="155"/>
        <v>0</v>
      </c>
      <c r="GI41" s="989">
        <f t="shared" si="156"/>
        <v>0</v>
      </c>
      <c r="GJ41" s="989">
        <f t="shared" si="157"/>
        <v>0</v>
      </c>
      <c r="GK41" s="989">
        <f t="shared" si="158"/>
        <v>0</v>
      </c>
      <c r="GL41" s="989">
        <f t="shared" si="159"/>
        <v>0</v>
      </c>
      <c r="GM41" s="989">
        <f t="shared" si="160"/>
        <v>44041.713086546464</v>
      </c>
      <c r="GN41" s="989">
        <f t="shared" si="161"/>
        <v>264250.27851927874</v>
      </c>
      <c r="GO41" s="989">
        <f t="shared" si="162"/>
        <v>154145.99580291263</v>
      </c>
      <c r="GP41" s="989">
        <f t="shared" si="163"/>
        <v>0</v>
      </c>
      <c r="GQ41" s="989">
        <f t="shared" si="164"/>
        <v>0</v>
      </c>
      <c r="GR41" s="989">
        <f t="shared" si="165"/>
        <v>0</v>
      </c>
      <c r="GX41" s="1032">
        <v>39</v>
      </c>
      <c r="GY41" s="1">
        <v>651774.06756728084</v>
      </c>
      <c r="GZ41" s="1853"/>
      <c r="HA41" s="1039"/>
      <c r="HB41" s="1039"/>
      <c r="HC41" s="1039"/>
      <c r="HD41" s="1039"/>
      <c r="HE41" s="1039"/>
      <c r="HF41" s="1039"/>
      <c r="HG41" s="1039"/>
      <c r="HH41" s="1039">
        <v>20</v>
      </c>
      <c r="HI41" s="1039">
        <v>50</v>
      </c>
      <c r="HJ41" s="1039">
        <v>30</v>
      </c>
      <c r="HK41" s="1039"/>
      <c r="HL41" s="1039"/>
      <c r="HM41" s="1040">
        <f t="shared" si="189"/>
        <v>100</v>
      </c>
      <c r="HN41" s="989">
        <f t="shared" si="67"/>
        <v>0</v>
      </c>
      <c r="HO41" s="989">
        <f t="shared" si="68"/>
        <v>0</v>
      </c>
      <c r="HP41" s="989">
        <f t="shared" si="69"/>
        <v>0</v>
      </c>
      <c r="HQ41" s="989">
        <f t="shared" si="70"/>
        <v>0</v>
      </c>
      <c r="HR41" s="989">
        <f t="shared" si="71"/>
        <v>0</v>
      </c>
      <c r="HS41" s="989">
        <f t="shared" si="72"/>
        <v>0</v>
      </c>
      <c r="HT41" s="989">
        <f t="shared" si="73"/>
        <v>0</v>
      </c>
      <c r="HU41" s="989">
        <f t="shared" si="74"/>
        <v>0</v>
      </c>
      <c r="HV41" s="989">
        <f t="shared" si="75"/>
        <v>130354.81351345617</v>
      </c>
      <c r="HW41" s="989">
        <f t="shared" si="76"/>
        <v>325887.03378364042</v>
      </c>
      <c r="HX41" s="989">
        <f t="shared" si="77"/>
        <v>195532.22027018425</v>
      </c>
      <c r="HY41" s="989">
        <f t="shared" si="78"/>
        <v>0</v>
      </c>
      <c r="HZ41" s="989">
        <f t="shared" si="79"/>
        <v>0</v>
      </c>
      <c r="IE41" s="2">
        <v>760513.71093786368</v>
      </c>
      <c r="IF41" s="1002">
        <v>34</v>
      </c>
      <c r="IG41" s="553"/>
      <c r="IH41" s="553"/>
      <c r="II41" s="553"/>
      <c r="IJ41" s="553"/>
      <c r="IK41" s="553"/>
      <c r="IL41" s="553"/>
      <c r="IM41" s="553">
        <v>40</v>
      </c>
      <c r="IN41" s="553">
        <v>60</v>
      </c>
      <c r="IO41" s="553"/>
      <c r="IP41" s="553"/>
      <c r="IQ41" s="553"/>
      <c r="IS41" s="1270">
        <v>34</v>
      </c>
      <c r="IT41" s="989">
        <f t="shared" si="214"/>
        <v>0</v>
      </c>
      <c r="IU41" s="989">
        <f t="shared" si="202"/>
        <v>0</v>
      </c>
      <c r="IV41" s="989">
        <f t="shared" si="203"/>
        <v>0</v>
      </c>
      <c r="IW41" s="989">
        <f t="shared" si="204"/>
        <v>0</v>
      </c>
      <c r="IX41" s="989">
        <f t="shared" si="205"/>
        <v>0</v>
      </c>
      <c r="IY41" s="989">
        <f t="shared" si="206"/>
        <v>0</v>
      </c>
      <c r="IZ41" s="989">
        <f t="shared" si="207"/>
        <v>304205.48437514546</v>
      </c>
      <c r="JA41" s="989">
        <f t="shared" si="208"/>
        <v>456308.22656271822</v>
      </c>
      <c r="JB41" s="989">
        <f t="shared" si="209"/>
        <v>0</v>
      </c>
      <c r="JC41" s="989">
        <f t="shared" si="210"/>
        <v>0</v>
      </c>
      <c r="JD41" s="989">
        <f t="shared" si="211"/>
        <v>0</v>
      </c>
      <c r="JE41" s="989">
        <f t="shared" si="215"/>
        <v>0</v>
      </c>
      <c r="JG41" s="1135">
        <v>357093.70148868667</v>
      </c>
      <c r="JH41" s="1002">
        <v>34</v>
      </c>
      <c r="JI41" s="666"/>
      <c r="JJ41" s="1272"/>
      <c r="JK41" s="1272"/>
      <c r="JL41" s="1272"/>
      <c r="JM41" s="1272"/>
      <c r="JN41" s="1272"/>
      <c r="JO41" s="1272"/>
      <c r="JP41" s="1272">
        <v>100</v>
      </c>
      <c r="JQ41" s="1272"/>
      <c r="JR41" s="1272"/>
      <c r="JS41" s="1272"/>
      <c r="JT41" s="1273"/>
      <c r="JU41" s="1273"/>
      <c r="JW41" s="989">
        <f t="shared" si="103"/>
        <v>0</v>
      </c>
      <c r="JX41" s="989">
        <f t="shared" si="104"/>
        <v>0</v>
      </c>
      <c r="JY41" s="989">
        <f t="shared" si="92"/>
        <v>0</v>
      </c>
      <c r="JZ41" s="989">
        <f t="shared" si="93"/>
        <v>0</v>
      </c>
      <c r="KA41" s="989">
        <f t="shared" si="94"/>
        <v>0</v>
      </c>
      <c r="KB41" s="989">
        <f t="shared" si="95"/>
        <v>0</v>
      </c>
      <c r="KC41" s="989">
        <f t="shared" si="96"/>
        <v>357093.70148868667</v>
      </c>
      <c r="KD41" s="989">
        <f t="shared" si="97"/>
        <v>0</v>
      </c>
      <c r="KE41" s="989">
        <f t="shared" si="98"/>
        <v>0</v>
      </c>
      <c r="KF41" s="989">
        <f t="shared" si="99"/>
        <v>0</v>
      </c>
      <c r="KG41" s="989">
        <f t="shared" si="100"/>
        <v>0</v>
      </c>
      <c r="KJ41" s="192">
        <f t="shared" si="178"/>
        <v>0</v>
      </c>
      <c r="KK41" s="192">
        <f t="shared" si="179"/>
        <v>0</v>
      </c>
      <c r="KL41" s="192">
        <f t="shared" si="180"/>
        <v>0</v>
      </c>
      <c r="KM41" s="192">
        <f t="shared" si="181"/>
        <v>0</v>
      </c>
      <c r="KN41" s="192">
        <f t="shared" si="182"/>
        <v>0</v>
      </c>
      <c r="KO41" s="192">
        <f t="shared" si="183"/>
        <v>0</v>
      </c>
      <c r="KP41" s="192">
        <f t="shared" si="184"/>
        <v>661299.18586383213</v>
      </c>
      <c r="KQ41" s="192">
        <f t="shared" si="185"/>
        <v>456308.22656271822</v>
      </c>
      <c r="KR41" s="192">
        <f t="shared" si="186"/>
        <v>0</v>
      </c>
      <c r="KS41" s="192">
        <f t="shared" si="187"/>
        <v>0</v>
      </c>
      <c r="KT41" s="192">
        <f t="shared" si="188"/>
        <v>0</v>
      </c>
      <c r="KV41" s="1032">
        <v>39</v>
      </c>
      <c r="KW41" s="2">
        <v>1083298.9625362745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57.142857142857139</v>
      </c>
      <c r="LF41" s="1">
        <v>28.571428571428569</v>
      </c>
      <c r="LG41" s="1">
        <v>14.285714285714285</v>
      </c>
      <c r="LH41" s="1">
        <v>0</v>
      </c>
      <c r="LJ41" s="989">
        <f t="shared" si="141"/>
        <v>0</v>
      </c>
      <c r="LK41" s="989">
        <f t="shared" si="142"/>
        <v>0</v>
      </c>
      <c r="LL41" s="989">
        <f t="shared" si="143"/>
        <v>0</v>
      </c>
      <c r="LM41" s="989">
        <f t="shared" si="144"/>
        <v>0</v>
      </c>
      <c r="LN41" s="989">
        <f t="shared" si="145"/>
        <v>0</v>
      </c>
      <c r="LO41" s="989">
        <f t="shared" si="146"/>
        <v>0</v>
      </c>
      <c r="LP41" s="989">
        <f t="shared" si="147"/>
        <v>0</v>
      </c>
      <c r="LQ41" s="989">
        <f t="shared" si="148"/>
        <v>619027.97859215678</v>
      </c>
      <c r="LR41" s="989">
        <f t="shared" si="149"/>
        <v>309513.98929607839</v>
      </c>
      <c r="LS41" s="989">
        <f t="shared" si="150"/>
        <v>154756.9946480392</v>
      </c>
      <c r="LT41" s="989">
        <f t="shared" si="151"/>
        <v>0</v>
      </c>
      <c r="LV41" s="2">
        <v>661825.12145564286</v>
      </c>
      <c r="LW41" s="1446">
        <v>0</v>
      </c>
      <c r="LX41" s="1446">
        <v>0</v>
      </c>
      <c r="LY41" s="1446">
        <v>0</v>
      </c>
      <c r="LZ41" s="1446">
        <v>0</v>
      </c>
      <c r="MA41" s="1446">
        <v>0</v>
      </c>
      <c r="MB41" s="1446">
        <v>0</v>
      </c>
      <c r="MC41" s="1446">
        <v>50</v>
      </c>
      <c r="MD41" s="1446">
        <v>50</v>
      </c>
      <c r="ME41" s="1446">
        <v>0</v>
      </c>
      <c r="MF41" s="1446">
        <v>0</v>
      </c>
      <c r="MH41" s="1">
        <f t="shared" si="166"/>
        <v>100</v>
      </c>
      <c r="MI41" s="989">
        <f t="shared" si="167"/>
        <v>0</v>
      </c>
      <c r="MJ41" s="989">
        <f t="shared" si="168"/>
        <v>0</v>
      </c>
      <c r="MK41" s="989">
        <f t="shared" si="169"/>
        <v>0</v>
      </c>
      <c r="ML41" s="989">
        <f t="shared" si="170"/>
        <v>0</v>
      </c>
      <c r="MM41" s="989">
        <f t="shared" si="171"/>
        <v>0</v>
      </c>
      <c r="MN41" s="989">
        <f t="shared" si="172"/>
        <v>0</v>
      </c>
      <c r="MO41" s="989">
        <f t="shared" si="173"/>
        <v>330912.56072782143</v>
      </c>
      <c r="MP41" s="989">
        <f t="shared" si="174"/>
        <v>330912.56072782143</v>
      </c>
      <c r="MQ41" s="989">
        <f t="shared" si="175"/>
        <v>0</v>
      </c>
      <c r="MR41" s="989">
        <f t="shared" si="176"/>
        <v>0</v>
      </c>
      <c r="MS41" s="989">
        <f t="shared" si="177"/>
        <v>0</v>
      </c>
      <c r="MU41" s="1032">
        <v>39</v>
      </c>
      <c r="MV41" s="57">
        <v>205514.59133229227</v>
      </c>
      <c r="MW41" s="1964"/>
      <c r="MX41" s="1964"/>
      <c r="MY41" s="1964"/>
      <c r="MZ41" s="1964"/>
      <c r="NA41" s="1964"/>
      <c r="NB41" s="1964"/>
      <c r="NC41" s="1964"/>
      <c r="ND41" s="1964"/>
      <c r="NE41" s="1964">
        <v>80</v>
      </c>
      <c r="NF41" s="1964">
        <v>20</v>
      </c>
      <c r="NG41" s="1964"/>
      <c r="NJ41" s="989">
        <f t="shared" si="116"/>
        <v>0</v>
      </c>
      <c r="NK41" s="989">
        <f t="shared" si="117"/>
        <v>0</v>
      </c>
      <c r="NL41" s="989">
        <f t="shared" si="118"/>
        <v>0</v>
      </c>
      <c r="NM41" s="989">
        <f t="shared" si="119"/>
        <v>0</v>
      </c>
      <c r="NN41" s="989">
        <f t="shared" si="120"/>
        <v>0</v>
      </c>
      <c r="NO41" s="989">
        <f t="shared" si="121"/>
        <v>0</v>
      </c>
      <c r="NP41" s="989">
        <f t="shared" si="122"/>
        <v>0</v>
      </c>
      <c r="NQ41" s="989">
        <f t="shared" si="123"/>
        <v>0</v>
      </c>
      <c r="NR41" s="989">
        <f t="shared" si="124"/>
        <v>164411.67306583383</v>
      </c>
      <c r="NS41" s="989">
        <f t="shared" si="125"/>
        <v>41102.918266458459</v>
      </c>
      <c r="NT41" s="989">
        <f t="shared" si="126"/>
        <v>0</v>
      </c>
    </row>
    <row r="42" spans="1:384" ht="15" thickTop="1" thickBot="1">
      <c r="A42" s="1822">
        <v>41</v>
      </c>
      <c r="B42" s="1199"/>
      <c r="C42" s="1134">
        <v>0</v>
      </c>
      <c r="D42" s="1199">
        <v>0</v>
      </c>
      <c r="E42" s="20"/>
      <c r="F42" s="1843">
        <f t="shared" si="12"/>
        <v>0</v>
      </c>
      <c r="G42" s="951"/>
      <c r="H42" s="806"/>
      <c r="I42" s="806"/>
      <c r="J42" s="806"/>
      <c r="K42" s="806"/>
      <c r="L42" s="806"/>
      <c r="M42" s="806"/>
      <c r="N42" s="806"/>
      <c r="O42" s="806"/>
      <c r="P42" s="806"/>
      <c r="Q42" s="806"/>
      <c r="R42" s="806"/>
      <c r="S42" s="2"/>
      <c r="T42" s="114">
        <v>41</v>
      </c>
      <c r="U42" s="2">
        <f t="shared" si="127"/>
        <v>0</v>
      </c>
      <c r="V42" s="2">
        <f t="shared" si="13"/>
        <v>0</v>
      </c>
      <c r="W42" s="2">
        <f t="shared" si="14"/>
        <v>0</v>
      </c>
      <c r="X42" s="2">
        <f t="shared" si="15"/>
        <v>0</v>
      </c>
      <c r="Y42" s="2">
        <f t="shared" si="16"/>
        <v>0</v>
      </c>
      <c r="Z42" s="2">
        <f t="shared" si="17"/>
        <v>0</v>
      </c>
      <c r="AA42" s="2">
        <f t="shared" si="18"/>
        <v>0</v>
      </c>
      <c r="AB42" s="2">
        <f t="shared" si="19"/>
        <v>0</v>
      </c>
      <c r="AC42" s="2">
        <f t="shared" si="20"/>
        <v>0</v>
      </c>
      <c r="AD42" s="2">
        <f t="shared" si="21"/>
        <v>0</v>
      </c>
      <c r="AE42" s="2">
        <f t="shared" si="22"/>
        <v>0</v>
      </c>
      <c r="AF42" s="1844">
        <v>41</v>
      </c>
      <c r="AG42" s="1724">
        <f t="shared" si="23"/>
        <v>0</v>
      </c>
      <c r="AH42" s="1724">
        <f t="shared" si="24"/>
        <v>0</v>
      </c>
      <c r="AI42" s="1724">
        <f t="shared" si="25"/>
        <v>0</v>
      </c>
      <c r="AJ42" s="1724">
        <f t="shared" si="26"/>
        <v>0</v>
      </c>
      <c r="AK42" s="1724">
        <f t="shared" si="27"/>
        <v>0</v>
      </c>
      <c r="AL42" s="1724">
        <f t="shared" si="28"/>
        <v>0</v>
      </c>
      <c r="AM42" s="1724">
        <f t="shared" si="29"/>
        <v>0</v>
      </c>
      <c r="AN42" s="1724">
        <f t="shared" si="30"/>
        <v>0</v>
      </c>
      <c r="AO42" s="1724">
        <f t="shared" si="31"/>
        <v>0</v>
      </c>
      <c r="AP42" s="1724">
        <f t="shared" si="32"/>
        <v>0</v>
      </c>
      <c r="AR42" s="1822">
        <v>41</v>
      </c>
      <c r="AS42" s="1199"/>
      <c r="AT42" s="1">
        <v>211617.4439599</v>
      </c>
      <c r="AU42" s="1">
        <v>0</v>
      </c>
      <c r="AV42" s="20"/>
      <c r="AW42" s="1843">
        <f t="shared" si="33"/>
        <v>211617.4439599</v>
      </c>
      <c r="AX42" s="951"/>
      <c r="AY42" s="806"/>
      <c r="AZ42" s="806"/>
      <c r="BA42" s="806"/>
      <c r="BB42" s="806"/>
      <c r="BC42" s="806"/>
      <c r="BD42" s="806"/>
      <c r="BE42" s="1849"/>
      <c r="BF42" s="806">
        <v>100</v>
      </c>
      <c r="BG42" s="806"/>
      <c r="BH42" s="806"/>
      <c r="BI42" s="806"/>
      <c r="BJ42" s="2"/>
      <c r="BK42" s="114">
        <v>41</v>
      </c>
      <c r="BL42" s="2">
        <f t="shared" si="128"/>
        <v>0</v>
      </c>
      <c r="BM42" s="2">
        <f t="shared" si="129"/>
        <v>0</v>
      </c>
      <c r="BN42" s="2">
        <f t="shared" si="130"/>
        <v>0</v>
      </c>
      <c r="BO42" s="2">
        <f t="shared" si="131"/>
        <v>0</v>
      </c>
      <c r="BP42" s="2">
        <f t="shared" si="132"/>
        <v>0</v>
      </c>
      <c r="BQ42" s="2">
        <f t="shared" si="133"/>
        <v>0</v>
      </c>
      <c r="BR42" s="2">
        <f t="shared" si="134"/>
        <v>0</v>
      </c>
      <c r="BS42" s="2">
        <f t="shared" si="135"/>
        <v>0</v>
      </c>
      <c r="BT42" s="2">
        <f t="shared" si="136"/>
        <v>211617.4439599</v>
      </c>
      <c r="BU42" s="2">
        <f t="shared" si="137"/>
        <v>0</v>
      </c>
      <c r="BV42" s="2">
        <f t="shared" si="138"/>
        <v>0</v>
      </c>
      <c r="BW42" s="1844">
        <v>41</v>
      </c>
      <c r="BX42" s="1724">
        <f t="shared" si="139"/>
        <v>0</v>
      </c>
      <c r="BY42" s="1724">
        <f t="shared" si="3"/>
        <v>0</v>
      </c>
      <c r="BZ42" s="1724">
        <f t="shared" si="4"/>
        <v>0</v>
      </c>
      <c r="CA42" s="1724">
        <f t="shared" si="5"/>
        <v>0</v>
      </c>
      <c r="CB42" s="1724">
        <f t="shared" si="6"/>
        <v>0</v>
      </c>
      <c r="CC42" s="1724">
        <f t="shared" si="7"/>
        <v>0</v>
      </c>
      <c r="CD42" s="1724">
        <f t="shared" si="8"/>
        <v>0</v>
      </c>
      <c r="CE42" s="1724">
        <f t="shared" si="9"/>
        <v>0</v>
      </c>
      <c r="CF42" s="1724">
        <f t="shared" si="10"/>
        <v>8676315.2023559008</v>
      </c>
      <c r="CG42" s="1724">
        <f t="shared" si="11"/>
        <v>0</v>
      </c>
      <c r="CH42" s="75"/>
      <c r="CJ42" s="1" t="s">
        <v>606</v>
      </c>
      <c r="CM42" s="638"/>
      <c r="CN42" s="1847">
        <v>39</v>
      </c>
      <c r="CO42" s="1851"/>
      <c r="CP42" s="638">
        <v>0</v>
      </c>
      <c r="CQ42" s="2">
        <v>183871.23591487875</v>
      </c>
      <c r="CR42" s="646">
        <f t="shared" si="63"/>
        <v>183871.23591487875</v>
      </c>
      <c r="CS42" s="1141"/>
      <c r="CT42" s="952"/>
      <c r="CU42" s="808"/>
      <c r="CV42" s="808"/>
      <c r="CW42" s="808"/>
      <c r="CX42" s="808"/>
      <c r="CY42" s="808"/>
      <c r="CZ42" s="808"/>
      <c r="DA42" s="1850"/>
      <c r="DB42" s="808">
        <v>100</v>
      </c>
      <c r="DC42" s="808"/>
      <c r="DD42" s="808"/>
      <c r="DE42" s="808"/>
      <c r="DF42" s="451"/>
      <c r="DG42" s="647">
        <v>39</v>
      </c>
      <c r="DH42" s="666"/>
      <c r="DI42" s="955"/>
      <c r="DJ42" s="1852"/>
      <c r="DK42" s="1852"/>
      <c r="DL42" s="1852"/>
      <c r="DM42" s="1852"/>
      <c r="DN42" s="1852"/>
      <c r="DO42" s="1852"/>
      <c r="DP42" s="1263"/>
      <c r="DQ42" s="1263"/>
      <c r="DR42" s="1263">
        <v>100</v>
      </c>
      <c r="DS42" s="1847">
        <v>39</v>
      </c>
      <c r="DT42" s="192">
        <f t="shared" si="190"/>
        <v>0</v>
      </c>
      <c r="DU42" s="192">
        <f t="shared" si="191"/>
        <v>0</v>
      </c>
      <c r="DV42" s="192">
        <f t="shared" si="192"/>
        <v>0</v>
      </c>
      <c r="DW42" s="192">
        <f t="shared" si="193"/>
        <v>0</v>
      </c>
      <c r="DX42" s="192">
        <f t="shared" si="194"/>
        <v>0</v>
      </c>
      <c r="DY42" s="192">
        <f t="shared" si="195"/>
        <v>0</v>
      </c>
      <c r="DZ42" s="192">
        <f t="shared" si="196"/>
        <v>0</v>
      </c>
      <c r="EA42" s="192">
        <f t="shared" si="197"/>
        <v>0</v>
      </c>
      <c r="EB42" s="192">
        <f t="shared" si="198"/>
        <v>0</v>
      </c>
      <c r="EC42" s="192">
        <f t="shared" si="199"/>
        <v>0</v>
      </c>
      <c r="ED42" s="192">
        <f t="shared" si="200"/>
        <v>183871.23591487872</v>
      </c>
      <c r="EE42" s="667">
        <f t="shared" si="46"/>
        <v>183871.23591487872</v>
      </c>
      <c r="EH42" s="978">
        <v>40</v>
      </c>
      <c r="EI42" s="974"/>
      <c r="EJ42" s="974"/>
      <c r="EK42" s="974"/>
      <c r="EL42" s="974"/>
      <c r="EM42" s="974"/>
      <c r="EN42" s="974"/>
      <c r="EO42" s="974"/>
      <c r="EP42" s="974"/>
      <c r="EQ42" s="974">
        <v>50</v>
      </c>
      <c r="ER42" s="974">
        <v>50</v>
      </c>
      <c r="ES42" s="974"/>
      <c r="EX42" s="975">
        <v>100</v>
      </c>
      <c r="EY42" s="357">
        <v>46091.118450232796</v>
      </c>
      <c r="EZ42" s="989">
        <f t="shared" si="64"/>
        <v>0</v>
      </c>
      <c r="FA42" s="989">
        <f t="shared" si="47"/>
        <v>0</v>
      </c>
      <c r="FB42" s="989">
        <f t="shared" si="48"/>
        <v>0</v>
      </c>
      <c r="FC42" s="989">
        <f t="shared" si="49"/>
        <v>0</v>
      </c>
      <c r="FD42" s="989">
        <f t="shared" si="50"/>
        <v>0</v>
      </c>
      <c r="FE42" s="989">
        <f t="shared" si="51"/>
        <v>0</v>
      </c>
      <c r="FF42" s="989">
        <f t="shared" si="52"/>
        <v>0</v>
      </c>
      <c r="FG42" s="989">
        <f t="shared" si="53"/>
        <v>0</v>
      </c>
      <c r="FH42" s="989">
        <f t="shared" si="54"/>
        <v>23045.559225116402</v>
      </c>
      <c r="FI42" s="989">
        <f t="shared" si="55"/>
        <v>23045.559225116402</v>
      </c>
      <c r="FJ42" s="989">
        <f t="shared" si="56"/>
        <v>0</v>
      </c>
      <c r="FM42" s="1002">
        <v>40</v>
      </c>
      <c r="FN42" s="1003"/>
      <c r="FO42" s="1006"/>
      <c r="FP42" s="1006"/>
      <c r="FQ42" s="1006"/>
      <c r="FR42" s="1006"/>
      <c r="FS42" s="1006"/>
      <c r="FT42" s="1006"/>
      <c r="FU42" s="1006"/>
      <c r="FV42" s="1006">
        <v>5</v>
      </c>
      <c r="FW42" s="1006">
        <v>30</v>
      </c>
      <c r="FX42" s="1006">
        <v>55</v>
      </c>
      <c r="FY42" s="1006">
        <v>10</v>
      </c>
      <c r="FZ42" s="1006"/>
      <c r="GA42" s="1003"/>
      <c r="GB42" s="1004">
        <v>100</v>
      </c>
      <c r="GC42" s="1002">
        <v>40</v>
      </c>
      <c r="GD42" s="2">
        <v>406700.25961399305</v>
      </c>
      <c r="GE42" s="989">
        <f t="shared" si="152"/>
        <v>0</v>
      </c>
      <c r="GF42" s="989">
        <f t="shared" si="153"/>
        <v>0</v>
      </c>
      <c r="GG42" s="989">
        <f t="shared" si="154"/>
        <v>0</v>
      </c>
      <c r="GH42" s="989">
        <f t="shared" si="155"/>
        <v>0</v>
      </c>
      <c r="GI42" s="989">
        <f t="shared" si="156"/>
        <v>0</v>
      </c>
      <c r="GJ42" s="989">
        <f t="shared" si="157"/>
        <v>0</v>
      </c>
      <c r="GK42" s="989">
        <f t="shared" si="158"/>
        <v>0</v>
      </c>
      <c r="GL42" s="989">
        <f t="shared" si="159"/>
        <v>0</v>
      </c>
      <c r="GM42" s="989">
        <f t="shared" si="160"/>
        <v>20335.012980699652</v>
      </c>
      <c r="GN42" s="989">
        <f t="shared" si="161"/>
        <v>122010.07788419792</v>
      </c>
      <c r="GO42" s="989">
        <f t="shared" si="162"/>
        <v>223685.14278769621</v>
      </c>
      <c r="GP42" s="989">
        <f t="shared" si="163"/>
        <v>40670.025961399304</v>
      </c>
      <c r="GQ42" s="989">
        <f t="shared" si="164"/>
        <v>0</v>
      </c>
      <c r="GR42" s="989">
        <f t="shared" si="165"/>
        <v>0</v>
      </c>
      <c r="GX42" s="1034">
        <v>40</v>
      </c>
      <c r="GY42" s="1">
        <v>319305.63725165755</v>
      </c>
      <c r="GZ42" s="1853"/>
      <c r="HA42" s="1039"/>
      <c r="HB42" s="1039"/>
      <c r="HC42" s="1039"/>
      <c r="HD42" s="1039"/>
      <c r="HE42" s="1039"/>
      <c r="HF42" s="1039"/>
      <c r="HG42" s="1039"/>
      <c r="HH42" s="1039"/>
      <c r="HI42" s="1039">
        <v>50</v>
      </c>
      <c r="HJ42" s="1039">
        <v>50</v>
      </c>
      <c r="HK42" s="1039"/>
      <c r="HL42" s="1039"/>
      <c r="HM42" s="1040">
        <f t="shared" si="189"/>
        <v>100</v>
      </c>
      <c r="HN42" s="989">
        <f t="shared" si="67"/>
        <v>0</v>
      </c>
      <c r="HO42" s="989">
        <f t="shared" si="68"/>
        <v>0</v>
      </c>
      <c r="HP42" s="989">
        <f t="shared" si="69"/>
        <v>0</v>
      </c>
      <c r="HQ42" s="989">
        <f t="shared" si="70"/>
        <v>0</v>
      </c>
      <c r="HR42" s="989">
        <f t="shared" si="71"/>
        <v>0</v>
      </c>
      <c r="HS42" s="989">
        <f t="shared" si="72"/>
        <v>0</v>
      </c>
      <c r="HT42" s="989">
        <f t="shared" si="73"/>
        <v>0</v>
      </c>
      <c r="HU42" s="989">
        <f t="shared" si="74"/>
        <v>0</v>
      </c>
      <c r="HV42" s="989">
        <f t="shared" si="75"/>
        <v>0</v>
      </c>
      <c r="HW42" s="989">
        <f t="shared" si="76"/>
        <v>159652.81862582878</v>
      </c>
      <c r="HX42" s="989">
        <f t="shared" si="77"/>
        <v>159652.81862582878</v>
      </c>
      <c r="HY42" s="989">
        <f t="shared" si="78"/>
        <v>0</v>
      </c>
      <c r="HZ42" s="989">
        <f t="shared" si="79"/>
        <v>0</v>
      </c>
      <c r="IE42" s="2">
        <v>466188.82491673983</v>
      </c>
      <c r="IF42" s="1005">
        <v>35</v>
      </c>
      <c r="IG42" s="553"/>
      <c r="IH42" s="553"/>
      <c r="II42" s="553"/>
      <c r="IJ42" s="553"/>
      <c r="IK42" s="553"/>
      <c r="IL42" s="553">
        <v>10</v>
      </c>
      <c r="IM42" s="553">
        <v>20</v>
      </c>
      <c r="IN42" s="553">
        <v>50</v>
      </c>
      <c r="IO42" s="553">
        <v>20</v>
      </c>
      <c r="IP42" s="553"/>
      <c r="IQ42" s="553"/>
      <c r="IS42" s="1270">
        <v>35</v>
      </c>
      <c r="IT42" s="989">
        <f t="shared" si="214"/>
        <v>0</v>
      </c>
      <c r="IU42" s="989">
        <f t="shared" si="202"/>
        <v>0</v>
      </c>
      <c r="IV42" s="989">
        <f t="shared" si="203"/>
        <v>0</v>
      </c>
      <c r="IW42" s="989">
        <f t="shared" si="204"/>
        <v>0</v>
      </c>
      <c r="IX42" s="989">
        <f t="shared" si="205"/>
        <v>0</v>
      </c>
      <c r="IY42" s="989">
        <f t="shared" si="206"/>
        <v>46618.882491673983</v>
      </c>
      <c r="IZ42" s="989">
        <f t="shared" si="207"/>
        <v>93237.764983347966</v>
      </c>
      <c r="JA42" s="989">
        <f t="shared" si="208"/>
        <v>233094.41245836992</v>
      </c>
      <c r="JB42" s="989">
        <f t="shared" si="209"/>
        <v>93237.764983347966</v>
      </c>
      <c r="JC42" s="989">
        <f t="shared" si="210"/>
        <v>0</v>
      </c>
      <c r="JD42" s="989">
        <f t="shared" si="211"/>
        <v>0</v>
      </c>
      <c r="JE42" s="989">
        <f t="shared" si="215"/>
        <v>0</v>
      </c>
      <c r="JG42" s="1135">
        <v>345905.09115137957</v>
      </c>
      <c r="JH42" s="1005">
        <v>35</v>
      </c>
      <c r="JI42" s="553"/>
      <c r="JJ42" s="1272"/>
      <c r="JK42" s="1272"/>
      <c r="JL42" s="1272"/>
      <c r="JM42" s="1272"/>
      <c r="JN42" s="1272"/>
      <c r="JO42" s="1272"/>
      <c r="JP42" s="1272">
        <v>100</v>
      </c>
      <c r="JQ42" s="1272"/>
      <c r="JR42" s="1272"/>
      <c r="JS42" s="1272"/>
      <c r="JT42" s="1273"/>
      <c r="JU42" s="1273"/>
      <c r="JW42" s="989">
        <f t="shared" si="103"/>
        <v>0</v>
      </c>
      <c r="JX42" s="989">
        <f t="shared" si="104"/>
        <v>0</v>
      </c>
      <c r="JY42" s="989">
        <f t="shared" si="92"/>
        <v>0</v>
      </c>
      <c r="JZ42" s="989">
        <f t="shared" si="93"/>
        <v>0</v>
      </c>
      <c r="KA42" s="989">
        <f t="shared" si="94"/>
        <v>0</v>
      </c>
      <c r="KB42" s="989">
        <f t="shared" si="95"/>
        <v>0</v>
      </c>
      <c r="KC42" s="989">
        <f t="shared" si="96"/>
        <v>345905.09115137957</v>
      </c>
      <c r="KD42" s="989">
        <f t="shared" si="97"/>
        <v>0</v>
      </c>
      <c r="KE42" s="989">
        <f t="shared" si="98"/>
        <v>0</v>
      </c>
      <c r="KF42" s="989">
        <f t="shared" si="99"/>
        <v>0</v>
      </c>
      <c r="KG42" s="989">
        <f t="shared" si="100"/>
        <v>0</v>
      </c>
      <c r="KJ42" s="192">
        <f t="shared" si="178"/>
        <v>0</v>
      </c>
      <c r="KK42" s="192">
        <f t="shared" si="179"/>
        <v>0</v>
      </c>
      <c r="KL42" s="192">
        <f t="shared" si="180"/>
        <v>0</v>
      </c>
      <c r="KM42" s="192">
        <f t="shared" si="181"/>
        <v>0</v>
      </c>
      <c r="KN42" s="192">
        <f t="shared" si="182"/>
        <v>0</v>
      </c>
      <c r="KO42" s="192">
        <f t="shared" si="183"/>
        <v>46618.882491673983</v>
      </c>
      <c r="KP42" s="192">
        <f t="shared" si="184"/>
        <v>439142.85613472754</v>
      </c>
      <c r="KQ42" s="192">
        <f t="shared" si="185"/>
        <v>233094.41245836992</v>
      </c>
      <c r="KR42" s="192">
        <f t="shared" si="186"/>
        <v>93237.764983347966</v>
      </c>
      <c r="KS42" s="192">
        <f t="shared" si="187"/>
        <v>0</v>
      </c>
      <c r="KT42" s="192">
        <f t="shared" si="188"/>
        <v>0</v>
      </c>
      <c r="KV42" s="1034">
        <v>40</v>
      </c>
      <c r="KW42" s="2">
        <v>650057.91420965036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50</v>
      </c>
      <c r="LG42" s="1">
        <v>50</v>
      </c>
      <c r="LH42" s="1">
        <v>0</v>
      </c>
      <c r="LJ42" s="989">
        <f t="shared" si="141"/>
        <v>0</v>
      </c>
      <c r="LK42" s="989">
        <f t="shared" si="142"/>
        <v>0</v>
      </c>
      <c r="LL42" s="989">
        <f t="shared" si="143"/>
        <v>0</v>
      </c>
      <c r="LM42" s="989">
        <f t="shared" si="144"/>
        <v>0</v>
      </c>
      <c r="LN42" s="989">
        <f t="shared" si="145"/>
        <v>0</v>
      </c>
      <c r="LO42" s="989">
        <f t="shared" si="146"/>
        <v>0</v>
      </c>
      <c r="LP42" s="989">
        <f t="shared" si="147"/>
        <v>0</v>
      </c>
      <c r="LQ42" s="989">
        <f t="shared" si="148"/>
        <v>0</v>
      </c>
      <c r="LR42" s="989">
        <f t="shared" si="149"/>
        <v>325028.95710482518</v>
      </c>
      <c r="LS42" s="989">
        <f t="shared" si="150"/>
        <v>325028.95710482518</v>
      </c>
      <c r="LT42" s="989">
        <f t="shared" si="151"/>
        <v>0</v>
      </c>
      <c r="LV42" s="2">
        <v>524823.33951782505</v>
      </c>
      <c r="LW42" s="1446">
        <v>0</v>
      </c>
      <c r="LX42" s="1446">
        <v>0</v>
      </c>
      <c r="LY42" s="1446">
        <v>0</v>
      </c>
      <c r="LZ42" s="1446">
        <v>0</v>
      </c>
      <c r="MA42" s="1446">
        <v>0</v>
      </c>
      <c r="MB42" s="1446">
        <v>0</v>
      </c>
      <c r="MC42" s="1446">
        <v>0</v>
      </c>
      <c r="MD42" s="1">
        <v>50</v>
      </c>
      <c r="ME42" s="1">
        <v>50</v>
      </c>
      <c r="MF42" s="1446">
        <v>0</v>
      </c>
      <c r="MH42" s="1">
        <f t="shared" si="166"/>
        <v>100</v>
      </c>
      <c r="MI42" s="989">
        <f t="shared" si="167"/>
        <v>0</v>
      </c>
      <c r="MJ42" s="989">
        <f t="shared" si="168"/>
        <v>0</v>
      </c>
      <c r="MK42" s="989">
        <f t="shared" si="169"/>
        <v>0</v>
      </c>
      <c r="ML42" s="989">
        <f t="shared" si="170"/>
        <v>0</v>
      </c>
      <c r="MM42" s="989">
        <f t="shared" si="171"/>
        <v>0</v>
      </c>
      <c r="MN42" s="989">
        <f t="shared" si="172"/>
        <v>0</v>
      </c>
      <c r="MO42" s="989">
        <f t="shared" si="173"/>
        <v>0</v>
      </c>
      <c r="MP42" s="989">
        <f t="shared" si="174"/>
        <v>262411.66975891253</v>
      </c>
      <c r="MQ42" s="989">
        <f t="shared" si="175"/>
        <v>262411.66975891253</v>
      </c>
      <c r="MR42" s="989">
        <f t="shared" si="176"/>
        <v>0</v>
      </c>
      <c r="MS42" s="989">
        <f t="shared" si="177"/>
        <v>0</v>
      </c>
      <c r="MU42" s="1034">
        <v>40</v>
      </c>
      <c r="MV42" s="57">
        <v>95260.421717483012</v>
      </c>
      <c r="MW42" s="1964"/>
      <c r="MX42" s="1964"/>
      <c r="MY42" s="1964"/>
      <c r="MZ42" s="1964"/>
      <c r="NA42" s="1964"/>
      <c r="NB42" s="1964"/>
      <c r="NC42" s="1964"/>
      <c r="ND42" s="1964"/>
      <c r="NE42" s="1964">
        <v>33.33</v>
      </c>
      <c r="NF42" s="1964">
        <v>33.33</v>
      </c>
      <c r="NG42" s="1964">
        <v>33.33</v>
      </c>
      <c r="NJ42" s="989">
        <f t="shared" si="116"/>
        <v>0</v>
      </c>
      <c r="NK42" s="989">
        <f t="shared" si="117"/>
        <v>0</v>
      </c>
      <c r="NL42" s="989">
        <f t="shared" si="118"/>
        <v>0</v>
      </c>
      <c r="NM42" s="989">
        <f t="shared" si="119"/>
        <v>0</v>
      </c>
      <c r="NN42" s="989">
        <f t="shared" si="120"/>
        <v>0</v>
      </c>
      <c r="NO42" s="989">
        <f t="shared" si="121"/>
        <v>0</v>
      </c>
      <c r="NP42" s="989">
        <f t="shared" si="122"/>
        <v>0</v>
      </c>
      <c r="NQ42" s="989">
        <f t="shared" si="123"/>
        <v>0</v>
      </c>
      <c r="NR42" s="989">
        <f t="shared" si="124"/>
        <v>31750.298558437087</v>
      </c>
      <c r="NS42" s="989">
        <f t="shared" si="125"/>
        <v>31750.298558437087</v>
      </c>
      <c r="NT42" s="989">
        <f t="shared" si="126"/>
        <v>31750.298558437087</v>
      </c>
    </row>
    <row r="43" spans="1:384" ht="15" thickTop="1" thickBot="1">
      <c r="A43" s="1822">
        <v>42</v>
      </c>
      <c r="B43" s="1199"/>
      <c r="C43" s="1134">
        <v>0</v>
      </c>
      <c r="D43" s="1199">
        <v>0</v>
      </c>
      <c r="E43" s="20"/>
      <c r="F43" s="1843">
        <f t="shared" si="12"/>
        <v>0</v>
      </c>
      <c r="G43" s="951"/>
      <c r="H43" s="806"/>
      <c r="I43" s="806"/>
      <c r="J43" s="806"/>
      <c r="K43" s="806"/>
      <c r="L43" s="806"/>
      <c r="M43" s="806"/>
      <c r="N43" s="806"/>
      <c r="O43" s="806"/>
      <c r="P43" s="806"/>
      <c r="Q43" s="806"/>
      <c r="R43" s="806"/>
      <c r="S43" s="2"/>
      <c r="T43" s="114">
        <v>42</v>
      </c>
      <c r="U43" s="2">
        <f t="shared" si="127"/>
        <v>0</v>
      </c>
      <c r="V43" s="2">
        <f t="shared" si="13"/>
        <v>0</v>
      </c>
      <c r="W43" s="2">
        <f t="shared" si="14"/>
        <v>0</v>
      </c>
      <c r="X43" s="2">
        <f t="shared" si="15"/>
        <v>0</v>
      </c>
      <c r="Y43" s="2">
        <f t="shared" si="16"/>
        <v>0</v>
      </c>
      <c r="Z43" s="2">
        <f t="shared" si="17"/>
        <v>0</v>
      </c>
      <c r="AA43" s="2">
        <f t="shared" si="18"/>
        <v>0</v>
      </c>
      <c r="AB43" s="2">
        <f t="shared" si="19"/>
        <v>0</v>
      </c>
      <c r="AC43" s="2">
        <f t="shared" si="20"/>
        <v>0</v>
      </c>
      <c r="AD43" s="2">
        <f t="shared" si="21"/>
        <v>0</v>
      </c>
      <c r="AE43" s="2">
        <f t="shared" si="22"/>
        <v>0</v>
      </c>
      <c r="AF43" s="1844">
        <v>42</v>
      </c>
      <c r="AG43" s="1724">
        <f t="shared" si="23"/>
        <v>0</v>
      </c>
      <c r="AH43" s="1724">
        <f t="shared" si="24"/>
        <v>0</v>
      </c>
      <c r="AI43" s="1724">
        <f t="shared" si="25"/>
        <v>0</v>
      </c>
      <c r="AJ43" s="1724">
        <f t="shared" si="26"/>
        <v>0</v>
      </c>
      <c r="AK43" s="1724">
        <f t="shared" si="27"/>
        <v>0</v>
      </c>
      <c r="AL43" s="1724">
        <f t="shared" si="28"/>
        <v>0</v>
      </c>
      <c r="AM43" s="1724">
        <f t="shared" si="29"/>
        <v>0</v>
      </c>
      <c r="AN43" s="1724">
        <f t="shared" si="30"/>
        <v>0</v>
      </c>
      <c r="AO43" s="1724">
        <f t="shared" si="31"/>
        <v>0</v>
      </c>
      <c r="AP43" s="1724">
        <f t="shared" si="32"/>
        <v>0</v>
      </c>
      <c r="AR43" s="1822">
        <v>42</v>
      </c>
      <c r="AS43" s="1199"/>
      <c r="AT43" s="1">
        <v>0</v>
      </c>
      <c r="AU43" s="1">
        <v>0</v>
      </c>
      <c r="AV43" s="20"/>
      <c r="AW43" s="1843">
        <f t="shared" si="33"/>
        <v>0</v>
      </c>
      <c r="AX43" s="951"/>
      <c r="AY43" s="806"/>
      <c r="AZ43" s="806"/>
      <c r="BA43" s="806"/>
      <c r="BB43" s="806"/>
      <c r="BC43" s="806"/>
      <c r="BD43" s="806"/>
      <c r="BE43" s="806"/>
      <c r="BF43" s="806"/>
      <c r="BG43" s="806"/>
      <c r="BH43" s="806"/>
      <c r="BI43" s="806"/>
      <c r="BJ43" s="2"/>
      <c r="BK43" s="114">
        <v>42</v>
      </c>
      <c r="BL43" s="2">
        <f t="shared" si="128"/>
        <v>0</v>
      </c>
      <c r="BM43" s="2">
        <f t="shared" si="129"/>
        <v>0</v>
      </c>
      <c r="BN43" s="2">
        <f t="shared" si="130"/>
        <v>0</v>
      </c>
      <c r="BO43" s="2">
        <f t="shared" si="131"/>
        <v>0</v>
      </c>
      <c r="BP43" s="2">
        <f t="shared" si="132"/>
        <v>0</v>
      </c>
      <c r="BQ43" s="2">
        <f t="shared" si="133"/>
        <v>0</v>
      </c>
      <c r="BR43" s="2">
        <f t="shared" si="134"/>
        <v>0</v>
      </c>
      <c r="BS43" s="2">
        <f t="shared" si="135"/>
        <v>0</v>
      </c>
      <c r="BT43" s="2">
        <f t="shared" si="136"/>
        <v>0</v>
      </c>
      <c r="BU43" s="2">
        <f t="shared" si="137"/>
        <v>0</v>
      </c>
      <c r="BV43" s="2">
        <f t="shared" si="138"/>
        <v>0</v>
      </c>
      <c r="BW43" s="1844">
        <v>42</v>
      </c>
      <c r="BX43" s="1724">
        <f t="shared" si="139"/>
        <v>0</v>
      </c>
      <c r="BY43" s="1724">
        <f t="shared" si="3"/>
        <v>0</v>
      </c>
      <c r="BZ43" s="1724">
        <f t="shared" si="4"/>
        <v>0</v>
      </c>
      <c r="CA43" s="1724">
        <f t="shared" si="5"/>
        <v>0</v>
      </c>
      <c r="CB43" s="1724">
        <f t="shared" si="6"/>
        <v>0</v>
      </c>
      <c r="CC43" s="1724">
        <f t="shared" si="7"/>
        <v>0</v>
      </c>
      <c r="CD43" s="1724">
        <f t="shared" si="8"/>
        <v>0</v>
      </c>
      <c r="CE43" s="1724">
        <f t="shared" si="9"/>
        <v>0</v>
      </c>
      <c r="CF43" s="1724">
        <f t="shared" si="10"/>
        <v>0</v>
      </c>
      <c r="CG43" s="1724">
        <f t="shared" si="11"/>
        <v>0</v>
      </c>
      <c r="CH43" s="75"/>
      <c r="CI43" s="1" t="s">
        <v>607</v>
      </c>
      <c r="CJ43" s="1">
        <v>12.959559712028849</v>
      </c>
      <c r="CM43" s="638"/>
      <c r="CN43" s="1847">
        <v>40</v>
      </c>
      <c r="CO43" s="1851"/>
      <c r="CP43" s="638">
        <v>0</v>
      </c>
      <c r="CQ43" s="2">
        <v>108579.25597612809</v>
      </c>
      <c r="CR43" s="646">
        <f t="shared" si="63"/>
        <v>108579.25597612809</v>
      </c>
      <c r="CS43" s="1141"/>
      <c r="CT43" s="952"/>
      <c r="CU43" s="808"/>
      <c r="CV43" s="808"/>
      <c r="CW43" s="808"/>
      <c r="CX43" s="808"/>
      <c r="CY43" s="808"/>
      <c r="CZ43" s="808"/>
      <c r="DA43" s="1850"/>
      <c r="DB43" s="808">
        <v>100</v>
      </c>
      <c r="DC43" s="808"/>
      <c r="DD43" s="808"/>
      <c r="DE43" s="808"/>
      <c r="DF43" s="451"/>
      <c r="DG43" s="647">
        <v>40</v>
      </c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451"/>
      <c r="DS43" s="1847">
        <v>40</v>
      </c>
      <c r="DT43" s="192">
        <f t="shared" si="190"/>
        <v>0</v>
      </c>
      <c r="DU43" s="192">
        <f t="shared" si="191"/>
        <v>0</v>
      </c>
      <c r="DV43" s="192">
        <f t="shared" si="192"/>
        <v>0</v>
      </c>
      <c r="DW43" s="192">
        <f t="shared" si="193"/>
        <v>0</v>
      </c>
      <c r="DX43" s="192">
        <f t="shared" si="194"/>
        <v>0</v>
      </c>
      <c r="DY43" s="192">
        <f t="shared" si="195"/>
        <v>0</v>
      </c>
      <c r="DZ43" s="192">
        <f t="shared" si="196"/>
        <v>0</v>
      </c>
      <c r="EA43" s="192">
        <f t="shared" si="197"/>
        <v>0</v>
      </c>
      <c r="EB43" s="192">
        <f t="shared" si="198"/>
        <v>0</v>
      </c>
      <c r="EC43" s="192">
        <f t="shared" si="199"/>
        <v>0</v>
      </c>
      <c r="ED43" s="192">
        <f t="shared" si="200"/>
        <v>0</v>
      </c>
      <c r="EE43" s="667">
        <f t="shared" si="46"/>
        <v>0</v>
      </c>
      <c r="EH43" s="979">
        <v>41</v>
      </c>
      <c r="EI43" s="974"/>
      <c r="EJ43" s="974"/>
      <c r="EK43" s="974"/>
      <c r="EL43" s="974"/>
      <c r="EM43" s="974"/>
      <c r="EN43" s="974"/>
      <c r="EO43" s="974"/>
      <c r="EP43" s="974"/>
      <c r="EQ43" s="974"/>
      <c r="ER43" s="974">
        <v>66.666666666666671</v>
      </c>
      <c r="ES43" s="974">
        <v>33.333333333333336</v>
      </c>
      <c r="EX43" s="990">
        <v>100</v>
      </c>
      <c r="EY43" s="989">
        <v>7439.4442184815352</v>
      </c>
      <c r="EZ43" s="989">
        <f>(EI43*$EY43)/100</f>
        <v>0</v>
      </c>
      <c r="FA43" s="989">
        <f t="shared" ref="FA43:FJ43" si="216">(EJ43*$EY43)/100</f>
        <v>0</v>
      </c>
      <c r="FB43" s="989">
        <f t="shared" si="216"/>
        <v>0</v>
      </c>
      <c r="FC43" s="989">
        <f t="shared" si="216"/>
        <v>0</v>
      </c>
      <c r="FD43" s="989">
        <f t="shared" si="216"/>
        <v>0</v>
      </c>
      <c r="FE43" s="989">
        <f t="shared" si="216"/>
        <v>0</v>
      </c>
      <c r="FF43" s="989">
        <f t="shared" si="216"/>
        <v>0</v>
      </c>
      <c r="FG43" s="989">
        <f t="shared" si="216"/>
        <v>0</v>
      </c>
      <c r="FH43" s="989">
        <f t="shared" si="216"/>
        <v>0</v>
      </c>
      <c r="FI43" s="989">
        <f t="shared" si="216"/>
        <v>4959.6294789876902</v>
      </c>
      <c r="FJ43" s="989">
        <f t="shared" si="216"/>
        <v>2479.8147394938451</v>
      </c>
      <c r="FM43" s="1002">
        <v>41</v>
      </c>
      <c r="FN43" s="1003"/>
      <c r="FO43" s="1006"/>
      <c r="FP43" s="1006"/>
      <c r="FQ43" s="1006"/>
      <c r="FR43" s="1006"/>
      <c r="FS43" s="1006"/>
      <c r="FT43" s="1006"/>
      <c r="FU43" s="1006"/>
      <c r="FV43" s="1006"/>
      <c r="FW43" s="1006">
        <v>15.789473684210526</v>
      </c>
      <c r="FX43" s="1006">
        <v>63.157894736842103</v>
      </c>
      <c r="FY43" s="1006">
        <v>21.05263157894737</v>
      </c>
      <c r="FZ43" s="1006"/>
      <c r="GA43" s="1003"/>
      <c r="GB43" s="1004">
        <v>100</v>
      </c>
      <c r="GC43" s="1002">
        <v>41</v>
      </c>
      <c r="GD43" s="2">
        <v>497012.69389827596</v>
      </c>
      <c r="GE43" s="989">
        <f t="shared" si="152"/>
        <v>0</v>
      </c>
      <c r="GF43" s="989">
        <f t="shared" si="153"/>
        <v>0</v>
      </c>
      <c r="GG43" s="989">
        <f t="shared" si="154"/>
        <v>0</v>
      </c>
      <c r="GH43" s="989">
        <f t="shared" si="155"/>
        <v>0</v>
      </c>
      <c r="GI43" s="989">
        <f t="shared" si="156"/>
        <v>0</v>
      </c>
      <c r="GJ43" s="989">
        <f t="shared" si="157"/>
        <v>0</v>
      </c>
      <c r="GK43" s="989">
        <f t="shared" si="158"/>
        <v>0</v>
      </c>
      <c r="GL43" s="989">
        <f t="shared" si="159"/>
        <v>0</v>
      </c>
      <c r="GM43" s="989">
        <f t="shared" si="160"/>
        <v>0</v>
      </c>
      <c r="GN43" s="989">
        <f t="shared" si="161"/>
        <v>78475.688510254098</v>
      </c>
      <c r="GO43" s="989">
        <f t="shared" si="162"/>
        <v>313902.75404101639</v>
      </c>
      <c r="GP43" s="989">
        <f t="shared" si="163"/>
        <v>104634.25134700548</v>
      </c>
      <c r="GQ43" s="989">
        <f t="shared" si="164"/>
        <v>0</v>
      </c>
      <c r="GR43" s="989">
        <f t="shared" si="165"/>
        <v>0</v>
      </c>
      <c r="GX43" s="1036">
        <v>41</v>
      </c>
      <c r="GY43" s="1">
        <v>151249.56203157813</v>
      </c>
      <c r="GZ43" s="1853"/>
      <c r="HA43" s="1039"/>
      <c r="HB43" s="1039"/>
      <c r="HC43" s="1039"/>
      <c r="HD43" s="1039"/>
      <c r="HE43" s="1039"/>
      <c r="HF43" s="1039"/>
      <c r="HG43" s="1039"/>
      <c r="HH43" s="1039"/>
      <c r="HI43" s="1039">
        <v>10</v>
      </c>
      <c r="HJ43" s="1039">
        <v>40</v>
      </c>
      <c r="HK43" s="1039">
        <v>50</v>
      </c>
      <c r="HL43" s="1039"/>
      <c r="HM43" s="1040">
        <f t="shared" si="189"/>
        <v>100</v>
      </c>
      <c r="HN43" s="989">
        <f t="shared" si="67"/>
        <v>0</v>
      </c>
      <c r="HO43" s="989">
        <f t="shared" si="68"/>
        <v>0</v>
      </c>
      <c r="HP43" s="989">
        <f t="shared" si="69"/>
        <v>0</v>
      </c>
      <c r="HQ43" s="989">
        <f t="shared" si="70"/>
        <v>0</v>
      </c>
      <c r="HR43" s="989">
        <f t="shared" si="71"/>
        <v>0</v>
      </c>
      <c r="HS43" s="989">
        <f t="shared" si="72"/>
        <v>0</v>
      </c>
      <c r="HT43" s="989">
        <f t="shared" si="73"/>
        <v>0</v>
      </c>
      <c r="HU43" s="989">
        <f t="shared" si="74"/>
        <v>0</v>
      </c>
      <c r="HV43" s="989">
        <f t="shared" si="75"/>
        <v>0</v>
      </c>
      <c r="HW43" s="989">
        <f t="shared" si="76"/>
        <v>15124.956203157813</v>
      </c>
      <c r="HX43" s="989">
        <f t="shared" si="77"/>
        <v>60499.824812631254</v>
      </c>
      <c r="HY43" s="989">
        <f t="shared" si="78"/>
        <v>75624.781015789064</v>
      </c>
      <c r="HZ43" s="989">
        <f t="shared" si="79"/>
        <v>0</v>
      </c>
      <c r="IE43" s="2">
        <v>247997.35089719537</v>
      </c>
      <c r="IF43" s="1002">
        <v>36</v>
      </c>
      <c r="IG43" s="553"/>
      <c r="IH43" s="553"/>
      <c r="II43" s="553"/>
      <c r="IJ43" s="553"/>
      <c r="IK43" s="553"/>
      <c r="IL43" s="553"/>
      <c r="IM43" s="553"/>
      <c r="IN43" s="553">
        <v>53.846153846153847</v>
      </c>
      <c r="IO43" s="553">
        <v>46.153846153846153</v>
      </c>
      <c r="IP43" s="553"/>
      <c r="IQ43" s="553"/>
      <c r="IS43" s="1270">
        <v>36</v>
      </c>
      <c r="IT43" s="989">
        <f t="shared" si="214"/>
        <v>0</v>
      </c>
      <c r="IU43" s="989">
        <f t="shared" si="202"/>
        <v>0</v>
      </c>
      <c r="IV43" s="989">
        <f t="shared" si="203"/>
        <v>0</v>
      </c>
      <c r="IW43" s="989">
        <f t="shared" si="204"/>
        <v>0</v>
      </c>
      <c r="IX43" s="989">
        <f t="shared" si="205"/>
        <v>0</v>
      </c>
      <c r="IY43" s="989">
        <f t="shared" si="206"/>
        <v>0</v>
      </c>
      <c r="IZ43" s="989">
        <f t="shared" si="207"/>
        <v>0</v>
      </c>
      <c r="JA43" s="989">
        <f t="shared" si="208"/>
        <v>133537.03509848981</v>
      </c>
      <c r="JB43" s="989">
        <f t="shared" si="209"/>
        <v>114460.31579870556</v>
      </c>
      <c r="JC43" s="989">
        <f t="shared" si="210"/>
        <v>0</v>
      </c>
      <c r="JD43" s="989">
        <f t="shared" si="211"/>
        <v>0</v>
      </c>
      <c r="JE43" s="989">
        <f t="shared" si="215"/>
        <v>0</v>
      </c>
      <c r="JG43" s="1135">
        <v>293859.10399155284</v>
      </c>
      <c r="JH43" s="1002">
        <v>36</v>
      </c>
      <c r="JI43" s="666"/>
      <c r="JJ43" s="1272"/>
      <c r="JK43" s="1272"/>
      <c r="JL43" s="1272"/>
      <c r="JM43" s="1272"/>
      <c r="JN43" s="1272"/>
      <c r="JO43" s="1272"/>
      <c r="JP43" s="1272">
        <v>100</v>
      </c>
      <c r="JQ43" s="1272"/>
      <c r="JR43" s="1272"/>
      <c r="JS43" s="1272"/>
      <c r="JT43" s="1273"/>
      <c r="JU43" s="1273"/>
      <c r="JW43" s="989">
        <f t="shared" si="103"/>
        <v>0</v>
      </c>
      <c r="JX43" s="989">
        <f t="shared" si="104"/>
        <v>0</v>
      </c>
      <c r="JY43" s="989">
        <f t="shared" si="92"/>
        <v>0</v>
      </c>
      <c r="JZ43" s="989">
        <f t="shared" si="93"/>
        <v>0</v>
      </c>
      <c r="KA43" s="989">
        <f t="shared" si="94"/>
        <v>0</v>
      </c>
      <c r="KB43" s="989">
        <f t="shared" si="95"/>
        <v>0</v>
      </c>
      <c r="KC43" s="989">
        <f t="shared" si="96"/>
        <v>293859.10399155284</v>
      </c>
      <c r="KD43" s="989">
        <f t="shared" si="97"/>
        <v>0</v>
      </c>
      <c r="KE43" s="989">
        <f t="shared" si="98"/>
        <v>0</v>
      </c>
      <c r="KF43" s="989">
        <f t="shared" si="99"/>
        <v>0</v>
      </c>
      <c r="KG43" s="989">
        <f t="shared" si="100"/>
        <v>0</v>
      </c>
      <c r="KJ43" s="192">
        <f t="shared" si="178"/>
        <v>0</v>
      </c>
      <c r="KK43" s="192">
        <f t="shared" si="179"/>
        <v>0</v>
      </c>
      <c r="KL43" s="192">
        <f t="shared" si="180"/>
        <v>0</v>
      </c>
      <c r="KM43" s="192">
        <f t="shared" si="181"/>
        <v>0</v>
      </c>
      <c r="KN43" s="192">
        <f t="shared" si="182"/>
        <v>0</v>
      </c>
      <c r="KO43" s="192">
        <f t="shared" si="183"/>
        <v>0</v>
      </c>
      <c r="KP43" s="192">
        <f t="shared" si="184"/>
        <v>293859.10399155284</v>
      </c>
      <c r="KQ43" s="192">
        <f t="shared" si="185"/>
        <v>133537.03509848981</v>
      </c>
      <c r="KR43" s="192">
        <f t="shared" si="186"/>
        <v>114460.31579870556</v>
      </c>
      <c r="KS43" s="192">
        <f t="shared" si="187"/>
        <v>0</v>
      </c>
      <c r="KT43" s="192">
        <f t="shared" si="188"/>
        <v>0</v>
      </c>
      <c r="KV43" s="1036">
        <v>41</v>
      </c>
      <c r="KW43" s="2">
        <v>491030.51947127504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100</v>
      </c>
      <c r="LH43" s="1">
        <v>0</v>
      </c>
      <c r="LJ43" s="989">
        <f t="shared" si="141"/>
        <v>0</v>
      </c>
      <c r="LK43" s="989">
        <f t="shared" si="142"/>
        <v>0</v>
      </c>
      <c r="LL43" s="989">
        <f t="shared" si="143"/>
        <v>0</v>
      </c>
      <c r="LM43" s="989">
        <f t="shared" si="144"/>
        <v>0</v>
      </c>
      <c r="LN43" s="989">
        <f t="shared" si="145"/>
        <v>0</v>
      </c>
      <c r="LO43" s="989">
        <f t="shared" si="146"/>
        <v>0</v>
      </c>
      <c r="LP43" s="989">
        <f t="shared" si="147"/>
        <v>0</v>
      </c>
      <c r="LQ43" s="989">
        <f t="shared" si="148"/>
        <v>0</v>
      </c>
      <c r="LR43" s="989">
        <f t="shared" si="149"/>
        <v>0</v>
      </c>
      <c r="LS43" s="989">
        <f t="shared" si="150"/>
        <v>491030.51947127504</v>
      </c>
      <c r="LT43" s="989">
        <f t="shared" si="151"/>
        <v>0</v>
      </c>
      <c r="LV43" s="2">
        <v>130765.18733963933</v>
      </c>
      <c r="LW43" s="1446">
        <v>0</v>
      </c>
      <c r="LX43" s="1446">
        <v>0</v>
      </c>
      <c r="LY43" s="1446">
        <v>0</v>
      </c>
      <c r="LZ43" s="1446">
        <v>0</v>
      </c>
      <c r="MA43" s="1446">
        <v>0</v>
      </c>
      <c r="MB43" s="1446">
        <v>0</v>
      </c>
      <c r="MC43" s="1446">
        <v>0</v>
      </c>
      <c r="MD43" s="1446">
        <v>0</v>
      </c>
      <c r="ME43" s="1446">
        <v>0</v>
      </c>
      <c r="MF43" s="1446">
        <v>100</v>
      </c>
      <c r="MH43" s="1">
        <f t="shared" si="166"/>
        <v>100</v>
      </c>
      <c r="MI43" s="989">
        <f t="shared" si="167"/>
        <v>0</v>
      </c>
      <c r="MJ43" s="989">
        <f t="shared" si="168"/>
        <v>0</v>
      </c>
      <c r="MK43" s="989">
        <f t="shared" si="169"/>
        <v>0</v>
      </c>
      <c r="ML43" s="989">
        <f t="shared" si="170"/>
        <v>0</v>
      </c>
      <c r="MM43" s="989">
        <f t="shared" si="171"/>
        <v>0</v>
      </c>
      <c r="MN43" s="989">
        <f t="shared" si="172"/>
        <v>0</v>
      </c>
      <c r="MO43" s="989">
        <f t="shared" si="173"/>
        <v>0</v>
      </c>
      <c r="MP43" s="989">
        <f t="shared" si="174"/>
        <v>0</v>
      </c>
      <c r="MQ43" s="989">
        <f t="shared" si="175"/>
        <v>0</v>
      </c>
      <c r="MR43" s="989">
        <f t="shared" si="176"/>
        <v>130765.18733963933</v>
      </c>
      <c r="MS43" s="989">
        <f t="shared" si="177"/>
        <v>0</v>
      </c>
      <c r="MU43" s="1036">
        <v>41</v>
      </c>
      <c r="MV43" s="57">
        <v>36751.389871603096</v>
      </c>
      <c r="MW43" s="1964"/>
      <c r="MX43" s="1964"/>
      <c r="MY43" s="1964"/>
      <c r="MZ43" s="1964"/>
      <c r="NA43" s="1964"/>
      <c r="NB43" s="1964"/>
      <c r="NC43" s="1964"/>
      <c r="ND43" s="1964"/>
      <c r="NE43" s="1964">
        <v>25</v>
      </c>
      <c r="NF43" s="1964">
        <v>50</v>
      </c>
      <c r="NG43" s="1964">
        <v>25</v>
      </c>
      <c r="NJ43" s="989">
        <f t="shared" si="116"/>
        <v>0</v>
      </c>
      <c r="NK43" s="989">
        <f t="shared" si="117"/>
        <v>0</v>
      </c>
      <c r="NL43" s="989">
        <f t="shared" si="118"/>
        <v>0</v>
      </c>
      <c r="NM43" s="989">
        <f t="shared" si="119"/>
        <v>0</v>
      </c>
      <c r="NN43" s="989">
        <f t="shared" si="120"/>
        <v>0</v>
      </c>
      <c r="NO43" s="989">
        <f t="shared" si="121"/>
        <v>0</v>
      </c>
      <c r="NP43" s="989">
        <f t="shared" si="122"/>
        <v>0</v>
      </c>
      <c r="NQ43" s="989">
        <f t="shared" si="123"/>
        <v>0</v>
      </c>
      <c r="NR43" s="989">
        <f t="shared" si="124"/>
        <v>9187.8474679007741</v>
      </c>
      <c r="NS43" s="989">
        <f t="shared" si="125"/>
        <v>18375.694935801548</v>
      </c>
      <c r="NT43" s="989">
        <f t="shared" si="126"/>
        <v>9187.8474679007741</v>
      </c>
    </row>
    <row r="44" spans="1:384" ht="15" thickTop="1" thickBot="1">
      <c r="A44" s="1822">
        <v>43</v>
      </c>
      <c r="B44" s="1199"/>
      <c r="C44" s="1134">
        <v>0</v>
      </c>
      <c r="D44" s="1199">
        <v>0</v>
      </c>
      <c r="E44" s="20"/>
      <c r="F44" s="1843">
        <f t="shared" si="12"/>
        <v>0</v>
      </c>
      <c r="G44" s="951"/>
      <c r="H44" s="806"/>
      <c r="I44" s="806"/>
      <c r="J44" s="806"/>
      <c r="K44" s="806"/>
      <c r="L44" s="806"/>
      <c r="M44" s="806"/>
      <c r="N44" s="806"/>
      <c r="O44" s="806"/>
      <c r="P44" s="806"/>
      <c r="Q44" s="806"/>
      <c r="R44" s="806"/>
      <c r="S44" s="2"/>
      <c r="T44" s="114">
        <v>43</v>
      </c>
      <c r="U44" s="2">
        <f t="shared" si="127"/>
        <v>0</v>
      </c>
      <c r="V44" s="2">
        <f t="shared" si="13"/>
        <v>0</v>
      </c>
      <c r="W44" s="2">
        <f t="shared" si="14"/>
        <v>0</v>
      </c>
      <c r="X44" s="2">
        <f t="shared" si="15"/>
        <v>0</v>
      </c>
      <c r="Y44" s="2">
        <f t="shared" si="16"/>
        <v>0</v>
      </c>
      <c r="Z44" s="2">
        <f t="shared" si="17"/>
        <v>0</v>
      </c>
      <c r="AA44" s="2">
        <f t="shared" si="18"/>
        <v>0</v>
      </c>
      <c r="AB44" s="2">
        <f t="shared" si="19"/>
        <v>0</v>
      </c>
      <c r="AC44" s="2">
        <f t="shared" si="20"/>
        <v>0</v>
      </c>
      <c r="AD44" s="2">
        <f t="shared" si="21"/>
        <v>0</v>
      </c>
      <c r="AE44" s="2">
        <f t="shared" si="22"/>
        <v>0</v>
      </c>
      <c r="AF44" s="1844">
        <v>43</v>
      </c>
      <c r="AG44" s="1724">
        <f t="shared" si="23"/>
        <v>0</v>
      </c>
      <c r="AH44" s="1724">
        <f t="shared" si="24"/>
        <v>0</v>
      </c>
      <c r="AI44" s="1724">
        <f t="shared" si="25"/>
        <v>0</v>
      </c>
      <c r="AJ44" s="1724">
        <f t="shared" si="26"/>
        <v>0</v>
      </c>
      <c r="AK44" s="1724">
        <f t="shared" si="27"/>
        <v>0</v>
      </c>
      <c r="AL44" s="1724">
        <f t="shared" si="28"/>
        <v>0</v>
      </c>
      <c r="AM44" s="1724">
        <f t="shared" si="29"/>
        <v>0</v>
      </c>
      <c r="AN44" s="1724">
        <f t="shared" si="30"/>
        <v>0</v>
      </c>
      <c r="AO44" s="1724">
        <f t="shared" si="31"/>
        <v>0</v>
      </c>
      <c r="AP44" s="1724">
        <f t="shared" si="32"/>
        <v>0</v>
      </c>
      <c r="AR44" s="1822">
        <v>43</v>
      </c>
      <c r="AS44" s="1199"/>
      <c r="AT44" s="1">
        <v>0</v>
      </c>
      <c r="AU44" s="1">
        <v>0</v>
      </c>
      <c r="AV44" s="20"/>
      <c r="AW44" s="1843">
        <f t="shared" si="33"/>
        <v>0</v>
      </c>
      <c r="AX44" s="951"/>
      <c r="AY44" s="806"/>
      <c r="AZ44" s="806"/>
      <c r="BA44" s="806"/>
      <c r="BB44" s="806"/>
      <c r="BC44" s="806"/>
      <c r="BD44" s="806"/>
      <c r="BE44" s="806"/>
      <c r="BF44" s="806"/>
      <c r="BG44" s="806"/>
      <c r="BH44" s="806"/>
      <c r="BI44" s="806"/>
      <c r="BJ44" s="2"/>
      <c r="BK44" s="114">
        <v>43</v>
      </c>
      <c r="BL44" s="2">
        <f t="shared" si="128"/>
        <v>0</v>
      </c>
      <c r="BM44" s="2">
        <f t="shared" si="129"/>
        <v>0</v>
      </c>
      <c r="BN44" s="2">
        <f t="shared" si="130"/>
        <v>0</v>
      </c>
      <c r="BO44" s="2">
        <f t="shared" si="131"/>
        <v>0</v>
      </c>
      <c r="BP44" s="2">
        <f t="shared" si="132"/>
        <v>0</v>
      </c>
      <c r="BQ44" s="2">
        <f t="shared" si="133"/>
        <v>0</v>
      </c>
      <c r="BR44" s="2">
        <f t="shared" si="134"/>
        <v>0</v>
      </c>
      <c r="BS44" s="2">
        <f t="shared" si="135"/>
        <v>0</v>
      </c>
      <c r="BT44" s="2">
        <f t="shared" si="136"/>
        <v>0</v>
      </c>
      <c r="BU44" s="2">
        <f t="shared" si="137"/>
        <v>0</v>
      </c>
      <c r="BV44" s="2">
        <f t="shared" si="138"/>
        <v>0</v>
      </c>
      <c r="BW44" s="1844">
        <v>43</v>
      </c>
      <c r="BX44" s="1724">
        <f t="shared" si="139"/>
        <v>0</v>
      </c>
      <c r="BY44" s="1724">
        <f t="shared" si="3"/>
        <v>0</v>
      </c>
      <c r="BZ44" s="1724">
        <f t="shared" si="4"/>
        <v>0</v>
      </c>
      <c r="CA44" s="1724">
        <f t="shared" si="5"/>
        <v>0</v>
      </c>
      <c r="CB44" s="1724">
        <f t="shared" si="6"/>
        <v>0</v>
      </c>
      <c r="CC44" s="1724">
        <f t="shared" si="7"/>
        <v>0</v>
      </c>
      <c r="CD44" s="1724">
        <f t="shared" si="8"/>
        <v>0</v>
      </c>
      <c r="CE44" s="1724">
        <f t="shared" si="9"/>
        <v>0</v>
      </c>
      <c r="CF44" s="1724">
        <f t="shared" si="10"/>
        <v>0</v>
      </c>
      <c r="CG44" s="1724">
        <f t="shared" si="11"/>
        <v>0</v>
      </c>
      <c r="CH44" s="75"/>
      <c r="CI44" s="1" t="s">
        <v>608</v>
      </c>
      <c r="CJ44" s="1">
        <v>14.67287693637309</v>
      </c>
      <c r="CM44" s="638"/>
      <c r="CN44" s="1847">
        <v>41</v>
      </c>
      <c r="CO44" s="1851"/>
      <c r="CP44" s="638">
        <v>0</v>
      </c>
      <c r="CQ44" s="2">
        <v>8631.2908882610427</v>
      </c>
      <c r="CR44" s="646">
        <f t="shared" si="63"/>
        <v>8631.2908882610427</v>
      </c>
      <c r="CS44" s="1141"/>
      <c r="CT44" s="952"/>
      <c r="CU44" s="808"/>
      <c r="CV44" s="808"/>
      <c r="CW44" s="808"/>
      <c r="CX44" s="808"/>
      <c r="CY44" s="808"/>
      <c r="CZ44" s="808"/>
      <c r="DA44" s="1850"/>
      <c r="DB44" s="808">
        <v>100</v>
      </c>
      <c r="DC44" s="808"/>
      <c r="DD44" s="808"/>
      <c r="DE44" s="808"/>
      <c r="DF44" s="451"/>
      <c r="DG44" s="647">
        <v>41</v>
      </c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451"/>
      <c r="DS44" s="1847">
        <v>41</v>
      </c>
      <c r="DT44" s="192">
        <f t="shared" si="190"/>
        <v>0</v>
      </c>
      <c r="DU44" s="192">
        <f t="shared" si="191"/>
        <v>0</v>
      </c>
      <c r="DV44" s="192">
        <f t="shared" si="192"/>
        <v>0</v>
      </c>
      <c r="DW44" s="192">
        <f t="shared" si="193"/>
        <v>0</v>
      </c>
      <c r="DX44" s="192">
        <f t="shared" si="194"/>
        <v>0</v>
      </c>
      <c r="DY44" s="192">
        <f t="shared" si="195"/>
        <v>0</v>
      </c>
      <c r="DZ44" s="192">
        <f t="shared" si="196"/>
        <v>0</v>
      </c>
      <c r="EA44" s="192">
        <f t="shared" si="197"/>
        <v>0</v>
      </c>
      <c r="EB44" s="192">
        <f t="shared" si="198"/>
        <v>0</v>
      </c>
      <c r="EC44" s="192">
        <f t="shared" si="199"/>
        <v>0</v>
      </c>
      <c r="ED44" s="192">
        <f t="shared" si="200"/>
        <v>0</v>
      </c>
      <c r="EE44" s="667">
        <f t="shared" si="46"/>
        <v>0</v>
      </c>
      <c r="EH44" s="979">
        <v>42</v>
      </c>
      <c r="ES44" s="1">
        <v>100</v>
      </c>
      <c r="EX44" s="991">
        <v>100</v>
      </c>
      <c r="EY44" s="989">
        <v>5397.477988368626</v>
      </c>
      <c r="EZ44" s="989">
        <f>(EI44*$EY44)/100</f>
        <v>0</v>
      </c>
      <c r="FA44" s="989">
        <f t="shared" ref="FA44:FJ47" si="217">(EJ44*$EY44)/100</f>
        <v>0</v>
      </c>
      <c r="FB44" s="989">
        <f t="shared" si="217"/>
        <v>0</v>
      </c>
      <c r="FC44" s="989">
        <f t="shared" si="217"/>
        <v>0</v>
      </c>
      <c r="FD44" s="989">
        <f t="shared" si="217"/>
        <v>0</v>
      </c>
      <c r="FE44" s="989">
        <f t="shared" si="217"/>
        <v>0</v>
      </c>
      <c r="FF44" s="989">
        <f t="shared" si="217"/>
        <v>0</v>
      </c>
      <c r="FG44" s="989">
        <f t="shared" si="217"/>
        <v>0</v>
      </c>
      <c r="FH44" s="989">
        <f t="shared" si="217"/>
        <v>0</v>
      </c>
      <c r="FI44" s="989">
        <f t="shared" si="217"/>
        <v>0</v>
      </c>
      <c r="FJ44" s="989">
        <f t="shared" si="217"/>
        <v>5397.4779883686251</v>
      </c>
      <c r="FM44" s="1002">
        <v>42</v>
      </c>
      <c r="FN44" s="1003"/>
      <c r="FO44" s="1006"/>
      <c r="FP44" s="1006"/>
      <c r="FQ44" s="1006"/>
      <c r="FR44" s="1006"/>
      <c r="FS44" s="1006"/>
      <c r="FT44" s="1006"/>
      <c r="FU44" s="1006"/>
      <c r="FV44" s="1006"/>
      <c r="FW44" s="1006"/>
      <c r="FX44" s="1006">
        <v>40</v>
      </c>
      <c r="FY44" s="1006">
        <v>53.333333333333336</v>
      </c>
      <c r="FZ44" s="1006">
        <v>6.666666666666667</v>
      </c>
      <c r="GA44" s="1003"/>
      <c r="GB44" s="1004">
        <v>100.00000000000001</v>
      </c>
      <c r="GC44" s="1002">
        <v>42</v>
      </c>
      <c r="GD44" s="2">
        <v>126158.10864447235</v>
      </c>
      <c r="GE44" s="989">
        <f t="shared" si="152"/>
        <v>0</v>
      </c>
      <c r="GF44" s="989">
        <f t="shared" si="153"/>
        <v>0</v>
      </c>
      <c r="GG44" s="989">
        <f t="shared" si="154"/>
        <v>0</v>
      </c>
      <c r="GH44" s="989">
        <f t="shared" si="155"/>
        <v>0</v>
      </c>
      <c r="GI44" s="989">
        <f t="shared" si="156"/>
        <v>0</v>
      </c>
      <c r="GJ44" s="989">
        <f t="shared" si="157"/>
        <v>0</v>
      </c>
      <c r="GK44" s="989">
        <f t="shared" si="158"/>
        <v>0</v>
      </c>
      <c r="GL44" s="989">
        <f t="shared" si="159"/>
        <v>0</v>
      </c>
      <c r="GM44" s="989">
        <f t="shared" si="160"/>
        <v>0</v>
      </c>
      <c r="GN44" s="989">
        <f t="shared" si="161"/>
        <v>0</v>
      </c>
      <c r="GO44" s="989">
        <f t="shared" si="162"/>
        <v>50463.243457788936</v>
      </c>
      <c r="GP44" s="989">
        <f t="shared" si="163"/>
        <v>67284.324610385258</v>
      </c>
      <c r="GQ44" s="989">
        <f t="shared" si="164"/>
        <v>8410.5405762981572</v>
      </c>
      <c r="GR44" s="989">
        <f t="shared" si="165"/>
        <v>0</v>
      </c>
      <c r="GX44" s="1036">
        <v>42</v>
      </c>
      <c r="GY44" s="1">
        <v>117932.37667488557</v>
      </c>
      <c r="GZ44" s="1853"/>
      <c r="HA44" s="1039"/>
      <c r="HB44" s="1039"/>
      <c r="HC44" s="1039"/>
      <c r="HD44" s="1039"/>
      <c r="HE44" s="1039"/>
      <c r="HF44" s="1039"/>
      <c r="HG44" s="1039"/>
      <c r="HH44" s="1039"/>
      <c r="HI44" s="1039"/>
      <c r="HJ44" s="1039">
        <v>25</v>
      </c>
      <c r="HK44" s="1039">
        <v>75</v>
      </c>
      <c r="HL44" s="1039"/>
      <c r="HM44" s="1040">
        <f t="shared" si="189"/>
        <v>100</v>
      </c>
      <c r="HN44" s="989">
        <f t="shared" si="67"/>
        <v>0</v>
      </c>
      <c r="HO44" s="989">
        <f t="shared" si="68"/>
        <v>0</v>
      </c>
      <c r="HP44" s="989">
        <f t="shared" si="69"/>
        <v>0</v>
      </c>
      <c r="HQ44" s="989">
        <f t="shared" si="70"/>
        <v>0</v>
      </c>
      <c r="HR44" s="989">
        <f t="shared" si="71"/>
        <v>0</v>
      </c>
      <c r="HS44" s="989">
        <f t="shared" si="72"/>
        <v>0</v>
      </c>
      <c r="HT44" s="989">
        <f t="shared" si="73"/>
        <v>0</v>
      </c>
      <c r="HU44" s="989">
        <f t="shared" si="74"/>
        <v>0</v>
      </c>
      <c r="HV44" s="989">
        <f t="shared" si="75"/>
        <v>0</v>
      </c>
      <c r="HW44" s="989">
        <f t="shared" si="76"/>
        <v>0</v>
      </c>
      <c r="HX44" s="989">
        <f t="shared" si="77"/>
        <v>29483.094168721393</v>
      </c>
      <c r="HY44" s="989">
        <f t="shared" si="78"/>
        <v>88449.282506164178</v>
      </c>
      <c r="HZ44" s="989">
        <f t="shared" si="79"/>
        <v>0</v>
      </c>
      <c r="IE44" s="2">
        <v>44258.011331467496</v>
      </c>
      <c r="IF44" s="1002">
        <v>37</v>
      </c>
      <c r="IG44" s="553"/>
      <c r="IH44" s="553"/>
      <c r="II44" s="553"/>
      <c r="IJ44" s="553"/>
      <c r="IK44" s="553"/>
      <c r="IL44" s="553">
        <v>9.0909090909090917</v>
      </c>
      <c r="IM44" s="553"/>
      <c r="IN44" s="553">
        <v>18.181818181818183</v>
      </c>
      <c r="IO44" s="553">
        <v>72.727272727272734</v>
      </c>
      <c r="IP44" s="553"/>
      <c r="IQ44" s="553"/>
      <c r="IS44" s="1270">
        <v>37</v>
      </c>
      <c r="IT44" s="989">
        <f t="shared" si="214"/>
        <v>0</v>
      </c>
      <c r="IU44" s="989">
        <f t="shared" si="202"/>
        <v>0</v>
      </c>
      <c r="IV44" s="989">
        <f t="shared" si="203"/>
        <v>0</v>
      </c>
      <c r="IW44" s="989">
        <f t="shared" si="204"/>
        <v>0</v>
      </c>
      <c r="IX44" s="989">
        <f t="shared" si="205"/>
        <v>0</v>
      </c>
      <c r="IY44" s="989">
        <f t="shared" si="206"/>
        <v>4023.4555755879542</v>
      </c>
      <c r="IZ44" s="989">
        <f t="shared" si="207"/>
        <v>0</v>
      </c>
      <c r="JA44" s="989">
        <f t="shared" si="208"/>
        <v>8046.9111511759083</v>
      </c>
      <c r="JB44" s="989">
        <f t="shared" si="209"/>
        <v>32187.644604703633</v>
      </c>
      <c r="JC44" s="989">
        <f t="shared" si="210"/>
        <v>0</v>
      </c>
      <c r="JD44" s="989">
        <f t="shared" si="211"/>
        <v>0</v>
      </c>
      <c r="JE44" s="989">
        <f t="shared" si="215"/>
        <v>0</v>
      </c>
      <c r="JG44" s="1135">
        <v>255279.51777839987</v>
      </c>
      <c r="JH44" s="1002">
        <v>37</v>
      </c>
      <c r="JI44" s="553"/>
      <c r="JJ44" s="1272"/>
      <c r="JK44" s="1272"/>
      <c r="JL44" s="1272"/>
      <c r="JM44" s="1272"/>
      <c r="JN44" s="1272"/>
      <c r="JO44" s="1272"/>
      <c r="JP44" s="1272">
        <v>100</v>
      </c>
      <c r="JQ44" s="1272"/>
      <c r="JR44" s="1272"/>
      <c r="JS44" s="1272"/>
      <c r="JT44" s="1273"/>
      <c r="JU44" s="1273"/>
      <c r="JW44" s="989">
        <f t="shared" si="103"/>
        <v>0</v>
      </c>
      <c r="JX44" s="989">
        <f t="shared" si="104"/>
        <v>0</v>
      </c>
      <c r="JY44" s="989">
        <f t="shared" si="92"/>
        <v>0</v>
      </c>
      <c r="JZ44" s="989">
        <f t="shared" si="93"/>
        <v>0</v>
      </c>
      <c r="KA44" s="989">
        <f t="shared" si="94"/>
        <v>0</v>
      </c>
      <c r="KB44" s="989">
        <f t="shared" si="95"/>
        <v>0</v>
      </c>
      <c r="KC44" s="989">
        <f t="shared" si="96"/>
        <v>255279.5177783999</v>
      </c>
      <c r="KD44" s="989">
        <f t="shared" si="97"/>
        <v>0</v>
      </c>
      <c r="KE44" s="989">
        <f t="shared" si="98"/>
        <v>0</v>
      </c>
      <c r="KF44" s="989">
        <f t="shared" si="99"/>
        <v>0</v>
      </c>
      <c r="KG44" s="989">
        <f t="shared" si="100"/>
        <v>0</v>
      </c>
      <c r="KJ44" s="192">
        <f t="shared" si="178"/>
        <v>0</v>
      </c>
      <c r="KK44" s="192">
        <f t="shared" si="179"/>
        <v>0</v>
      </c>
      <c r="KL44" s="192">
        <f t="shared" si="180"/>
        <v>0</v>
      </c>
      <c r="KM44" s="192">
        <f t="shared" si="181"/>
        <v>0</v>
      </c>
      <c r="KN44" s="192">
        <f t="shared" si="182"/>
        <v>0</v>
      </c>
      <c r="KO44" s="192">
        <f t="shared" si="183"/>
        <v>4023.4555755879542</v>
      </c>
      <c r="KP44" s="192">
        <f t="shared" si="184"/>
        <v>255279.5177783999</v>
      </c>
      <c r="KQ44" s="192">
        <f t="shared" si="185"/>
        <v>8046.9111511759083</v>
      </c>
      <c r="KR44" s="192">
        <f t="shared" si="186"/>
        <v>32187.644604703633</v>
      </c>
      <c r="KS44" s="192">
        <f t="shared" si="187"/>
        <v>0</v>
      </c>
      <c r="KT44" s="192">
        <f t="shared" si="188"/>
        <v>0</v>
      </c>
      <c r="KV44" s="1036">
        <v>42</v>
      </c>
      <c r="KW44" s="2">
        <v>247778.41060935208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100</v>
      </c>
      <c r="LH44" s="1">
        <v>0</v>
      </c>
      <c r="LJ44" s="989">
        <f t="shared" si="141"/>
        <v>0</v>
      </c>
      <c r="LK44" s="989">
        <f t="shared" si="142"/>
        <v>0</v>
      </c>
      <c r="LL44" s="989">
        <f t="shared" si="143"/>
        <v>0</v>
      </c>
      <c r="LM44" s="989">
        <f t="shared" si="144"/>
        <v>0</v>
      </c>
      <c r="LN44" s="989">
        <f t="shared" si="145"/>
        <v>0</v>
      </c>
      <c r="LO44" s="989">
        <f t="shared" si="146"/>
        <v>0</v>
      </c>
      <c r="LP44" s="989">
        <f t="shared" si="147"/>
        <v>0</v>
      </c>
      <c r="LQ44" s="989">
        <f t="shared" si="148"/>
        <v>0</v>
      </c>
      <c r="LR44" s="989">
        <f t="shared" si="149"/>
        <v>0</v>
      </c>
      <c r="LS44" s="989">
        <f t="shared" si="150"/>
        <v>247778.41060935205</v>
      </c>
      <c r="LT44" s="989">
        <f t="shared" si="151"/>
        <v>0</v>
      </c>
      <c r="LV44" s="2">
        <v>100730.62497715696</v>
      </c>
      <c r="LW44" s="1446">
        <v>0</v>
      </c>
      <c r="LX44" s="1446">
        <v>0</v>
      </c>
      <c r="LY44" s="1446">
        <v>0</v>
      </c>
      <c r="LZ44" s="1446">
        <v>0</v>
      </c>
      <c r="MA44" s="1446">
        <v>0</v>
      </c>
      <c r="MB44" s="1446">
        <v>0</v>
      </c>
      <c r="MC44" s="1446">
        <v>0</v>
      </c>
      <c r="MD44" s="1446">
        <v>50</v>
      </c>
      <c r="ME44" s="1446">
        <v>25</v>
      </c>
      <c r="MF44" s="1446">
        <v>25</v>
      </c>
      <c r="MH44" s="1">
        <f t="shared" si="166"/>
        <v>100</v>
      </c>
      <c r="MI44" s="989">
        <f t="shared" si="167"/>
        <v>0</v>
      </c>
      <c r="MJ44" s="989">
        <f t="shared" si="168"/>
        <v>0</v>
      </c>
      <c r="MK44" s="989">
        <f t="shared" si="169"/>
        <v>0</v>
      </c>
      <c r="ML44" s="989">
        <f t="shared" si="170"/>
        <v>0</v>
      </c>
      <c r="MM44" s="989">
        <f t="shared" si="171"/>
        <v>0</v>
      </c>
      <c r="MN44" s="989">
        <f t="shared" si="172"/>
        <v>0</v>
      </c>
      <c r="MO44" s="989">
        <f t="shared" si="173"/>
        <v>0</v>
      </c>
      <c r="MP44" s="989">
        <f t="shared" si="174"/>
        <v>50365.312488578471</v>
      </c>
      <c r="MQ44" s="989">
        <f t="shared" si="175"/>
        <v>25182.656244289235</v>
      </c>
      <c r="MR44" s="989">
        <f t="shared" si="176"/>
        <v>25182.656244289235</v>
      </c>
      <c r="MS44" s="989">
        <f t="shared" si="177"/>
        <v>0</v>
      </c>
      <c r="MU44" s="1036">
        <v>42</v>
      </c>
      <c r="MV44" s="57">
        <v>0</v>
      </c>
      <c r="MW44" s="1964"/>
      <c r="MX44" s="1964"/>
      <c r="MY44" s="1964"/>
      <c r="MZ44" s="1964"/>
      <c r="NA44" s="1964"/>
      <c r="NB44" s="1964"/>
      <c r="NC44" s="1964"/>
      <c r="ND44" s="1964"/>
      <c r="NE44" s="1964"/>
      <c r="NF44" s="1964">
        <v>50</v>
      </c>
      <c r="NG44" s="1964">
        <v>50</v>
      </c>
      <c r="NJ44" s="989">
        <f t="shared" si="116"/>
        <v>0</v>
      </c>
      <c r="NK44" s="989">
        <f t="shared" si="117"/>
        <v>0</v>
      </c>
      <c r="NL44" s="989">
        <f t="shared" si="118"/>
        <v>0</v>
      </c>
      <c r="NM44" s="989">
        <f t="shared" si="119"/>
        <v>0</v>
      </c>
      <c r="NN44" s="989">
        <f t="shared" si="120"/>
        <v>0</v>
      </c>
      <c r="NO44" s="989">
        <f t="shared" si="121"/>
        <v>0</v>
      </c>
      <c r="NP44" s="989">
        <f t="shared" si="122"/>
        <v>0</v>
      </c>
      <c r="NQ44" s="989">
        <f t="shared" si="123"/>
        <v>0</v>
      </c>
      <c r="NR44" s="989">
        <f t="shared" si="124"/>
        <v>0</v>
      </c>
      <c r="NS44" s="989">
        <f t="shared" si="125"/>
        <v>0</v>
      </c>
      <c r="NT44" s="989">
        <f t="shared" si="126"/>
        <v>0</v>
      </c>
    </row>
    <row r="45" spans="1:384" ht="15" thickTop="1" thickBot="1">
      <c r="A45" s="1822">
        <v>44</v>
      </c>
      <c r="B45" s="1199"/>
      <c r="C45" s="1134">
        <v>0</v>
      </c>
      <c r="D45" s="1199">
        <v>0</v>
      </c>
      <c r="E45" s="20"/>
      <c r="F45" s="1843">
        <f t="shared" si="12"/>
        <v>0</v>
      </c>
      <c r="G45"/>
      <c r="H45"/>
      <c r="I45"/>
      <c r="J45"/>
      <c r="K45"/>
      <c r="L45"/>
      <c r="M45"/>
      <c r="N45" s="20"/>
      <c r="T45" s="114">
        <v>44</v>
      </c>
      <c r="AF45" s="1844">
        <v>44</v>
      </c>
      <c r="AG45" s="1724"/>
      <c r="AH45" s="1724"/>
      <c r="AI45" s="1724"/>
      <c r="AJ45" s="1724"/>
      <c r="AK45" s="1724"/>
      <c r="AL45" s="1724"/>
      <c r="AM45" s="1724"/>
      <c r="AN45" s="1724"/>
      <c r="AO45" s="1724"/>
      <c r="AP45" s="1724"/>
      <c r="AR45" s="1822">
        <v>44</v>
      </c>
      <c r="AS45" s="1199"/>
      <c r="AT45" s="1">
        <v>0</v>
      </c>
      <c r="AU45" s="1">
        <v>0</v>
      </c>
      <c r="AV45" s="20"/>
      <c r="AW45" s="1843">
        <f t="shared" si="33"/>
        <v>0</v>
      </c>
      <c r="AX45"/>
      <c r="AY45"/>
      <c r="AZ45"/>
      <c r="BA45"/>
      <c r="BB45"/>
      <c r="BC45"/>
      <c r="BD45"/>
      <c r="BE45" s="20"/>
      <c r="BK45" s="114">
        <v>44</v>
      </c>
      <c r="BL45" s="2">
        <f t="shared" si="128"/>
        <v>0</v>
      </c>
      <c r="BM45" s="2">
        <f t="shared" si="129"/>
        <v>0</v>
      </c>
      <c r="BN45" s="2">
        <f t="shared" si="130"/>
        <v>0</v>
      </c>
      <c r="BO45" s="2">
        <f t="shared" si="131"/>
        <v>0</v>
      </c>
      <c r="BP45" s="2">
        <f t="shared" si="132"/>
        <v>0</v>
      </c>
      <c r="BQ45" s="2">
        <f t="shared" si="133"/>
        <v>0</v>
      </c>
      <c r="BR45" s="2">
        <f t="shared" si="134"/>
        <v>0</v>
      </c>
      <c r="BS45" s="2">
        <f t="shared" si="135"/>
        <v>0</v>
      </c>
      <c r="BT45" s="2">
        <f t="shared" si="136"/>
        <v>0</v>
      </c>
      <c r="BU45" s="2">
        <f t="shared" si="137"/>
        <v>0</v>
      </c>
      <c r="BV45" s="2">
        <f t="shared" si="138"/>
        <v>0</v>
      </c>
      <c r="BW45" s="1844">
        <v>44</v>
      </c>
      <c r="BX45" s="1724"/>
      <c r="BY45" s="1724"/>
      <c r="BZ45" s="1724"/>
      <c r="CA45" s="1724"/>
      <c r="CB45" s="1724"/>
      <c r="CC45" s="1724"/>
      <c r="CD45" s="1724"/>
      <c r="CE45" s="1724"/>
      <c r="CF45" s="1724"/>
      <c r="CG45" s="1724"/>
      <c r="CH45" s="75"/>
      <c r="CI45" s="1" t="s">
        <v>609</v>
      </c>
      <c r="CJ45" s="1">
        <v>20.321025908321872</v>
      </c>
      <c r="CM45" s="638"/>
      <c r="CN45" s="1847">
        <v>42</v>
      </c>
      <c r="CO45" s="1851"/>
      <c r="CP45" s="638">
        <v>0</v>
      </c>
      <c r="CQ45" s="2">
        <v>16533.789699046039</v>
      </c>
      <c r="CR45" s="646">
        <f t="shared" si="63"/>
        <v>16533.789699046039</v>
      </c>
      <c r="CS45" s="1141"/>
      <c r="CT45" s="952"/>
      <c r="CU45" s="808"/>
      <c r="CV45" s="808"/>
      <c r="CW45" s="808"/>
      <c r="CX45" s="808"/>
      <c r="CY45" s="808"/>
      <c r="CZ45" s="808"/>
      <c r="DA45" s="808"/>
      <c r="DB45" s="808"/>
      <c r="DC45" s="808"/>
      <c r="DD45" s="808"/>
      <c r="DE45" s="808"/>
      <c r="DF45" s="451"/>
      <c r="DG45" s="647">
        <v>42</v>
      </c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451"/>
      <c r="DS45" s="1847">
        <v>42</v>
      </c>
      <c r="DT45" s="192">
        <f t="shared" si="190"/>
        <v>0</v>
      </c>
      <c r="DU45" s="192">
        <f t="shared" si="191"/>
        <v>0</v>
      </c>
      <c r="DV45" s="192">
        <f t="shared" si="192"/>
        <v>0</v>
      </c>
      <c r="DW45" s="192">
        <f t="shared" si="193"/>
        <v>0</v>
      </c>
      <c r="DX45" s="192">
        <f t="shared" si="194"/>
        <v>0</v>
      </c>
      <c r="DY45" s="192">
        <f t="shared" si="195"/>
        <v>0</v>
      </c>
      <c r="DZ45" s="192">
        <f t="shared" si="196"/>
        <v>0</v>
      </c>
      <c r="EA45" s="192">
        <f t="shared" si="197"/>
        <v>0</v>
      </c>
      <c r="EB45" s="192">
        <f t="shared" si="198"/>
        <v>0</v>
      </c>
      <c r="EC45" s="192">
        <f t="shared" si="199"/>
        <v>0</v>
      </c>
      <c r="ED45" s="192">
        <f t="shared" si="200"/>
        <v>0</v>
      </c>
      <c r="EE45" s="667">
        <f t="shared" si="46"/>
        <v>0</v>
      </c>
      <c r="EH45" s="979">
        <v>43</v>
      </c>
      <c r="ES45" s="1">
        <v>100</v>
      </c>
      <c r="EX45" s="992">
        <v>100</v>
      </c>
      <c r="EY45" s="989">
        <v>0</v>
      </c>
      <c r="EZ45" s="989">
        <f>(EI45*$EY45)/100</f>
        <v>0</v>
      </c>
      <c r="FA45" s="989">
        <f t="shared" si="217"/>
        <v>0</v>
      </c>
      <c r="FB45" s="989">
        <f t="shared" si="217"/>
        <v>0</v>
      </c>
      <c r="FC45" s="989">
        <f t="shared" si="217"/>
        <v>0</v>
      </c>
      <c r="FD45" s="989">
        <f t="shared" si="217"/>
        <v>0</v>
      </c>
      <c r="FE45" s="989">
        <f t="shared" si="217"/>
        <v>0</v>
      </c>
      <c r="FF45" s="989">
        <f t="shared" si="217"/>
        <v>0</v>
      </c>
      <c r="FG45" s="989">
        <f t="shared" si="217"/>
        <v>0</v>
      </c>
      <c r="FH45" s="989">
        <f t="shared" si="217"/>
        <v>0</v>
      </c>
      <c r="FI45" s="989">
        <f t="shared" si="217"/>
        <v>0</v>
      </c>
      <c r="FJ45" s="989">
        <f t="shared" si="217"/>
        <v>0</v>
      </c>
      <c r="FM45" s="1002">
        <v>43</v>
      </c>
      <c r="FN45" s="1003"/>
      <c r="FO45" s="1006"/>
      <c r="FP45" s="1006"/>
      <c r="FQ45" s="1006"/>
      <c r="FR45" s="1006"/>
      <c r="FS45" s="1006"/>
      <c r="FT45" s="1006"/>
      <c r="FU45" s="1006"/>
      <c r="FV45" s="1006"/>
      <c r="FW45" s="1006"/>
      <c r="FX45" s="1006">
        <v>12.5</v>
      </c>
      <c r="FY45" s="1006">
        <v>25</v>
      </c>
      <c r="FZ45" s="1006">
        <v>62.5</v>
      </c>
      <c r="GA45" s="1003"/>
      <c r="GB45" s="1004">
        <v>100</v>
      </c>
      <c r="GC45" s="1002">
        <v>43</v>
      </c>
      <c r="GD45" s="2">
        <v>90646.525916207131</v>
      </c>
      <c r="GE45" s="989">
        <f t="shared" si="152"/>
        <v>0</v>
      </c>
      <c r="GF45" s="989">
        <f t="shared" si="153"/>
        <v>0</v>
      </c>
      <c r="GG45" s="989">
        <f t="shared" si="154"/>
        <v>0</v>
      </c>
      <c r="GH45" s="989">
        <f t="shared" si="155"/>
        <v>0</v>
      </c>
      <c r="GI45" s="989">
        <f t="shared" si="156"/>
        <v>0</v>
      </c>
      <c r="GJ45" s="989">
        <f t="shared" si="157"/>
        <v>0</v>
      </c>
      <c r="GK45" s="989">
        <f t="shared" si="158"/>
        <v>0</v>
      </c>
      <c r="GL45" s="989">
        <f t="shared" si="159"/>
        <v>0</v>
      </c>
      <c r="GM45" s="989">
        <f t="shared" si="160"/>
        <v>0</v>
      </c>
      <c r="GN45" s="989">
        <f t="shared" si="161"/>
        <v>0</v>
      </c>
      <c r="GO45" s="989">
        <f t="shared" si="162"/>
        <v>11330.815739525891</v>
      </c>
      <c r="GP45" s="989">
        <f t="shared" si="163"/>
        <v>22661.631479051783</v>
      </c>
      <c r="GQ45" s="989">
        <f t="shared" si="164"/>
        <v>56654.078697629462</v>
      </c>
      <c r="GR45" s="989">
        <f t="shared" si="165"/>
        <v>0</v>
      </c>
      <c r="GX45" s="1036">
        <v>43</v>
      </c>
      <c r="GY45" s="1">
        <v>42825.683309899337</v>
      </c>
      <c r="GZ45" s="1043"/>
      <c r="HA45" s="1039"/>
      <c r="HB45" s="1039"/>
      <c r="HC45" s="1039"/>
      <c r="HD45" s="1039"/>
      <c r="HE45" s="1039"/>
      <c r="HF45" s="1039"/>
      <c r="HG45" s="1039"/>
      <c r="HH45" s="1039"/>
      <c r="HI45" s="1039"/>
      <c r="HJ45" s="1039"/>
      <c r="HK45" s="1039">
        <v>100</v>
      </c>
      <c r="HL45" s="1039"/>
      <c r="HM45" s="1040">
        <f t="shared" si="189"/>
        <v>100</v>
      </c>
      <c r="HN45" s="989">
        <f t="shared" si="67"/>
        <v>0</v>
      </c>
      <c r="HO45" s="989">
        <f t="shared" si="68"/>
        <v>0</v>
      </c>
      <c r="HP45" s="989">
        <f t="shared" si="69"/>
        <v>0</v>
      </c>
      <c r="HQ45" s="989">
        <f t="shared" si="70"/>
        <v>0</v>
      </c>
      <c r="HR45" s="989">
        <f t="shared" si="71"/>
        <v>0</v>
      </c>
      <c r="HS45" s="989">
        <f t="shared" si="72"/>
        <v>0</v>
      </c>
      <c r="HT45" s="989">
        <f t="shared" si="73"/>
        <v>0</v>
      </c>
      <c r="HU45" s="989">
        <f t="shared" si="74"/>
        <v>0</v>
      </c>
      <c r="HV45" s="989">
        <f t="shared" si="75"/>
        <v>0</v>
      </c>
      <c r="HW45" s="989">
        <f t="shared" si="76"/>
        <v>0</v>
      </c>
      <c r="HX45" s="989">
        <f t="shared" si="77"/>
        <v>0</v>
      </c>
      <c r="HY45" s="989">
        <f t="shared" si="78"/>
        <v>42825.683309899337</v>
      </c>
      <c r="HZ45" s="989">
        <f t="shared" si="79"/>
        <v>0</v>
      </c>
      <c r="IE45" s="2">
        <v>97511.138950494904</v>
      </c>
      <c r="IF45" s="1005">
        <v>38</v>
      </c>
      <c r="IG45" s="553"/>
      <c r="IH45" s="553"/>
      <c r="II45" s="553"/>
      <c r="IJ45" s="553"/>
      <c r="IK45" s="553"/>
      <c r="IL45" s="553"/>
      <c r="IM45" s="553"/>
      <c r="IN45" s="553"/>
      <c r="IO45" s="553">
        <v>60</v>
      </c>
      <c r="IP45" s="553">
        <v>40</v>
      </c>
      <c r="IQ45" s="553"/>
      <c r="IS45" s="1270">
        <v>38</v>
      </c>
      <c r="IT45" s="989">
        <f t="shared" si="214"/>
        <v>0</v>
      </c>
      <c r="IU45" s="989">
        <f t="shared" si="202"/>
        <v>0</v>
      </c>
      <c r="IV45" s="989">
        <f t="shared" si="203"/>
        <v>0</v>
      </c>
      <c r="IW45" s="989">
        <f t="shared" si="204"/>
        <v>0</v>
      </c>
      <c r="IX45" s="989">
        <f t="shared" si="205"/>
        <v>0</v>
      </c>
      <c r="IY45" s="989">
        <f t="shared" si="206"/>
        <v>0</v>
      </c>
      <c r="IZ45" s="989">
        <f t="shared" si="207"/>
        <v>0</v>
      </c>
      <c r="JA45" s="989">
        <f t="shared" si="208"/>
        <v>0</v>
      </c>
      <c r="JB45" s="989">
        <f t="shared" si="209"/>
        <v>58506.683370296945</v>
      </c>
      <c r="JC45" s="989">
        <f t="shared" si="210"/>
        <v>39004.455580197966</v>
      </c>
      <c r="JD45" s="989">
        <f t="shared" si="211"/>
        <v>0</v>
      </c>
      <c r="JE45" s="989">
        <f t="shared" si="215"/>
        <v>0</v>
      </c>
      <c r="JG45" s="1135">
        <v>187342.01520566439</v>
      </c>
      <c r="JH45" s="1002">
        <v>38</v>
      </c>
      <c r="JI45" s="666"/>
      <c r="JJ45" s="1272"/>
      <c r="JK45" s="1272"/>
      <c r="JL45" s="1272"/>
      <c r="JM45" s="1272"/>
      <c r="JN45" s="1272"/>
      <c r="JO45" s="1272"/>
      <c r="JP45" s="1272"/>
      <c r="JQ45" s="1272">
        <v>100</v>
      </c>
      <c r="JR45" s="1272"/>
      <c r="JS45" s="1272"/>
      <c r="JT45" s="1273"/>
      <c r="JU45" s="1273"/>
      <c r="JW45" s="989">
        <f t="shared" si="103"/>
        <v>0</v>
      </c>
      <c r="JX45" s="989">
        <f t="shared" si="104"/>
        <v>0</v>
      </c>
      <c r="JY45" s="989">
        <f t="shared" si="92"/>
        <v>0</v>
      </c>
      <c r="JZ45" s="989">
        <f t="shared" si="93"/>
        <v>0</v>
      </c>
      <c r="KA45" s="989">
        <f t="shared" si="94"/>
        <v>0</v>
      </c>
      <c r="KB45" s="989">
        <f t="shared" si="95"/>
        <v>0</v>
      </c>
      <c r="KC45" s="989">
        <f t="shared" si="96"/>
        <v>0</v>
      </c>
      <c r="KD45" s="989">
        <f t="shared" si="97"/>
        <v>187342.01520566439</v>
      </c>
      <c r="KE45" s="989">
        <f t="shared" si="98"/>
        <v>0</v>
      </c>
      <c r="KF45" s="989">
        <f t="shared" si="99"/>
        <v>0</v>
      </c>
      <c r="KG45" s="989">
        <f t="shared" si="100"/>
        <v>0</v>
      </c>
      <c r="KJ45" s="192">
        <f t="shared" si="178"/>
        <v>0</v>
      </c>
      <c r="KK45" s="192">
        <f t="shared" si="179"/>
        <v>0</v>
      </c>
      <c r="KL45" s="192">
        <f t="shared" si="180"/>
        <v>0</v>
      </c>
      <c r="KM45" s="192">
        <f t="shared" si="181"/>
        <v>0</v>
      </c>
      <c r="KN45" s="192">
        <f t="shared" si="182"/>
        <v>0</v>
      </c>
      <c r="KO45" s="192">
        <f t="shared" si="183"/>
        <v>0</v>
      </c>
      <c r="KP45" s="192">
        <f t="shared" si="184"/>
        <v>0</v>
      </c>
      <c r="KQ45" s="192">
        <f t="shared" si="185"/>
        <v>187342.01520566439</v>
      </c>
      <c r="KR45" s="192">
        <f t="shared" si="186"/>
        <v>58506.683370296945</v>
      </c>
      <c r="KS45" s="192">
        <f t="shared" si="187"/>
        <v>39004.455580197966</v>
      </c>
      <c r="KT45" s="192">
        <f t="shared" si="188"/>
        <v>0</v>
      </c>
      <c r="KV45" s="1036">
        <v>43</v>
      </c>
      <c r="KW45" s="2">
        <v>134610.88247043092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100</v>
      </c>
      <c r="LJ45" s="989">
        <f t="shared" si="141"/>
        <v>0</v>
      </c>
      <c r="LK45" s="989">
        <f t="shared" si="142"/>
        <v>0</v>
      </c>
      <c r="LL45" s="989">
        <f t="shared" si="143"/>
        <v>0</v>
      </c>
      <c r="LM45" s="989">
        <f t="shared" si="144"/>
        <v>0</v>
      </c>
      <c r="LN45" s="989">
        <f t="shared" si="145"/>
        <v>0</v>
      </c>
      <c r="LO45" s="989">
        <f t="shared" si="146"/>
        <v>0</v>
      </c>
      <c r="LP45" s="989">
        <f t="shared" si="147"/>
        <v>0</v>
      </c>
      <c r="LQ45" s="989">
        <f t="shared" si="148"/>
        <v>0</v>
      </c>
      <c r="LR45" s="989">
        <f t="shared" si="149"/>
        <v>0</v>
      </c>
      <c r="LS45" s="989">
        <f t="shared" si="150"/>
        <v>0</v>
      </c>
      <c r="LT45" s="989">
        <f t="shared" si="151"/>
        <v>134610.88247043092</v>
      </c>
      <c r="LV45" s="2">
        <v>55678.781433433382</v>
      </c>
      <c r="MG45" s="1446">
        <v>100</v>
      </c>
      <c r="MH45" s="1">
        <f t="shared" si="166"/>
        <v>100</v>
      </c>
      <c r="MI45" s="989">
        <f t="shared" si="167"/>
        <v>0</v>
      </c>
      <c r="MJ45" s="989">
        <f t="shared" si="168"/>
        <v>0</v>
      </c>
      <c r="MK45" s="989">
        <f t="shared" si="169"/>
        <v>0</v>
      </c>
      <c r="ML45" s="989">
        <f t="shared" si="170"/>
        <v>0</v>
      </c>
      <c r="MM45" s="989">
        <f t="shared" si="171"/>
        <v>0</v>
      </c>
      <c r="MN45" s="989">
        <f t="shared" si="172"/>
        <v>0</v>
      </c>
      <c r="MO45" s="989">
        <f t="shared" si="173"/>
        <v>0</v>
      </c>
      <c r="MP45" s="989">
        <f t="shared" si="174"/>
        <v>0</v>
      </c>
      <c r="MQ45" s="989">
        <f t="shared" si="175"/>
        <v>0</v>
      </c>
      <c r="MR45" s="989">
        <f t="shared" si="176"/>
        <v>0</v>
      </c>
      <c r="MS45" s="989">
        <f t="shared" si="177"/>
        <v>55678.781433433382</v>
      </c>
      <c r="MU45" s="1036">
        <v>43</v>
      </c>
      <c r="MV45" s="57">
        <v>0</v>
      </c>
      <c r="MW45" s="1964"/>
      <c r="MX45" s="1964"/>
      <c r="MY45" s="1964"/>
      <c r="MZ45" s="1964"/>
      <c r="NA45" s="1964"/>
      <c r="NB45" s="1964"/>
      <c r="NC45" s="1964"/>
      <c r="ND45" s="1964"/>
      <c r="NE45" s="1964"/>
      <c r="NF45" s="1964"/>
      <c r="NG45" s="1964">
        <v>100</v>
      </c>
      <c r="NJ45" s="989">
        <f t="shared" si="116"/>
        <v>0</v>
      </c>
      <c r="NK45" s="989">
        <f t="shared" si="117"/>
        <v>0</v>
      </c>
      <c r="NL45" s="989">
        <f t="shared" si="118"/>
        <v>0</v>
      </c>
      <c r="NM45" s="989">
        <f t="shared" si="119"/>
        <v>0</v>
      </c>
      <c r="NN45" s="989">
        <f t="shared" si="120"/>
        <v>0</v>
      </c>
      <c r="NO45" s="989">
        <f t="shared" si="121"/>
        <v>0</v>
      </c>
      <c r="NP45" s="989">
        <f t="shared" si="122"/>
        <v>0</v>
      </c>
      <c r="NQ45" s="989">
        <f t="shared" si="123"/>
        <v>0</v>
      </c>
      <c r="NR45" s="989">
        <f t="shared" si="124"/>
        <v>0</v>
      </c>
      <c r="NS45" s="989">
        <f t="shared" si="125"/>
        <v>0</v>
      </c>
      <c r="NT45" s="989">
        <f t="shared" si="126"/>
        <v>0</v>
      </c>
    </row>
    <row r="46" spans="1:384" ht="14.4" thickTop="1" thickBot="1">
      <c r="A46" s="1822">
        <v>45</v>
      </c>
      <c r="B46" s="1199"/>
      <c r="C46" s="1134">
        <v>0</v>
      </c>
      <c r="D46" s="1199">
        <v>0</v>
      </c>
      <c r="E46" s="20"/>
      <c r="F46" s="1843">
        <f t="shared" si="12"/>
        <v>0</v>
      </c>
      <c r="G46"/>
      <c r="H46"/>
      <c r="I46"/>
      <c r="J46"/>
      <c r="K46"/>
      <c r="L46"/>
      <c r="M46"/>
      <c r="N46" s="20"/>
      <c r="T46" s="114">
        <v>45</v>
      </c>
      <c r="U46" s="2"/>
      <c r="AF46" s="1844">
        <v>45</v>
      </c>
      <c r="AG46" s="1724"/>
      <c r="AH46" s="1724"/>
      <c r="AI46" s="1724"/>
      <c r="AJ46" s="1724"/>
      <c r="AK46" s="1724"/>
      <c r="AL46" s="1724"/>
      <c r="AM46" s="1724"/>
      <c r="AN46" s="1724"/>
      <c r="AO46" s="1724"/>
      <c r="AP46" s="1724"/>
      <c r="AR46" s="1822">
        <v>45</v>
      </c>
      <c r="AS46" s="1199"/>
      <c r="AT46" s="1">
        <v>0</v>
      </c>
      <c r="AU46" s="1">
        <v>0</v>
      </c>
      <c r="AV46" s="20"/>
      <c r="AW46" s="1843">
        <f t="shared" si="33"/>
        <v>0</v>
      </c>
      <c r="AX46"/>
      <c r="AY46"/>
      <c r="AZ46"/>
      <c r="BA46"/>
      <c r="BB46"/>
      <c r="BC46"/>
      <c r="BD46"/>
      <c r="BE46" s="20"/>
      <c r="BK46" s="114">
        <v>45</v>
      </c>
      <c r="BL46" s="2">
        <f t="shared" si="128"/>
        <v>0</v>
      </c>
      <c r="BM46" s="2">
        <f t="shared" si="129"/>
        <v>0</v>
      </c>
      <c r="BN46" s="2">
        <f t="shared" si="130"/>
        <v>0</v>
      </c>
      <c r="BO46" s="2">
        <f t="shared" si="131"/>
        <v>0</v>
      </c>
      <c r="BP46" s="2">
        <f t="shared" si="132"/>
        <v>0</v>
      </c>
      <c r="BQ46" s="2">
        <f t="shared" si="133"/>
        <v>0</v>
      </c>
      <c r="BR46" s="2">
        <f t="shared" si="134"/>
        <v>0</v>
      </c>
      <c r="BS46" s="2">
        <f t="shared" si="135"/>
        <v>0</v>
      </c>
      <c r="BT46" s="2">
        <f t="shared" si="136"/>
        <v>0</v>
      </c>
      <c r="BU46" s="2">
        <f t="shared" si="137"/>
        <v>0</v>
      </c>
      <c r="BV46" s="2">
        <f t="shared" si="138"/>
        <v>0</v>
      </c>
      <c r="BW46" s="1844">
        <v>45</v>
      </c>
      <c r="BX46" s="1724"/>
      <c r="BY46" s="1724"/>
      <c r="BZ46" s="1724"/>
      <c r="CA46" s="1724"/>
      <c r="CB46" s="1724"/>
      <c r="CC46" s="1724"/>
      <c r="CD46" s="1724"/>
      <c r="CE46" s="1724"/>
      <c r="CF46" s="1724"/>
      <c r="CG46" s="1724"/>
      <c r="CH46" s="75"/>
      <c r="CI46" s="1" t="s">
        <v>610</v>
      </c>
      <c r="CJ46" s="1">
        <v>23.08125725419254</v>
      </c>
      <c r="CM46" s="638"/>
      <c r="CN46" s="1847">
        <v>43</v>
      </c>
      <c r="CO46" s="1851"/>
      <c r="CP46" s="638">
        <v>0</v>
      </c>
      <c r="CQ46" s="638"/>
      <c r="CR46" s="646">
        <f t="shared" si="63"/>
        <v>0</v>
      </c>
      <c r="CS46" s="1141"/>
      <c r="CT46" s="952"/>
      <c r="CU46" s="808"/>
      <c r="CV46" s="808"/>
      <c r="CW46" s="808"/>
      <c r="CX46" s="808"/>
      <c r="CY46" s="808"/>
      <c r="CZ46" s="808"/>
      <c r="DA46" s="808"/>
      <c r="DB46" s="808"/>
      <c r="DC46" s="808"/>
      <c r="DD46" s="808"/>
      <c r="DE46" s="808"/>
      <c r="DF46" s="451"/>
      <c r="DG46" s="647">
        <v>43</v>
      </c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451"/>
      <c r="DS46" s="1847">
        <v>43</v>
      </c>
      <c r="DT46" s="192">
        <f t="shared" si="190"/>
        <v>0</v>
      </c>
      <c r="DU46" s="192">
        <f t="shared" si="191"/>
        <v>0</v>
      </c>
      <c r="DV46" s="192">
        <f t="shared" si="192"/>
        <v>0</v>
      </c>
      <c r="DW46" s="192">
        <f t="shared" si="193"/>
        <v>0</v>
      </c>
      <c r="DX46" s="192">
        <f t="shared" si="194"/>
        <v>0</v>
      </c>
      <c r="DY46" s="192">
        <f t="shared" si="195"/>
        <v>0</v>
      </c>
      <c r="DZ46" s="192">
        <f t="shared" si="196"/>
        <v>0</v>
      </c>
      <c r="EA46" s="192">
        <f t="shared" si="197"/>
        <v>0</v>
      </c>
      <c r="EB46" s="192">
        <f t="shared" si="198"/>
        <v>0</v>
      </c>
      <c r="EC46" s="192">
        <f t="shared" si="199"/>
        <v>0</v>
      </c>
      <c r="ED46" s="192">
        <f t="shared" si="200"/>
        <v>0</v>
      </c>
      <c r="EE46" s="667">
        <f t="shared" si="46"/>
        <v>0</v>
      </c>
      <c r="EH46" s="979">
        <v>44</v>
      </c>
      <c r="ES46" s="1">
        <v>100</v>
      </c>
      <c r="EX46" s="992">
        <v>100</v>
      </c>
      <c r="EY46" s="989">
        <v>0</v>
      </c>
      <c r="EZ46" s="989">
        <f>(EI46*$EY46)/100</f>
        <v>0</v>
      </c>
      <c r="FA46" s="989">
        <f t="shared" si="217"/>
        <v>0</v>
      </c>
      <c r="FB46" s="989">
        <f t="shared" si="217"/>
        <v>0</v>
      </c>
      <c r="FC46" s="989">
        <f t="shared" si="217"/>
        <v>0</v>
      </c>
      <c r="FD46" s="989">
        <f t="shared" si="217"/>
        <v>0</v>
      </c>
      <c r="FE46" s="989">
        <f t="shared" si="217"/>
        <v>0</v>
      </c>
      <c r="FF46" s="989">
        <f t="shared" si="217"/>
        <v>0</v>
      </c>
      <c r="FG46" s="989">
        <f t="shared" si="217"/>
        <v>0</v>
      </c>
      <c r="FH46" s="989">
        <f t="shared" si="217"/>
        <v>0</v>
      </c>
      <c r="FI46" s="989">
        <f t="shared" si="217"/>
        <v>0</v>
      </c>
      <c r="FJ46" s="989">
        <f t="shared" si="217"/>
        <v>0</v>
      </c>
      <c r="FM46" s="1005">
        <v>44</v>
      </c>
      <c r="FN46" s="1003"/>
      <c r="FO46" s="1006"/>
      <c r="FP46" s="1006"/>
      <c r="FQ46" s="1006"/>
      <c r="FR46" s="1006"/>
      <c r="FS46" s="1006"/>
      <c r="FT46" s="1006"/>
      <c r="FU46" s="1006"/>
      <c r="FV46" s="1006"/>
      <c r="FW46" s="1006"/>
      <c r="FX46" s="1006"/>
      <c r="FY46" s="1006"/>
      <c r="FZ46" s="1006"/>
      <c r="GA46" s="1003">
        <v>100</v>
      </c>
      <c r="GB46" s="1004">
        <v>0</v>
      </c>
      <c r="GC46" s="1005">
        <v>44</v>
      </c>
      <c r="GD46" s="2">
        <v>58274.260447433975</v>
      </c>
      <c r="GE46" s="989">
        <f t="shared" si="152"/>
        <v>0</v>
      </c>
      <c r="GF46" s="989">
        <f t="shared" si="153"/>
        <v>0</v>
      </c>
      <c r="GG46" s="989">
        <f t="shared" si="154"/>
        <v>0</v>
      </c>
      <c r="GH46" s="989">
        <f t="shared" si="155"/>
        <v>0</v>
      </c>
      <c r="GI46" s="989">
        <f t="shared" si="156"/>
        <v>0</v>
      </c>
      <c r="GJ46" s="989">
        <f t="shared" si="157"/>
        <v>0</v>
      </c>
      <c r="GK46" s="989">
        <f t="shared" si="158"/>
        <v>0</v>
      </c>
      <c r="GL46" s="989">
        <f t="shared" si="159"/>
        <v>0</v>
      </c>
      <c r="GM46" s="989">
        <f t="shared" si="160"/>
        <v>0</v>
      </c>
      <c r="GN46" s="989">
        <f t="shared" si="161"/>
        <v>0</v>
      </c>
      <c r="GO46" s="989">
        <f t="shared" si="162"/>
        <v>0</v>
      </c>
      <c r="GP46" s="989">
        <f t="shared" si="163"/>
        <v>0</v>
      </c>
      <c r="GQ46" s="989">
        <f t="shared" si="164"/>
        <v>0</v>
      </c>
      <c r="GR46" s="989">
        <f t="shared" si="165"/>
        <v>58274.260447433975</v>
      </c>
      <c r="GX46" s="1036">
        <v>44</v>
      </c>
      <c r="GY46" s="1">
        <v>6486.8372906588429</v>
      </c>
      <c r="HK46" s="1">
        <v>100</v>
      </c>
      <c r="HM46" s="1">
        <f t="shared" si="189"/>
        <v>100</v>
      </c>
      <c r="HN46" s="989">
        <f t="shared" si="67"/>
        <v>0</v>
      </c>
      <c r="HO46" s="989">
        <f t="shared" si="68"/>
        <v>0</v>
      </c>
      <c r="HP46" s="989">
        <f t="shared" si="69"/>
        <v>0</v>
      </c>
      <c r="HQ46" s="989">
        <f t="shared" si="70"/>
        <v>0</v>
      </c>
      <c r="HR46" s="989">
        <f t="shared" si="71"/>
        <v>0</v>
      </c>
      <c r="HS46" s="989">
        <f t="shared" si="72"/>
        <v>0</v>
      </c>
      <c r="HT46" s="989">
        <f t="shared" si="73"/>
        <v>0</v>
      </c>
      <c r="HU46" s="989">
        <f t="shared" si="74"/>
        <v>0</v>
      </c>
      <c r="HV46" s="989">
        <f t="shared" si="75"/>
        <v>0</v>
      </c>
      <c r="HW46" s="989">
        <f t="shared" si="76"/>
        <v>0</v>
      </c>
      <c r="HX46" s="989">
        <f t="shared" si="77"/>
        <v>0</v>
      </c>
      <c r="HY46" s="989">
        <f t="shared" si="78"/>
        <v>6486.8372906588429</v>
      </c>
      <c r="HZ46" s="989">
        <f t="shared" si="79"/>
        <v>0</v>
      </c>
      <c r="IE46" s="1">
        <v>0</v>
      </c>
      <c r="IF46" s="1002">
        <v>39</v>
      </c>
      <c r="IG46" s="553"/>
      <c r="IH46" s="553"/>
      <c r="II46" s="553"/>
      <c r="IJ46" s="553"/>
      <c r="IK46" s="553"/>
      <c r="IL46" s="553"/>
      <c r="IM46" s="553"/>
      <c r="IN46" s="553"/>
      <c r="IO46" s="553">
        <v>50</v>
      </c>
      <c r="IP46" s="553"/>
      <c r="IQ46" s="553">
        <v>50</v>
      </c>
      <c r="IS46" s="1270">
        <v>39</v>
      </c>
      <c r="IT46" s="989">
        <f t="shared" si="214"/>
        <v>0</v>
      </c>
      <c r="IU46" s="989">
        <f t="shared" si="202"/>
        <v>0</v>
      </c>
      <c r="IV46" s="989">
        <f t="shared" si="203"/>
        <v>0</v>
      </c>
      <c r="IW46" s="989">
        <f t="shared" si="204"/>
        <v>0</v>
      </c>
      <c r="IX46" s="989">
        <f t="shared" si="205"/>
        <v>0</v>
      </c>
      <c r="IY46" s="989">
        <f t="shared" si="206"/>
        <v>0</v>
      </c>
      <c r="IZ46" s="989">
        <f t="shared" si="207"/>
        <v>0</v>
      </c>
      <c r="JA46" s="989">
        <f t="shared" si="208"/>
        <v>0</v>
      </c>
      <c r="JB46" s="989">
        <f t="shared" si="209"/>
        <v>0</v>
      </c>
      <c r="JC46" s="989">
        <f t="shared" si="210"/>
        <v>0</v>
      </c>
      <c r="JD46" s="989">
        <f t="shared" si="211"/>
        <v>0</v>
      </c>
      <c r="JE46" s="989">
        <f t="shared" si="215"/>
        <v>0</v>
      </c>
      <c r="JG46" s="1135">
        <v>308975.64134912408</v>
      </c>
      <c r="JH46" s="1002">
        <v>39</v>
      </c>
      <c r="JI46" s="1263"/>
      <c r="JJ46" s="1272"/>
      <c r="JK46" s="1272"/>
      <c r="JL46" s="1272"/>
      <c r="JM46" s="1272"/>
      <c r="JN46" s="1272"/>
      <c r="JO46" s="1272"/>
      <c r="JP46" s="1272"/>
      <c r="JQ46" s="1272">
        <v>33.333333333333336</v>
      </c>
      <c r="JR46" s="1272">
        <v>66.666666666666671</v>
      </c>
      <c r="JS46" s="1272"/>
      <c r="JT46" s="1273"/>
      <c r="JU46" s="1273"/>
      <c r="JW46" s="989">
        <f t="shared" si="103"/>
        <v>0</v>
      </c>
      <c r="JX46" s="989">
        <f t="shared" si="104"/>
        <v>0</v>
      </c>
      <c r="JY46" s="989">
        <f t="shared" si="92"/>
        <v>0</v>
      </c>
      <c r="JZ46" s="989">
        <f t="shared" si="93"/>
        <v>0</v>
      </c>
      <c r="KA46" s="989">
        <f t="shared" si="94"/>
        <v>0</v>
      </c>
      <c r="KB46" s="989">
        <f t="shared" si="95"/>
        <v>0</v>
      </c>
      <c r="KC46" s="989">
        <f t="shared" si="96"/>
        <v>0</v>
      </c>
      <c r="KD46" s="989">
        <f t="shared" si="97"/>
        <v>102991.88044970803</v>
      </c>
      <c r="KE46" s="989">
        <f t="shared" si="98"/>
        <v>205983.76089941605</v>
      </c>
      <c r="KF46" s="989">
        <f t="shared" si="99"/>
        <v>0</v>
      </c>
      <c r="KG46" s="989">
        <f t="shared" si="100"/>
        <v>0</v>
      </c>
      <c r="KJ46" s="192">
        <f t="shared" si="178"/>
        <v>0</v>
      </c>
      <c r="KK46" s="192">
        <f t="shared" si="179"/>
        <v>0</v>
      </c>
      <c r="KL46" s="192">
        <f t="shared" si="180"/>
        <v>0</v>
      </c>
      <c r="KM46" s="192">
        <f t="shared" si="181"/>
        <v>0</v>
      </c>
      <c r="KN46" s="192">
        <f t="shared" si="182"/>
        <v>0</v>
      </c>
      <c r="KO46" s="192">
        <f t="shared" si="183"/>
        <v>0</v>
      </c>
      <c r="KP46" s="192">
        <f t="shared" si="184"/>
        <v>0</v>
      </c>
      <c r="KQ46" s="192">
        <f t="shared" si="185"/>
        <v>102991.88044970803</v>
      </c>
      <c r="KR46" s="192">
        <f t="shared" si="186"/>
        <v>205983.76089941605</v>
      </c>
      <c r="KS46" s="192">
        <f t="shared" si="187"/>
        <v>0</v>
      </c>
      <c r="KT46" s="192">
        <f t="shared" si="188"/>
        <v>0</v>
      </c>
      <c r="KV46" s="1036">
        <v>44</v>
      </c>
      <c r="KW46" s="2">
        <v>9397.9542488741336</v>
      </c>
      <c r="KX46" s="1">
        <v>0</v>
      </c>
      <c r="KY46" s="1">
        <v>0</v>
      </c>
      <c r="KZ46" s="1">
        <v>0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0</v>
      </c>
      <c r="LG46" s="1">
        <v>0</v>
      </c>
      <c r="LH46" s="1">
        <v>100</v>
      </c>
      <c r="LJ46" s="989">
        <f t="shared" si="141"/>
        <v>0</v>
      </c>
      <c r="LK46" s="989">
        <f t="shared" si="142"/>
        <v>0</v>
      </c>
      <c r="LL46" s="989">
        <f t="shared" si="143"/>
        <v>0</v>
      </c>
      <c r="LM46" s="989">
        <f t="shared" si="144"/>
        <v>0</v>
      </c>
      <c r="LN46" s="989">
        <f t="shared" si="145"/>
        <v>0</v>
      </c>
      <c r="LO46" s="989">
        <f t="shared" si="146"/>
        <v>0</v>
      </c>
      <c r="LP46" s="989">
        <f t="shared" si="147"/>
        <v>0</v>
      </c>
      <c r="LQ46" s="989">
        <f t="shared" si="148"/>
        <v>0</v>
      </c>
      <c r="LR46" s="989">
        <f t="shared" si="149"/>
        <v>0</v>
      </c>
      <c r="LS46" s="989">
        <f t="shared" si="150"/>
        <v>0</v>
      </c>
      <c r="LT46" s="989">
        <f t="shared" si="151"/>
        <v>9397.9542488741336</v>
      </c>
      <c r="LV46" s="2">
        <v>0</v>
      </c>
      <c r="MG46" s="1446">
        <v>100</v>
      </c>
      <c r="MH46" s="1">
        <f t="shared" si="166"/>
        <v>100</v>
      </c>
      <c r="MI46" s="989">
        <f t="shared" si="167"/>
        <v>0</v>
      </c>
      <c r="MJ46" s="989">
        <f t="shared" si="168"/>
        <v>0</v>
      </c>
      <c r="MK46" s="989">
        <f t="shared" si="169"/>
        <v>0</v>
      </c>
      <c r="ML46" s="989">
        <f t="shared" si="170"/>
        <v>0</v>
      </c>
      <c r="MM46" s="989">
        <f t="shared" si="171"/>
        <v>0</v>
      </c>
      <c r="MN46" s="989">
        <f t="shared" si="172"/>
        <v>0</v>
      </c>
      <c r="MO46" s="989">
        <f t="shared" si="173"/>
        <v>0</v>
      </c>
      <c r="MP46" s="989">
        <f t="shared" si="174"/>
        <v>0</v>
      </c>
      <c r="MQ46" s="989">
        <f t="shared" si="175"/>
        <v>0</v>
      </c>
      <c r="MR46" s="989">
        <f t="shared" si="176"/>
        <v>0</v>
      </c>
      <c r="MS46" s="989">
        <f t="shared" si="177"/>
        <v>0</v>
      </c>
      <c r="MU46" s="1036">
        <v>44</v>
      </c>
      <c r="MV46" s="57">
        <v>0</v>
      </c>
    </row>
    <row r="47" spans="1:384" ht="14.4" thickTop="1" thickBot="1">
      <c r="A47" s="1822">
        <v>46</v>
      </c>
      <c r="B47" s="1199"/>
      <c r="C47" s="1134">
        <v>0</v>
      </c>
      <c r="D47" s="1199">
        <v>0</v>
      </c>
      <c r="E47" s="20"/>
      <c r="F47" s="1843">
        <f t="shared" si="12"/>
        <v>0</v>
      </c>
      <c r="G47"/>
      <c r="H47"/>
      <c r="I47"/>
      <c r="J47"/>
      <c r="K47"/>
      <c r="L47"/>
      <c r="M47"/>
      <c r="N47" s="20"/>
      <c r="T47" s="114" t="s">
        <v>45</v>
      </c>
      <c r="U47" s="2">
        <f>SUM(U6:U46)</f>
        <v>2718574.5691377949</v>
      </c>
      <c r="V47" s="2">
        <f t="shared" ref="V47:AE47" si="218">SUM(V6:V46)</f>
        <v>13412851.557880819</v>
      </c>
      <c r="W47" s="2">
        <f t="shared" si="218"/>
        <v>30749451.432609953</v>
      </c>
      <c r="X47" s="2">
        <f t="shared" si="218"/>
        <v>84688931.184232682</v>
      </c>
      <c r="Y47" s="2">
        <f t="shared" si="218"/>
        <v>60797179.420434818</v>
      </c>
      <c r="Z47" s="2">
        <f t="shared" si="218"/>
        <v>21786589.919984538</v>
      </c>
      <c r="AA47" s="2">
        <f t="shared" si="218"/>
        <v>23623430.982602067</v>
      </c>
      <c r="AB47" s="2">
        <f t="shared" si="218"/>
        <v>24281932.148396179</v>
      </c>
      <c r="AC47" s="2">
        <f t="shared" si="218"/>
        <v>9978766.344918156</v>
      </c>
      <c r="AD47" s="2">
        <f t="shared" si="218"/>
        <v>2038063.7144656798</v>
      </c>
      <c r="AE47" s="2">
        <f t="shared" si="218"/>
        <v>0</v>
      </c>
      <c r="AF47" s="1854"/>
      <c r="AG47" s="1724">
        <f>SUM(AG6:AG44)</f>
        <v>38276611.758202001</v>
      </c>
      <c r="AH47" s="1724">
        <f t="shared" ref="AH47:AP47" si="219">SUM(AH6:AH44)</f>
        <v>248949501.56565285</v>
      </c>
      <c r="AI47" s="1724">
        <f t="shared" si="219"/>
        <v>670397507.4323678</v>
      </c>
      <c r="AJ47" s="1724">
        <f t="shared" si="219"/>
        <v>2054900207.7821391</v>
      </c>
      <c r="AK47" s="1724">
        <f t="shared" si="219"/>
        <v>1617618582.0766025</v>
      </c>
      <c r="AL47" s="1724">
        <f t="shared" si="219"/>
        <v>629037412.7021693</v>
      </c>
      <c r="AM47" s="1724">
        <f t="shared" si="219"/>
        <v>765740692.37083304</v>
      </c>
      <c r="AN47" s="1724">
        <f t="shared" si="219"/>
        <v>836313461.97057188</v>
      </c>
      <c r="AO47" s="1724">
        <f t="shared" si="219"/>
        <v>356697715.80871069</v>
      </c>
      <c r="AP47" s="1724">
        <f t="shared" si="219"/>
        <v>78454769.284516364</v>
      </c>
      <c r="AR47" s="1822">
        <v>46</v>
      </c>
      <c r="AS47" s="1199"/>
      <c r="AT47" s="1">
        <v>0</v>
      </c>
      <c r="AU47" s="1">
        <v>0</v>
      </c>
      <c r="AV47" s="20"/>
      <c r="AW47" s="1843">
        <f t="shared" si="33"/>
        <v>0</v>
      </c>
      <c r="AX47"/>
      <c r="AY47"/>
      <c r="AZ47"/>
      <c r="BA47"/>
      <c r="BB47"/>
      <c r="BC47"/>
      <c r="BD47"/>
      <c r="BE47" s="20"/>
      <c r="BK47" s="114" t="s">
        <v>45</v>
      </c>
      <c r="BL47" s="2">
        <f>SUM(BL6:BL46)</f>
        <v>395636827.02624184</v>
      </c>
      <c r="BM47" s="2">
        <f t="shared" ref="BM47:BV47" si="220">SUM(BM6:BM46)</f>
        <v>62837372.964293242</v>
      </c>
      <c r="BN47" s="2">
        <f t="shared" si="220"/>
        <v>70874118.151443094</v>
      </c>
      <c r="BO47" s="2">
        <f t="shared" si="220"/>
        <v>48139196.316274494</v>
      </c>
      <c r="BP47" s="2">
        <f t="shared" si="220"/>
        <v>22864811.363463972</v>
      </c>
      <c r="BQ47" s="2">
        <f t="shared" si="220"/>
        <v>19513112.065309651</v>
      </c>
      <c r="BR47" s="2">
        <f t="shared" si="220"/>
        <v>8776055.9306886569</v>
      </c>
      <c r="BS47" s="2">
        <f t="shared" si="220"/>
        <v>4582359.6228738185</v>
      </c>
      <c r="BT47" s="2">
        <f t="shared" si="220"/>
        <v>16611712.391165191</v>
      </c>
      <c r="BU47" s="2">
        <f t="shared" si="220"/>
        <v>0</v>
      </c>
      <c r="BV47" s="2">
        <f t="shared" si="220"/>
        <v>0</v>
      </c>
      <c r="BW47" s="1854"/>
      <c r="BX47" s="1724">
        <f>SUM(BX6:BX44)</f>
        <v>5127279084.1242104</v>
      </c>
      <c r="BY47" s="1724">
        <f t="shared" ref="BY47:CG47" si="221">SUM(BY6:BY44)</f>
        <v>922005040.5100522</v>
      </c>
      <c r="BZ47" s="1724">
        <f t="shared" si="221"/>
        <v>1440234791.1849406</v>
      </c>
      <c r="CA47" s="1724">
        <f t="shared" si="221"/>
        <v>1111113174.1860094</v>
      </c>
      <c r="CB47" s="1724">
        <f t="shared" si="221"/>
        <v>590191443.32710564</v>
      </c>
      <c r="CC47" s="1724">
        <f t="shared" si="221"/>
        <v>567395319.64071834</v>
      </c>
      <c r="CD47" s="1724">
        <f t="shared" si="221"/>
        <v>272622345.83451748</v>
      </c>
      <c r="CE47" s="1724">
        <f t="shared" si="221"/>
        <v>149921307.0231961</v>
      </c>
      <c r="CF47" s="1724">
        <f t="shared" si="221"/>
        <v>600864089.33615804</v>
      </c>
      <c r="CG47" s="1724">
        <f t="shared" si="221"/>
        <v>0</v>
      </c>
      <c r="CH47" s="75"/>
      <c r="CI47" s="1" t="s">
        <v>611</v>
      </c>
      <c r="CJ47" s="1">
        <v>25.812215720711411</v>
      </c>
      <c r="CM47" s="638"/>
      <c r="CN47" s="1847">
        <v>44</v>
      </c>
      <c r="CO47" s="1851"/>
      <c r="CP47" s="638"/>
      <c r="CQ47" s="638"/>
      <c r="CR47" s="646">
        <f t="shared" si="63"/>
        <v>0</v>
      </c>
      <c r="CS47" s="1141"/>
      <c r="CT47" s="641"/>
      <c r="CU47" s="641"/>
      <c r="CV47" s="641"/>
      <c r="CW47" s="641"/>
      <c r="CX47" s="641"/>
      <c r="CY47" s="641"/>
      <c r="CZ47" s="641"/>
      <c r="DA47" s="646"/>
      <c r="DB47" s="638"/>
      <c r="DC47" s="638"/>
      <c r="DD47" s="638"/>
      <c r="DE47" s="638"/>
      <c r="DF47" s="638"/>
      <c r="DG47" s="647">
        <v>44</v>
      </c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451"/>
      <c r="DS47" s="1847">
        <v>44</v>
      </c>
      <c r="DT47" s="192">
        <f t="shared" si="190"/>
        <v>0</v>
      </c>
      <c r="DU47" s="192">
        <f t="shared" si="191"/>
        <v>0</v>
      </c>
      <c r="DV47" s="192">
        <f t="shared" si="192"/>
        <v>0</v>
      </c>
      <c r="DW47" s="192">
        <f t="shared" si="193"/>
        <v>0</v>
      </c>
      <c r="DX47" s="192">
        <f t="shared" si="194"/>
        <v>0</v>
      </c>
      <c r="DY47" s="192">
        <f t="shared" si="195"/>
        <v>0</v>
      </c>
      <c r="DZ47" s="192">
        <f t="shared" si="196"/>
        <v>0</v>
      </c>
      <c r="EA47" s="192">
        <f t="shared" si="197"/>
        <v>0</v>
      </c>
      <c r="EB47" s="192">
        <f t="shared" si="198"/>
        <v>0</v>
      </c>
      <c r="EC47" s="192">
        <f t="shared" si="199"/>
        <v>0</v>
      </c>
      <c r="ED47" s="192">
        <f t="shared" si="200"/>
        <v>0</v>
      </c>
      <c r="EE47" s="667">
        <f t="shared" si="46"/>
        <v>0</v>
      </c>
      <c r="EH47" s="979">
        <v>45</v>
      </c>
      <c r="ES47" s="1">
        <v>100</v>
      </c>
      <c r="EX47" s="992">
        <v>100</v>
      </c>
      <c r="EY47" s="989">
        <v>0</v>
      </c>
      <c r="EZ47" s="989">
        <f>(EI47*$EY47)/100</f>
        <v>0</v>
      </c>
      <c r="FA47" s="989">
        <f t="shared" si="217"/>
        <v>0</v>
      </c>
      <c r="FB47" s="989">
        <f t="shared" si="217"/>
        <v>0</v>
      </c>
      <c r="FC47" s="989">
        <f t="shared" si="217"/>
        <v>0</v>
      </c>
      <c r="FD47" s="989">
        <f t="shared" si="217"/>
        <v>0</v>
      </c>
      <c r="FE47" s="989">
        <f t="shared" si="217"/>
        <v>0</v>
      </c>
      <c r="FF47" s="989">
        <f t="shared" si="217"/>
        <v>0</v>
      </c>
      <c r="FG47" s="989">
        <f t="shared" si="217"/>
        <v>0</v>
      </c>
      <c r="FH47" s="989">
        <f t="shared" si="217"/>
        <v>0</v>
      </c>
      <c r="FI47" s="989">
        <f t="shared" si="217"/>
        <v>0</v>
      </c>
      <c r="FJ47" s="989">
        <f t="shared" si="217"/>
        <v>0</v>
      </c>
      <c r="FM47" s="1002">
        <v>45</v>
      </c>
      <c r="FN47" s="1003"/>
      <c r="FO47" s="1003"/>
      <c r="FP47" s="1003"/>
      <c r="FQ47" s="1003"/>
      <c r="FR47" s="1003"/>
      <c r="FS47" s="1003"/>
      <c r="FT47" s="1003"/>
      <c r="FU47" s="1003"/>
      <c r="FV47" s="1003"/>
      <c r="FW47" s="1003"/>
      <c r="FX47" s="1003"/>
      <c r="FY47" s="1003"/>
      <c r="FZ47" s="1003"/>
      <c r="GA47" s="1003">
        <v>100</v>
      </c>
      <c r="GB47" s="1004">
        <v>0</v>
      </c>
      <c r="GC47" s="1002">
        <v>45</v>
      </c>
      <c r="GD47" s="2">
        <v>58939.491827793754</v>
      </c>
      <c r="GE47" s="989">
        <f t="shared" si="152"/>
        <v>0</v>
      </c>
      <c r="GF47" s="989">
        <f t="shared" si="153"/>
        <v>0</v>
      </c>
      <c r="GG47" s="989">
        <f t="shared" si="154"/>
        <v>0</v>
      </c>
      <c r="GH47" s="989">
        <f t="shared" si="155"/>
        <v>0</v>
      </c>
      <c r="GI47" s="989">
        <f t="shared" si="156"/>
        <v>0</v>
      </c>
      <c r="GJ47" s="989">
        <f t="shared" si="157"/>
        <v>0</v>
      </c>
      <c r="GK47" s="989">
        <f t="shared" si="158"/>
        <v>0</v>
      </c>
      <c r="GL47" s="989">
        <f t="shared" si="159"/>
        <v>0</v>
      </c>
      <c r="GM47" s="989">
        <f t="shared" si="160"/>
        <v>0</v>
      </c>
      <c r="GN47" s="989">
        <f t="shared" si="161"/>
        <v>0</v>
      </c>
      <c r="GO47" s="989">
        <f t="shared" si="162"/>
        <v>0</v>
      </c>
      <c r="GP47" s="989">
        <f t="shared" si="163"/>
        <v>0</v>
      </c>
      <c r="GQ47" s="989">
        <f t="shared" si="164"/>
        <v>0</v>
      </c>
      <c r="GR47" s="989">
        <f t="shared" si="165"/>
        <v>58939.491827793754</v>
      </c>
      <c r="GX47" s="1036">
        <v>45</v>
      </c>
      <c r="GZ47" s="1044"/>
      <c r="HA47" s="1035"/>
      <c r="HB47" s="1045"/>
      <c r="HC47" s="1045"/>
      <c r="HD47" s="1045"/>
      <c r="HE47" s="1045"/>
      <c r="HF47" s="1045"/>
      <c r="HG47" s="1045"/>
      <c r="HH47" s="1045"/>
      <c r="HI47" s="1045"/>
      <c r="HJ47" s="1045"/>
      <c r="HK47" s="1046"/>
      <c r="HL47" s="1047"/>
      <c r="HM47" s="1048"/>
      <c r="HN47" s="989">
        <f t="shared" ref="HN47:HZ47" si="222">SUM(HN8:HN46)/1000</f>
        <v>36972.696682113143</v>
      </c>
      <c r="HO47" s="989">
        <f t="shared" si="222"/>
        <v>64874.200711022102</v>
      </c>
      <c r="HP47" s="989">
        <f t="shared" si="222"/>
        <v>76548.881022511501</v>
      </c>
      <c r="HQ47" s="989">
        <f t="shared" si="222"/>
        <v>124601.62237534074</v>
      </c>
      <c r="HR47" s="989">
        <f t="shared" si="222"/>
        <v>66205.584607156328</v>
      </c>
      <c r="HS47" s="989">
        <f t="shared" si="222"/>
        <v>35888.089035878387</v>
      </c>
      <c r="HT47" s="989">
        <f t="shared" si="222"/>
        <v>23926.692579790462</v>
      </c>
      <c r="HU47" s="989">
        <f t="shared" si="222"/>
        <v>8890.9612749364278</v>
      </c>
      <c r="HV47" s="989">
        <f t="shared" si="222"/>
        <v>2632.7161974190708</v>
      </c>
      <c r="HW47" s="989">
        <f t="shared" si="222"/>
        <v>1112.7979443191955</v>
      </c>
      <c r="HX47" s="989">
        <f t="shared" si="222"/>
        <v>445.16795787736572</v>
      </c>
      <c r="HY47" s="989">
        <f t="shared" si="222"/>
        <v>213.38658412251144</v>
      </c>
      <c r="HZ47" s="989">
        <f t="shared" si="222"/>
        <v>0</v>
      </c>
      <c r="IA47" s="2">
        <f>SUM(HV47:HZ47)</f>
        <v>4404.0686837381436</v>
      </c>
      <c r="IE47" s="1">
        <v>0</v>
      </c>
      <c r="IF47" s="1005">
        <v>40</v>
      </c>
      <c r="IG47" s="553"/>
      <c r="IH47" s="553"/>
      <c r="II47" s="553"/>
      <c r="IJ47" s="553"/>
      <c r="IK47" s="553"/>
      <c r="IL47" s="553"/>
      <c r="IM47" s="553"/>
      <c r="IN47" s="553"/>
      <c r="IO47" s="553"/>
      <c r="IP47" s="553"/>
      <c r="IQ47" s="553">
        <v>100</v>
      </c>
      <c r="IS47" s="1270">
        <v>40</v>
      </c>
      <c r="IT47" s="989">
        <f t="shared" si="214"/>
        <v>0</v>
      </c>
      <c r="IU47" s="989">
        <f t="shared" si="202"/>
        <v>0</v>
      </c>
      <c r="IV47" s="989">
        <f t="shared" si="203"/>
        <v>0</v>
      </c>
      <c r="IW47" s="989">
        <f t="shared" si="204"/>
        <v>0</v>
      </c>
      <c r="IX47" s="989">
        <f t="shared" si="205"/>
        <v>0</v>
      </c>
      <c r="IY47" s="989">
        <f t="shared" si="206"/>
        <v>0</v>
      </c>
      <c r="IZ47" s="989">
        <f t="shared" si="207"/>
        <v>0</v>
      </c>
      <c r="JA47" s="989">
        <f t="shared" si="208"/>
        <v>0</v>
      </c>
      <c r="JB47" s="989">
        <f t="shared" si="209"/>
        <v>0</v>
      </c>
      <c r="JC47" s="989">
        <f t="shared" si="210"/>
        <v>0</v>
      </c>
      <c r="JD47" s="989">
        <f t="shared" si="211"/>
        <v>0</v>
      </c>
      <c r="JE47" s="989">
        <f t="shared" si="215"/>
        <v>0</v>
      </c>
      <c r="JG47" s="1135">
        <v>332787.73440089659</v>
      </c>
      <c r="JH47" s="1002">
        <v>40</v>
      </c>
      <c r="JI47" s="1263"/>
      <c r="JJ47" s="1272"/>
      <c r="JK47" s="1272"/>
      <c r="JL47" s="1272"/>
      <c r="JM47" s="1272"/>
      <c r="JN47" s="1272"/>
      <c r="JO47" s="1272"/>
      <c r="JP47" s="1272"/>
      <c r="JQ47" s="1272"/>
      <c r="JR47" s="1272">
        <v>100</v>
      </c>
      <c r="JS47" s="1272"/>
      <c r="JT47" s="1273"/>
      <c r="JU47" s="1273"/>
      <c r="JW47" s="989">
        <f t="shared" si="103"/>
        <v>0</v>
      </c>
      <c r="JX47" s="989">
        <f t="shared" si="104"/>
        <v>0</v>
      </c>
      <c r="JY47" s="989">
        <f t="shared" si="92"/>
        <v>0</v>
      </c>
      <c r="JZ47" s="989">
        <f t="shared" si="93"/>
        <v>0</v>
      </c>
      <c r="KA47" s="989">
        <f t="shared" si="94"/>
        <v>0</v>
      </c>
      <c r="KB47" s="989">
        <f t="shared" si="95"/>
        <v>0</v>
      </c>
      <c r="KC47" s="989">
        <f t="shared" si="96"/>
        <v>0</v>
      </c>
      <c r="KD47" s="989">
        <f t="shared" si="97"/>
        <v>0</v>
      </c>
      <c r="KE47" s="989">
        <f t="shared" si="98"/>
        <v>332787.73440089659</v>
      </c>
      <c r="KF47" s="989">
        <f t="shared" si="99"/>
        <v>0</v>
      </c>
      <c r="KG47" s="989">
        <f t="shared" si="100"/>
        <v>0</v>
      </c>
      <c r="KJ47" s="192">
        <f t="shared" si="178"/>
        <v>0</v>
      </c>
      <c r="KK47" s="192">
        <f t="shared" si="179"/>
        <v>0</v>
      </c>
      <c r="KL47" s="192">
        <f t="shared" si="180"/>
        <v>0</v>
      </c>
      <c r="KM47" s="192">
        <f t="shared" si="181"/>
        <v>0</v>
      </c>
      <c r="KN47" s="192">
        <f t="shared" si="182"/>
        <v>0</v>
      </c>
      <c r="KO47" s="192">
        <f t="shared" si="183"/>
        <v>0</v>
      </c>
      <c r="KP47" s="192">
        <f t="shared" si="184"/>
        <v>0</v>
      </c>
      <c r="KQ47" s="192">
        <f t="shared" si="185"/>
        <v>0</v>
      </c>
      <c r="KR47" s="192">
        <f t="shared" si="186"/>
        <v>332787.73440089659</v>
      </c>
      <c r="KS47" s="192">
        <f t="shared" si="187"/>
        <v>0</v>
      </c>
      <c r="KT47" s="192">
        <f t="shared" si="188"/>
        <v>0</v>
      </c>
      <c r="KV47" s="1036">
        <v>45</v>
      </c>
      <c r="KW47" s="2">
        <v>6548.3470616418745</v>
      </c>
      <c r="KX47" s="1">
        <v>0</v>
      </c>
      <c r="KY47" s="1">
        <v>0</v>
      </c>
      <c r="KZ47" s="1">
        <v>0</v>
      </c>
      <c r="LA47" s="1">
        <v>0</v>
      </c>
      <c r="LB47" s="1">
        <v>0</v>
      </c>
      <c r="LC47" s="1">
        <v>0</v>
      </c>
      <c r="LD47" s="1">
        <v>0</v>
      </c>
      <c r="LE47" s="1">
        <v>0</v>
      </c>
      <c r="LF47" s="1">
        <v>0</v>
      </c>
      <c r="LG47" s="1">
        <v>0</v>
      </c>
      <c r="LH47" s="1">
        <v>100</v>
      </c>
      <c r="LJ47" s="989">
        <f t="shared" si="141"/>
        <v>0</v>
      </c>
      <c r="LK47" s="989">
        <f t="shared" si="142"/>
        <v>0</v>
      </c>
      <c r="LL47" s="989">
        <f t="shared" si="143"/>
        <v>0</v>
      </c>
      <c r="LM47" s="989">
        <f t="shared" si="144"/>
        <v>0</v>
      </c>
      <c r="LN47" s="989">
        <f t="shared" si="145"/>
        <v>0</v>
      </c>
      <c r="LO47" s="989">
        <f t="shared" si="146"/>
        <v>0</v>
      </c>
      <c r="LP47" s="989">
        <f t="shared" si="147"/>
        <v>0</v>
      </c>
      <c r="LQ47" s="989">
        <f t="shared" si="148"/>
        <v>0</v>
      </c>
      <c r="LR47" s="989">
        <f t="shared" si="149"/>
        <v>0</v>
      </c>
      <c r="LS47" s="989">
        <f t="shared" si="150"/>
        <v>0</v>
      </c>
      <c r="LT47" s="989">
        <f t="shared" si="151"/>
        <v>6548.3470616418745</v>
      </c>
      <c r="LV47" s="2">
        <v>0</v>
      </c>
      <c r="MG47" s="1446">
        <v>100</v>
      </c>
      <c r="MH47" s="1">
        <f t="shared" si="166"/>
        <v>100</v>
      </c>
      <c r="MI47" s="989">
        <f t="shared" si="167"/>
        <v>0</v>
      </c>
      <c r="MJ47" s="989">
        <f t="shared" si="168"/>
        <v>0</v>
      </c>
      <c r="MK47" s="989">
        <f t="shared" si="169"/>
        <v>0</v>
      </c>
      <c r="ML47" s="989">
        <f t="shared" si="170"/>
        <v>0</v>
      </c>
      <c r="MM47" s="989">
        <f t="shared" si="171"/>
        <v>0</v>
      </c>
      <c r="MN47" s="989">
        <f t="shared" si="172"/>
        <v>0</v>
      </c>
      <c r="MO47" s="989">
        <f t="shared" si="173"/>
        <v>0</v>
      </c>
      <c r="MP47" s="989">
        <f t="shared" si="174"/>
        <v>0</v>
      </c>
      <c r="MQ47" s="989">
        <f t="shared" si="175"/>
        <v>0</v>
      </c>
      <c r="MR47" s="989">
        <f t="shared" si="176"/>
        <v>0</v>
      </c>
      <c r="MS47" s="989">
        <f t="shared" si="177"/>
        <v>0</v>
      </c>
      <c r="MU47" s="1036">
        <v>45</v>
      </c>
      <c r="MV47" s="57">
        <v>0</v>
      </c>
    </row>
    <row r="48" spans="1:384" ht="15" thickTop="1" thickBot="1">
      <c r="A48" s="1822">
        <v>47</v>
      </c>
      <c r="B48" s="1134"/>
      <c r="C48" s="1855">
        <v>0</v>
      </c>
      <c r="D48" s="1199">
        <v>0</v>
      </c>
      <c r="E48" s="116"/>
      <c r="F48" s="1843">
        <f t="shared" si="12"/>
        <v>0</v>
      </c>
      <c r="P48" s="104" t="s">
        <v>612</v>
      </c>
      <c r="Q48" s="103">
        <v>9.7999999999999997E-3</v>
      </c>
      <c r="T48" s="114" t="s">
        <v>613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1854"/>
      <c r="AG48" s="1854">
        <f>U47</f>
        <v>2718574.5691377949</v>
      </c>
      <c r="AH48" s="1854">
        <f t="shared" ref="AH48:AP48" si="223">V47</f>
        <v>13412851.557880819</v>
      </c>
      <c r="AI48" s="1854">
        <f t="shared" si="223"/>
        <v>30749451.432609953</v>
      </c>
      <c r="AJ48" s="1854">
        <f t="shared" si="223"/>
        <v>84688931.184232682</v>
      </c>
      <c r="AK48" s="1854">
        <f t="shared" si="223"/>
        <v>60797179.420434818</v>
      </c>
      <c r="AL48" s="1854">
        <f t="shared" si="223"/>
        <v>21786589.919984538</v>
      </c>
      <c r="AM48" s="1854">
        <f t="shared" si="223"/>
        <v>23623430.982602067</v>
      </c>
      <c r="AN48" s="1854">
        <f t="shared" si="223"/>
        <v>24281932.148396179</v>
      </c>
      <c r="AO48" s="1854">
        <f t="shared" si="223"/>
        <v>9978766.344918156</v>
      </c>
      <c r="AP48" s="1854">
        <f t="shared" si="223"/>
        <v>2038063.7144656798</v>
      </c>
      <c r="AQ48" s="74"/>
      <c r="AR48" s="1822">
        <v>47</v>
      </c>
      <c r="AS48" s="1134"/>
      <c r="AT48" s="1">
        <v>0</v>
      </c>
      <c r="AU48" s="1">
        <v>0</v>
      </c>
      <c r="AV48" s="116"/>
      <c r="AW48" s="1843">
        <f t="shared" si="33"/>
        <v>0</v>
      </c>
      <c r="BG48" s="104" t="s">
        <v>612</v>
      </c>
      <c r="BH48" s="103">
        <v>9.7999999999999997E-3</v>
      </c>
      <c r="BK48" s="114" t="s">
        <v>613</v>
      </c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1854"/>
      <c r="BX48" s="1854">
        <f t="shared" ref="BX48:CG48" si="224">BL47</f>
        <v>395636827.02624184</v>
      </c>
      <c r="BY48" s="1854">
        <f t="shared" si="224"/>
        <v>62837372.964293242</v>
      </c>
      <c r="BZ48" s="1854">
        <f t="shared" si="224"/>
        <v>70874118.151443094</v>
      </c>
      <c r="CA48" s="1854">
        <f t="shared" si="224"/>
        <v>48139196.316274494</v>
      </c>
      <c r="CB48" s="1854">
        <f t="shared" si="224"/>
        <v>22864811.363463972</v>
      </c>
      <c r="CC48" s="1854">
        <f t="shared" si="224"/>
        <v>19513112.065309651</v>
      </c>
      <c r="CD48" s="1854">
        <f t="shared" si="224"/>
        <v>8776055.9306886569</v>
      </c>
      <c r="CE48" s="1854">
        <f t="shared" si="224"/>
        <v>4582359.6228738185</v>
      </c>
      <c r="CF48" s="1854">
        <f t="shared" si="224"/>
        <v>16611712.391165191</v>
      </c>
      <c r="CG48" s="1854">
        <f t="shared" si="224"/>
        <v>0</v>
      </c>
      <c r="CH48" s="74"/>
      <c r="CI48" s="1" t="s">
        <v>614</v>
      </c>
      <c r="CJ48" s="1">
        <v>29.077643675784138</v>
      </c>
      <c r="CM48" s="638"/>
      <c r="CN48" s="1847">
        <v>45</v>
      </c>
      <c r="CO48" s="1851"/>
      <c r="CP48" s="638"/>
      <c r="CQ48" s="638"/>
      <c r="CR48" s="646">
        <f t="shared" si="63"/>
        <v>0</v>
      </c>
      <c r="CS48" s="1141"/>
      <c r="CT48" s="641"/>
      <c r="CU48" s="641"/>
      <c r="CV48" s="641"/>
      <c r="CW48" s="641"/>
      <c r="CX48" s="641"/>
      <c r="CY48" s="641"/>
      <c r="CZ48" s="641"/>
      <c r="DA48" s="646"/>
      <c r="DB48" s="638"/>
      <c r="DC48" s="638"/>
      <c r="DD48" s="638"/>
      <c r="DE48" s="638"/>
      <c r="DF48" s="638"/>
      <c r="DG48" s="647">
        <v>45</v>
      </c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451"/>
      <c r="DS48" s="1847">
        <v>45</v>
      </c>
      <c r="DT48" s="192">
        <f t="shared" si="190"/>
        <v>0</v>
      </c>
      <c r="DU48" s="192">
        <f t="shared" si="191"/>
        <v>0</v>
      </c>
      <c r="DV48" s="192">
        <f t="shared" si="192"/>
        <v>0</v>
      </c>
      <c r="DW48" s="192">
        <f t="shared" si="193"/>
        <v>0</v>
      </c>
      <c r="DX48" s="192">
        <f t="shared" si="194"/>
        <v>0</v>
      </c>
      <c r="DY48" s="192">
        <f t="shared" si="195"/>
        <v>0</v>
      </c>
      <c r="DZ48" s="192">
        <f t="shared" si="196"/>
        <v>0</v>
      </c>
      <c r="EA48" s="192">
        <f t="shared" si="197"/>
        <v>0</v>
      </c>
      <c r="EB48" s="192">
        <f t="shared" si="198"/>
        <v>0</v>
      </c>
      <c r="EC48" s="192">
        <f t="shared" si="199"/>
        <v>0</v>
      </c>
      <c r="ED48" s="192">
        <f t="shared" si="200"/>
        <v>0</v>
      </c>
      <c r="EE48" s="667">
        <f t="shared" si="46"/>
        <v>0</v>
      </c>
      <c r="EH48" s="968" t="s">
        <v>615</v>
      </c>
      <c r="EI48" s="980">
        <v>0</v>
      </c>
      <c r="EJ48" s="981">
        <v>0</v>
      </c>
      <c r="EK48" s="982">
        <v>0</v>
      </c>
      <c r="EL48" s="982">
        <v>0</v>
      </c>
      <c r="EM48" s="982">
        <v>0</v>
      </c>
      <c r="EN48" s="982">
        <v>0</v>
      </c>
      <c r="EO48" s="982">
        <v>0</v>
      </c>
      <c r="EP48" s="982">
        <v>0</v>
      </c>
      <c r="EQ48" s="982">
        <v>0</v>
      </c>
      <c r="ER48" s="982">
        <v>0</v>
      </c>
      <c r="ES48" s="982">
        <v>0</v>
      </c>
      <c r="EX48" s="993">
        <v>100</v>
      </c>
      <c r="EY48" s="989">
        <v>0</v>
      </c>
      <c r="EZ48" s="989">
        <f t="shared" ref="EZ48:FJ48" si="225">SUM(EZ9:EZ47)/1000</f>
        <v>176179.25851370167</v>
      </c>
      <c r="FA48" s="989">
        <f t="shared" si="225"/>
        <v>81045.927900111987</v>
      </c>
      <c r="FB48" s="989">
        <f t="shared" si="225"/>
        <v>55042.175825424827</v>
      </c>
      <c r="FC48" s="989">
        <f t="shared" si="225"/>
        <v>71932.623274575031</v>
      </c>
      <c r="FD48" s="989">
        <f t="shared" si="225"/>
        <v>27895.681056217854</v>
      </c>
      <c r="FE48" s="989">
        <f t="shared" si="225"/>
        <v>5622.192039202082</v>
      </c>
      <c r="FF48" s="989">
        <f t="shared" si="225"/>
        <v>3286.5692877576566</v>
      </c>
      <c r="FG48" s="989">
        <f t="shared" si="225"/>
        <v>1192.9051517914447</v>
      </c>
      <c r="FH48" s="1020">
        <f t="shared" si="225"/>
        <v>428.96669446381043</v>
      </c>
      <c r="FI48" s="1020">
        <f t="shared" si="225"/>
        <v>72.591833139830698</v>
      </c>
      <c r="FJ48" s="1020">
        <f t="shared" si="225"/>
        <v>7.8772927278624705</v>
      </c>
      <c r="FK48" s="74">
        <f>SUM(FH48:FJ48)</f>
        <v>509.43582033150358</v>
      </c>
      <c r="FM48" s="1002">
        <v>46</v>
      </c>
      <c r="FN48" s="1003"/>
      <c r="FO48" s="1003"/>
      <c r="FP48" s="1003"/>
      <c r="FQ48" s="1003"/>
      <c r="FR48" s="1003"/>
      <c r="FS48" s="1003"/>
      <c r="FT48" s="1003"/>
      <c r="FU48" s="1003"/>
      <c r="FV48" s="1003"/>
      <c r="FW48" s="1003"/>
      <c r="FX48" s="1003"/>
      <c r="FY48" s="1003"/>
      <c r="FZ48" s="1003"/>
      <c r="GA48" s="1003">
        <v>100</v>
      </c>
      <c r="GB48" s="1004">
        <v>100</v>
      </c>
      <c r="GC48" s="1002">
        <v>46</v>
      </c>
      <c r="GD48" s="2">
        <v>3630.3162643117403</v>
      </c>
      <c r="GE48" s="989">
        <f t="shared" si="152"/>
        <v>0</v>
      </c>
      <c r="GF48" s="989">
        <f t="shared" si="153"/>
        <v>0</v>
      </c>
      <c r="GG48" s="989">
        <f t="shared" si="154"/>
        <v>0</v>
      </c>
      <c r="GH48" s="989">
        <f t="shared" si="155"/>
        <v>0</v>
      </c>
      <c r="GI48" s="989">
        <f t="shared" si="156"/>
        <v>0</v>
      </c>
      <c r="GJ48" s="989">
        <f t="shared" si="157"/>
        <v>0</v>
      </c>
      <c r="GK48" s="989">
        <f t="shared" si="158"/>
        <v>0</v>
      </c>
      <c r="GL48" s="989">
        <f t="shared" si="159"/>
        <v>0</v>
      </c>
      <c r="GM48" s="989">
        <f t="shared" si="160"/>
        <v>0</v>
      </c>
      <c r="GN48" s="989">
        <f t="shared" si="161"/>
        <v>0</v>
      </c>
      <c r="GO48" s="989">
        <f t="shared" si="162"/>
        <v>0</v>
      </c>
      <c r="GP48" s="989">
        <f t="shared" si="163"/>
        <v>0</v>
      </c>
      <c r="GQ48" s="989">
        <f t="shared" si="164"/>
        <v>0</v>
      </c>
      <c r="GR48" s="989">
        <f t="shared" si="165"/>
        <v>3630.3162643117407</v>
      </c>
      <c r="GX48" s="1036">
        <v>46</v>
      </c>
      <c r="GY48" s="989">
        <f>SUM(GY9:GY47)/1000</f>
        <v>442312.79697248735</v>
      </c>
      <c r="HN48" s="1">
        <v>64874.200711022102</v>
      </c>
      <c r="IE48" s="1">
        <v>0</v>
      </c>
      <c r="IF48" s="1269">
        <v>41</v>
      </c>
      <c r="IG48" s="553"/>
      <c r="IH48" s="553"/>
      <c r="II48" s="553"/>
      <c r="IJ48" s="553"/>
      <c r="IK48" s="553"/>
      <c r="IL48" s="553"/>
      <c r="IM48" s="553"/>
      <c r="IN48" s="553"/>
      <c r="IO48" s="553"/>
      <c r="IP48" s="553"/>
      <c r="IQ48" s="553">
        <v>100</v>
      </c>
      <c r="IS48" s="1271">
        <v>41</v>
      </c>
      <c r="IT48" s="989">
        <f t="shared" si="214"/>
        <v>0</v>
      </c>
      <c r="IU48" s="989">
        <f t="shared" si="202"/>
        <v>0</v>
      </c>
      <c r="IV48" s="989">
        <f t="shared" si="203"/>
        <v>0</v>
      </c>
      <c r="IW48" s="989">
        <f t="shared" si="204"/>
        <v>0</v>
      </c>
      <c r="IX48" s="989">
        <f t="shared" si="205"/>
        <v>0</v>
      </c>
      <c r="IY48" s="989">
        <f t="shared" si="206"/>
        <v>0</v>
      </c>
      <c r="IZ48" s="989">
        <f t="shared" si="207"/>
        <v>0</v>
      </c>
      <c r="JA48" s="989">
        <f t="shared" si="208"/>
        <v>0</v>
      </c>
      <c r="JB48" s="989">
        <f t="shared" si="209"/>
        <v>0</v>
      </c>
      <c r="JC48" s="989">
        <f t="shared" si="210"/>
        <v>0</v>
      </c>
      <c r="JD48" s="989">
        <f t="shared" si="211"/>
        <v>0</v>
      </c>
      <c r="JE48" s="989">
        <f t="shared" si="215"/>
        <v>0</v>
      </c>
      <c r="JG48" s="1135">
        <v>180350.6845791449</v>
      </c>
      <c r="JH48" s="1005">
        <v>41</v>
      </c>
      <c r="JI48" s="1263"/>
      <c r="JJ48" s="1272"/>
      <c r="JK48" s="1272"/>
      <c r="JL48" s="1272"/>
      <c r="JM48" s="1272"/>
      <c r="JN48" s="1272"/>
      <c r="JO48" s="1272"/>
      <c r="JP48" s="1272"/>
      <c r="JQ48" s="1272"/>
      <c r="JR48" s="1272">
        <v>100</v>
      </c>
      <c r="JS48" s="1272"/>
      <c r="JT48" s="1273"/>
      <c r="JU48" s="1273"/>
      <c r="JW48" s="989">
        <f t="shared" si="103"/>
        <v>0</v>
      </c>
      <c r="JX48" s="989">
        <f t="shared" si="104"/>
        <v>0</v>
      </c>
      <c r="JY48" s="989">
        <f t="shared" si="92"/>
        <v>0</v>
      </c>
      <c r="JZ48" s="989">
        <f t="shared" si="93"/>
        <v>0</v>
      </c>
      <c r="KA48" s="989">
        <f t="shared" si="94"/>
        <v>0</v>
      </c>
      <c r="KB48" s="989">
        <f t="shared" si="95"/>
        <v>0</v>
      </c>
      <c r="KC48" s="989">
        <f t="shared" si="96"/>
        <v>0</v>
      </c>
      <c r="KD48" s="989">
        <f t="shared" si="97"/>
        <v>0</v>
      </c>
      <c r="KE48" s="989">
        <f t="shared" si="98"/>
        <v>180350.6845791449</v>
      </c>
      <c r="KF48" s="989">
        <f t="shared" si="99"/>
        <v>0</v>
      </c>
      <c r="KG48" s="989">
        <f t="shared" si="100"/>
        <v>0</v>
      </c>
      <c r="KJ48" s="192">
        <f t="shared" si="178"/>
        <v>0</v>
      </c>
      <c r="KK48" s="192">
        <f t="shared" si="179"/>
        <v>0</v>
      </c>
      <c r="KL48" s="192">
        <f t="shared" si="180"/>
        <v>0</v>
      </c>
      <c r="KM48" s="192">
        <f t="shared" si="181"/>
        <v>0</v>
      </c>
      <c r="KN48" s="192">
        <f t="shared" si="182"/>
        <v>0</v>
      </c>
      <c r="KO48" s="192">
        <f t="shared" si="183"/>
        <v>0</v>
      </c>
      <c r="KP48" s="192">
        <f t="shared" si="184"/>
        <v>0</v>
      </c>
      <c r="KQ48" s="192">
        <f t="shared" si="185"/>
        <v>0</v>
      </c>
      <c r="KR48" s="192">
        <f t="shared" si="186"/>
        <v>180350.6845791449</v>
      </c>
      <c r="KS48" s="192">
        <f t="shared" si="187"/>
        <v>0</v>
      </c>
      <c r="KT48" s="192">
        <f t="shared" si="188"/>
        <v>0</v>
      </c>
      <c r="KV48" s="1036">
        <v>46</v>
      </c>
      <c r="KW48" s="2">
        <v>0</v>
      </c>
      <c r="LV48" s="2">
        <v>0</v>
      </c>
      <c r="MG48" s="1446">
        <v>100</v>
      </c>
      <c r="MH48" s="1">
        <f t="shared" si="166"/>
        <v>100</v>
      </c>
      <c r="MI48" s="989">
        <f t="shared" si="167"/>
        <v>0</v>
      </c>
      <c r="MJ48" s="989">
        <f t="shared" si="168"/>
        <v>0</v>
      </c>
      <c r="MK48" s="989">
        <f t="shared" si="169"/>
        <v>0</v>
      </c>
      <c r="ML48" s="989">
        <f t="shared" si="170"/>
        <v>0</v>
      </c>
      <c r="MM48" s="989">
        <f t="shared" si="171"/>
        <v>0</v>
      </c>
      <c r="MN48" s="989">
        <f t="shared" si="172"/>
        <v>0</v>
      </c>
      <c r="MO48" s="989">
        <f t="shared" si="173"/>
        <v>0</v>
      </c>
      <c r="MP48" s="989">
        <f t="shared" si="174"/>
        <v>0</v>
      </c>
      <c r="MQ48" s="989">
        <f t="shared" si="175"/>
        <v>0</v>
      </c>
      <c r="MR48" s="989">
        <f t="shared" si="176"/>
        <v>0</v>
      </c>
      <c r="MS48" s="989">
        <f t="shared" si="177"/>
        <v>0</v>
      </c>
      <c r="MU48" s="1036">
        <v>46</v>
      </c>
      <c r="MV48" s="57"/>
    </row>
    <row r="49" spans="1:387" ht="15" thickTop="1" thickBot="1">
      <c r="A49" s="1822">
        <v>48</v>
      </c>
      <c r="B49" s="1119"/>
      <c r="C49" s="1856">
        <v>0</v>
      </c>
      <c r="D49" s="1199">
        <v>0</v>
      </c>
      <c r="E49" s="116"/>
      <c r="F49" s="1843">
        <f t="shared" si="12"/>
        <v>0</v>
      </c>
      <c r="P49" s="104" t="s">
        <v>616</v>
      </c>
      <c r="Q49" s="103">
        <v>2.9906999999999999</v>
      </c>
      <c r="T49" s="123" t="s">
        <v>377</v>
      </c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1724" t="s">
        <v>617</v>
      </c>
      <c r="AG49" s="1857">
        <f>$Q$48*AG50^$Q$49</f>
        <v>26.688298058999901</v>
      </c>
      <c r="AH49" s="1857">
        <f t="shared" ref="AH49:AP49" si="226">$Q$48*AH50^$Q$49</f>
        <v>60.981572065337247</v>
      </c>
      <c r="AI49" s="1857">
        <f t="shared" si="226"/>
        <v>98.68772272480453</v>
      </c>
      <c r="AJ49" s="1857">
        <f t="shared" si="226"/>
        <v>135.90585346992589</v>
      </c>
      <c r="AK49" s="1857">
        <f t="shared" si="226"/>
        <v>179.04068503594414</v>
      </c>
      <c r="AL49" s="1857">
        <f t="shared" si="226"/>
        <v>228.61524988977999</v>
      </c>
      <c r="AM49" s="1857">
        <f t="shared" si="226"/>
        <v>323.14129825980461</v>
      </c>
      <c r="AN49" s="1857">
        <f t="shared" si="226"/>
        <v>387.42595875168189</v>
      </c>
      <c r="AO49" s="1857">
        <f t="shared" si="226"/>
        <v>432.9637347876419</v>
      </c>
      <c r="AP49" s="1857">
        <f t="shared" si="226"/>
        <v>540.36426264015563</v>
      </c>
      <c r="AQ49" s="545"/>
      <c r="AR49" s="1822">
        <v>48</v>
      </c>
      <c r="AS49" s="1119"/>
      <c r="AT49" s="1">
        <v>0</v>
      </c>
      <c r="AU49" s="1">
        <v>0</v>
      </c>
      <c r="AV49" s="116"/>
      <c r="AW49" s="1843">
        <f t="shared" si="33"/>
        <v>0</v>
      </c>
      <c r="BG49" s="104" t="s">
        <v>616</v>
      </c>
      <c r="BH49" s="103">
        <v>2.9906999999999999</v>
      </c>
      <c r="BK49" s="123" t="s">
        <v>377</v>
      </c>
      <c r="BL49" s="92"/>
      <c r="BM49" s="92"/>
      <c r="BN49" s="92"/>
      <c r="BO49" s="92"/>
      <c r="BP49" s="92"/>
      <c r="BQ49" s="92"/>
      <c r="BR49" s="92"/>
      <c r="BS49" s="92"/>
      <c r="BT49" s="92"/>
      <c r="BU49" s="92"/>
      <c r="BV49" s="92"/>
      <c r="BW49" s="1724" t="s">
        <v>617</v>
      </c>
      <c r="BX49" s="1857">
        <f>$Q$48*BX50^$Q$49</f>
        <v>20.828103522710641</v>
      </c>
      <c r="BY49" s="1857">
        <f t="shared" ref="BY49:CF49" si="227">$Q$48*BY50^$Q$49</f>
        <v>30.194184803726746</v>
      </c>
      <c r="BZ49" s="1857">
        <f t="shared" si="227"/>
        <v>79.964839517415612</v>
      </c>
      <c r="CA49" s="1857">
        <f t="shared" si="227"/>
        <v>117.03779934185248</v>
      </c>
      <c r="CB49" s="1857">
        <f t="shared" si="227"/>
        <v>163.52040665238471</v>
      </c>
      <c r="CC49" s="1857">
        <f t="shared" si="227"/>
        <v>233.50307595559866</v>
      </c>
      <c r="CD49" s="1857">
        <f t="shared" si="227"/>
        <v>284.53404810768654</v>
      </c>
      <c r="CE49" s="1857">
        <f t="shared" si="227"/>
        <v>332.24713629447507</v>
      </c>
      <c r="CF49" s="1857">
        <f t="shared" si="227"/>
        <v>448.55824937117211</v>
      </c>
      <c r="CG49" s="1857"/>
      <c r="CH49" s="545"/>
      <c r="CI49" s="1" t="s">
        <v>618</v>
      </c>
      <c r="CJ49" s="1">
        <v>31.064335504197818</v>
      </c>
      <c r="CM49" s="638"/>
      <c r="CN49" s="1847">
        <v>46</v>
      </c>
      <c r="CO49" s="1851"/>
      <c r="CP49" s="638"/>
      <c r="CQ49" s="638"/>
      <c r="CR49" s="646">
        <f t="shared" si="63"/>
        <v>0</v>
      </c>
      <c r="CS49" s="1141"/>
      <c r="CT49" s="641"/>
      <c r="CU49" s="641"/>
      <c r="CV49" s="641"/>
      <c r="CW49" s="641"/>
      <c r="CX49" s="641"/>
      <c r="CY49" s="641"/>
      <c r="CZ49" s="641"/>
      <c r="DA49" s="646"/>
      <c r="DB49" s="638"/>
      <c r="DC49" s="638"/>
      <c r="DD49" s="638"/>
      <c r="DE49" s="638"/>
      <c r="DF49" s="638"/>
      <c r="DG49" s="647" t="s">
        <v>45</v>
      </c>
      <c r="DH49" s="451"/>
      <c r="DI49" s="451"/>
      <c r="DJ49" s="451"/>
      <c r="DK49" s="451"/>
      <c r="DL49" s="451"/>
      <c r="DM49" s="451"/>
      <c r="DN49" s="451"/>
      <c r="DO49" s="451"/>
      <c r="DP49" s="451"/>
      <c r="DQ49" s="451"/>
      <c r="DR49" s="451"/>
      <c r="DS49" s="1140"/>
      <c r="DT49" s="1139"/>
      <c r="DU49" s="1139"/>
      <c r="DV49" s="1139"/>
      <c r="DW49" s="1139"/>
      <c r="DX49" s="1139"/>
      <c r="DY49" s="1139"/>
      <c r="DZ49" s="1139"/>
      <c r="EA49" s="1139"/>
      <c r="EB49" s="1139"/>
      <c r="EC49" s="1139"/>
      <c r="ED49" s="1139"/>
      <c r="EE49" s="667">
        <f t="shared" si="46"/>
        <v>0</v>
      </c>
      <c r="EH49" s="233" t="s">
        <v>559</v>
      </c>
      <c r="EI49" s="233"/>
      <c r="EJ49" s="233"/>
      <c r="EK49" s="233"/>
      <c r="EL49" s="233"/>
      <c r="EM49" s="233"/>
      <c r="EN49" s="233"/>
      <c r="EO49" s="233"/>
      <c r="EP49" s="233"/>
      <c r="EQ49" s="233"/>
      <c r="ER49" s="233"/>
      <c r="ES49" s="233"/>
      <c r="EY49" s="1">
        <v>0</v>
      </c>
      <c r="EZ49" s="1" t="s">
        <v>18</v>
      </c>
      <c r="FA49" s="1" t="s">
        <v>18</v>
      </c>
      <c r="FB49" s="1" t="s">
        <v>18</v>
      </c>
      <c r="FC49" s="1" t="s">
        <v>18</v>
      </c>
      <c r="FD49" s="1" t="s">
        <v>18</v>
      </c>
      <c r="FE49" s="1" t="s">
        <v>18</v>
      </c>
      <c r="FF49" s="1" t="s">
        <v>18</v>
      </c>
      <c r="FG49" s="1" t="s">
        <v>18</v>
      </c>
      <c r="FH49" s="1" t="s">
        <v>18</v>
      </c>
      <c r="FI49" s="1" t="s">
        <v>18</v>
      </c>
      <c r="FJ49" s="1" t="s">
        <v>18</v>
      </c>
      <c r="FM49" s="1002">
        <v>47</v>
      </c>
      <c r="FN49" s="1003"/>
      <c r="FO49" s="1003"/>
      <c r="FP49" s="1003"/>
      <c r="FQ49" s="1003"/>
      <c r="FR49" s="1003"/>
      <c r="FS49" s="1003"/>
      <c r="FT49" s="1003"/>
      <c r="FU49" s="1003"/>
      <c r="FV49" s="1003"/>
      <c r="FW49" s="1003"/>
      <c r="FX49" s="1003"/>
      <c r="FY49" s="1003"/>
      <c r="FZ49" s="1003"/>
      <c r="GA49" s="1003">
        <v>100</v>
      </c>
      <c r="GB49" s="1004">
        <v>0</v>
      </c>
      <c r="GC49" s="1002">
        <v>47</v>
      </c>
      <c r="GD49" s="2">
        <v>0</v>
      </c>
      <c r="GE49" s="989">
        <f t="shared" si="152"/>
        <v>0</v>
      </c>
      <c r="GF49" s="989">
        <f t="shared" si="153"/>
        <v>0</v>
      </c>
      <c r="GG49" s="989">
        <f t="shared" si="154"/>
        <v>0</v>
      </c>
      <c r="GH49" s="989">
        <f t="shared" si="155"/>
        <v>0</v>
      </c>
      <c r="GI49" s="989">
        <f t="shared" si="156"/>
        <v>0</v>
      </c>
      <c r="GJ49" s="989">
        <f t="shared" si="157"/>
        <v>0</v>
      </c>
      <c r="GK49" s="989">
        <f t="shared" si="158"/>
        <v>0</v>
      </c>
      <c r="GL49" s="989">
        <f t="shared" si="159"/>
        <v>0</v>
      </c>
      <c r="GM49" s="989">
        <f t="shared" si="160"/>
        <v>0</v>
      </c>
      <c r="GN49" s="989">
        <f t="shared" si="161"/>
        <v>0</v>
      </c>
      <c r="GO49" s="989">
        <f t="shared" si="162"/>
        <v>0</v>
      </c>
      <c r="GP49" s="989">
        <f t="shared" si="163"/>
        <v>0</v>
      </c>
      <c r="GQ49" s="989">
        <f t="shared" si="164"/>
        <v>0</v>
      </c>
      <c r="GR49" s="989">
        <f t="shared" si="165"/>
        <v>0</v>
      </c>
      <c r="HN49" s="1">
        <v>76548.881022511501</v>
      </c>
      <c r="IE49" s="1">
        <v>0</v>
      </c>
      <c r="IF49" s="1005">
        <v>42</v>
      </c>
      <c r="IQ49" s="553">
        <v>100</v>
      </c>
      <c r="IS49" s="1270">
        <v>42</v>
      </c>
      <c r="IT49" s="989">
        <f t="shared" si="214"/>
        <v>0</v>
      </c>
      <c r="IU49" s="989">
        <f t="shared" si="202"/>
        <v>0</v>
      </c>
      <c r="IV49" s="989">
        <f t="shared" si="203"/>
        <v>0</v>
      </c>
      <c r="IW49" s="989">
        <f t="shared" si="204"/>
        <v>0</v>
      </c>
      <c r="IX49" s="989">
        <f t="shared" si="205"/>
        <v>0</v>
      </c>
      <c r="IY49" s="989">
        <f t="shared" si="206"/>
        <v>0</v>
      </c>
      <c r="IZ49" s="989">
        <f t="shared" si="207"/>
        <v>0</v>
      </c>
      <c r="JA49" s="989">
        <f t="shared" si="208"/>
        <v>0</v>
      </c>
      <c r="JB49" s="989">
        <f t="shared" si="209"/>
        <v>0</v>
      </c>
      <c r="JC49" s="989">
        <f t="shared" si="210"/>
        <v>0</v>
      </c>
      <c r="JD49" s="989">
        <f t="shared" si="211"/>
        <v>0</v>
      </c>
      <c r="JE49" s="989">
        <f t="shared" si="215"/>
        <v>0</v>
      </c>
      <c r="JG49" s="1135">
        <v>60098.134854212825</v>
      </c>
      <c r="JH49" s="1002">
        <v>42</v>
      </c>
      <c r="JI49" s="1263"/>
      <c r="JJ49" s="1272"/>
      <c r="JK49" s="1272"/>
      <c r="JL49" s="1272"/>
      <c r="JM49" s="1272"/>
      <c r="JN49" s="1272"/>
      <c r="JO49" s="1272"/>
      <c r="JP49" s="1272"/>
      <c r="JQ49" s="1272"/>
      <c r="JR49" s="1272"/>
      <c r="JS49" s="1272">
        <v>100</v>
      </c>
      <c r="JT49" s="1273"/>
      <c r="JU49" s="1273"/>
      <c r="JW49" s="989">
        <f t="shared" si="103"/>
        <v>0</v>
      </c>
      <c r="JX49" s="989">
        <f t="shared" si="104"/>
        <v>0</v>
      </c>
      <c r="JY49" s="989">
        <f t="shared" si="92"/>
        <v>0</v>
      </c>
      <c r="JZ49" s="989">
        <f t="shared" si="93"/>
        <v>0</v>
      </c>
      <c r="KA49" s="989">
        <f t="shared" si="94"/>
        <v>0</v>
      </c>
      <c r="KB49" s="989">
        <f t="shared" si="95"/>
        <v>0</v>
      </c>
      <c r="KC49" s="989">
        <f t="shared" si="96"/>
        <v>0</v>
      </c>
      <c r="KD49" s="989">
        <f t="shared" si="97"/>
        <v>0</v>
      </c>
      <c r="KE49" s="989">
        <f t="shared" si="98"/>
        <v>0</v>
      </c>
      <c r="KF49" s="989">
        <f t="shared" si="99"/>
        <v>60098.134854212825</v>
      </c>
      <c r="KG49" s="989">
        <f t="shared" si="100"/>
        <v>0</v>
      </c>
      <c r="KJ49" s="192">
        <f t="shared" si="178"/>
        <v>0</v>
      </c>
      <c r="KK49" s="192">
        <f t="shared" si="179"/>
        <v>0</v>
      </c>
      <c r="KL49" s="192">
        <f t="shared" si="180"/>
        <v>0</v>
      </c>
      <c r="KM49" s="192">
        <f t="shared" si="181"/>
        <v>0</v>
      </c>
      <c r="KN49" s="192">
        <f t="shared" si="182"/>
        <v>0</v>
      </c>
      <c r="KO49" s="192">
        <f t="shared" si="183"/>
        <v>0</v>
      </c>
      <c r="KP49" s="192">
        <f t="shared" si="184"/>
        <v>0</v>
      </c>
      <c r="KQ49" s="192">
        <f t="shared" si="185"/>
        <v>0</v>
      </c>
      <c r="KR49" s="192">
        <f t="shared" si="186"/>
        <v>0</v>
      </c>
      <c r="KS49" s="192">
        <f t="shared" si="187"/>
        <v>60098.134854212825</v>
      </c>
      <c r="KT49" s="192">
        <f t="shared" si="188"/>
        <v>0</v>
      </c>
      <c r="KW49" s="2"/>
      <c r="LV49" s="2">
        <v>326.42032189929176</v>
      </c>
      <c r="MG49" s="1446">
        <v>100</v>
      </c>
      <c r="MH49" s="1">
        <f t="shared" si="166"/>
        <v>100</v>
      </c>
      <c r="MI49" s="989">
        <f t="shared" si="167"/>
        <v>0</v>
      </c>
      <c r="MJ49" s="989">
        <f t="shared" si="168"/>
        <v>0</v>
      </c>
      <c r="MK49" s="989">
        <f t="shared" si="169"/>
        <v>0</v>
      </c>
      <c r="ML49" s="989">
        <f t="shared" si="170"/>
        <v>0</v>
      </c>
      <c r="MM49" s="989">
        <f t="shared" si="171"/>
        <v>0</v>
      </c>
      <c r="MN49" s="989">
        <f t="shared" si="172"/>
        <v>0</v>
      </c>
      <c r="MO49" s="989">
        <f t="shared" si="173"/>
        <v>0</v>
      </c>
      <c r="MP49" s="989">
        <f t="shared" si="174"/>
        <v>0</v>
      </c>
      <c r="MQ49" s="989">
        <f t="shared" si="175"/>
        <v>0</v>
      </c>
      <c r="MR49" s="989">
        <f t="shared" si="176"/>
        <v>0</v>
      </c>
      <c r="MS49" s="989">
        <f t="shared" si="177"/>
        <v>326.42032189929176</v>
      </c>
      <c r="MV49" s="57"/>
    </row>
    <row r="50" spans="1:387" ht="15" thickTop="1" thickBot="1">
      <c r="A50" s="1822">
        <v>49</v>
      </c>
      <c r="B50" s="1119"/>
      <c r="C50" s="1856">
        <v>0</v>
      </c>
      <c r="D50" s="1199">
        <v>0</v>
      </c>
      <c r="E50" s="116"/>
      <c r="F50" s="1843">
        <f t="shared" si="12"/>
        <v>0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1724" t="s">
        <v>606</v>
      </c>
      <c r="AG50" s="1854">
        <f>AG47/AG48</f>
        <v>14.079662258571615</v>
      </c>
      <c r="AH50" s="1854">
        <f>AH47/AH48</f>
        <v>18.560520146767804</v>
      </c>
      <c r="AI50" s="1854">
        <f t="shared" ref="AI50:AP50" si="228">AI47/AI48</f>
        <v>21.801933894710324</v>
      </c>
      <c r="AJ50" s="1854">
        <f t="shared" si="228"/>
        <v>24.264094245231409</v>
      </c>
      <c r="AK50" s="1854">
        <f t="shared" si="228"/>
        <v>26.606803103317937</v>
      </c>
      <c r="AL50" s="1854">
        <f t="shared" si="228"/>
        <v>28.872687970555777</v>
      </c>
      <c r="AM50" s="1854">
        <f t="shared" si="228"/>
        <v>32.414457194417594</v>
      </c>
      <c r="AN50" s="1854">
        <f t="shared" si="228"/>
        <v>34.441800465446498</v>
      </c>
      <c r="AO50" s="1854">
        <f t="shared" si="228"/>
        <v>35.745672709368989</v>
      </c>
      <c r="AP50" s="1854">
        <f t="shared" si="228"/>
        <v>38.494757905586326</v>
      </c>
      <c r="AQ50" s="74"/>
      <c r="AR50" s="1822">
        <v>49</v>
      </c>
      <c r="AS50" s="1119"/>
      <c r="AT50" s="1">
        <v>0</v>
      </c>
      <c r="AU50" s="1">
        <v>0</v>
      </c>
      <c r="AV50" s="116"/>
      <c r="AW50" s="1843">
        <f t="shared" si="33"/>
        <v>0</v>
      </c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1724" t="s">
        <v>606</v>
      </c>
      <c r="BX50" s="1854">
        <f>BX47/BX48</f>
        <v>12.959559712028849</v>
      </c>
      <c r="BY50" s="1854">
        <f>BY47/BY48</f>
        <v>14.67287693637309</v>
      </c>
      <c r="BZ50" s="1854">
        <f t="shared" ref="BZ50:CE50" si="229">BZ47/BZ48</f>
        <v>20.321025908321872</v>
      </c>
      <c r="CA50" s="1854">
        <f t="shared" si="229"/>
        <v>23.08125725419254</v>
      </c>
      <c r="CB50" s="1854">
        <f t="shared" si="229"/>
        <v>25.812215720711411</v>
      </c>
      <c r="CC50" s="1854">
        <f t="shared" si="229"/>
        <v>29.077643675784138</v>
      </c>
      <c r="CD50" s="1854">
        <f t="shared" si="229"/>
        <v>31.064335504197818</v>
      </c>
      <c r="CE50" s="1854">
        <f t="shared" si="229"/>
        <v>32.717053955091643</v>
      </c>
      <c r="CF50" s="1854">
        <f>CF47/CF48</f>
        <v>36.171110791427068</v>
      </c>
      <c r="CG50" s="1854"/>
      <c r="CH50" s="74"/>
      <c r="CI50" s="1" t="s">
        <v>619</v>
      </c>
      <c r="CJ50" s="1">
        <v>32.717053955091643</v>
      </c>
      <c r="CM50" s="638"/>
      <c r="CN50" s="1847">
        <v>47</v>
      </c>
      <c r="CO50" s="1846"/>
      <c r="CP50" s="638"/>
      <c r="CQ50" s="638"/>
      <c r="CR50" s="646">
        <f t="shared" si="63"/>
        <v>0</v>
      </c>
      <c r="CS50" s="1141"/>
      <c r="CT50" s="638"/>
      <c r="CU50" s="638"/>
      <c r="CV50" s="638"/>
      <c r="CW50" s="638"/>
      <c r="CX50" s="638"/>
      <c r="CY50" s="638"/>
      <c r="CZ50" s="638"/>
      <c r="DA50" s="638"/>
      <c r="DB50" s="638"/>
      <c r="DC50" s="652" t="s">
        <v>612</v>
      </c>
      <c r="DD50" s="653">
        <v>9.7999999999999997E-3</v>
      </c>
      <c r="DE50" s="638"/>
      <c r="DF50" s="638"/>
      <c r="DG50" s="647" t="s">
        <v>613</v>
      </c>
      <c r="DH50" s="451"/>
      <c r="DI50" s="451"/>
      <c r="DJ50" s="451"/>
      <c r="DK50" s="451"/>
      <c r="DL50" s="451"/>
      <c r="DM50" s="451"/>
      <c r="DN50" s="451"/>
      <c r="DO50" s="451"/>
      <c r="DP50" s="451"/>
      <c r="DQ50" s="451"/>
      <c r="DR50" s="451"/>
      <c r="DS50" s="647" t="s">
        <v>45</v>
      </c>
      <c r="DT50" s="1625">
        <f>SUM(DT8:DT48)</f>
        <v>609487270.68021035</v>
      </c>
      <c r="DU50" s="1625">
        <f t="shared" ref="DU50:ED50" si="230">SUM(DU8:DU48)</f>
        <v>16233283.334752019</v>
      </c>
      <c r="DV50" s="1625">
        <f t="shared" si="230"/>
        <v>62270812.150922827</v>
      </c>
      <c r="DW50" s="1625">
        <f t="shared" si="230"/>
        <v>91510481.34987925</v>
      </c>
      <c r="DX50" s="1625">
        <f t="shared" si="230"/>
        <v>44099064.291008651</v>
      </c>
      <c r="DY50" s="1625">
        <f t="shared" si="230"/>
        <v>14963003.602123827</v>
      </c>
      <c r="DZ50" s="1625">
        <f t="shared" si="230"/>
        <v>4845884.3929180345</v>
      </c>
      <c r="EA50" s="1625">
        <f t="shared" si="230"/>
        <v>2082414.9246898121</v>
      </c>
      <c r="EB50" s="1625">
        <f t="shared" si="230"/>
        <v>714794.40290554066</v>
      </c>
      <c r="EC50" s="1625">
        <f t="shared" si="230"/>
        <v>339376.18710432306</v>
      </c>
      <c r="ED50" s="1625">
        <f t="shared" si="230"/>
        <v>183871.23591487872</v>
      </c>
      <c r="EE50" s="667">
        <f t="shared" si="46"/>
        <v>846730256.55242932</v>
      </c>
      <c r="EH50" s="233"/>
      <c r="EI50" s="233"/>
      <c r="EJ50" s="233"/>
      <c r="EK50" s="233"/>
      <c r="EL50" s="233"/>
      <c r="EM50" s="233"/>
      <c r="EN50" s="233"/>
      <c r="EO50" s="233"/>
      <c r="EP50" s="233"/>
      <c r="EQ50" s="233"/>
      <c r="ER50" s="233"/>
      <c r="ES50" s="233"/>
      <c r="EY50" s="1">
        <v>0</v>
      </c>
      <c r="FM50" s="1002">
        <v>48</v>
      </c>
      <c r="FN50" s="1003"/>
      <c r="FO50" s="1003"/>
      <c r="FP50" s="1003"/>
      <c r="FQ50" s="1003"/>
      <c r="FR50" s="1003"/>
      <c r="FS50" s="1003"/>
      <c r="FT50" s="1003"/>
      <c r="FU50" s="1003"/>
      <c r="FV50" s="1003"/>
      <c r="FW50" s="1003"/>
      <c r="FX50" s="1003"/>
      <c r="FY50" s="1003"/>
      <c r="FZ50" s="1003"/>
      <c r="GA50" s="1003">
        <v>100</v>
      </c>
      <c r="GB50" s="1004">
        <v>100</v>
      </c>
      <c r="GC50" s="1002">
        <v>48</v>
      </c>
      <c r="GD50" s="2">
        <v>0</v>
      </c>
      <c r="GE50" s="989">
        <f t="shared" si="152"/>
        <v>0</v>
      </c>
      <c r="GF50" s="989">
        <f t="shared" si="153"/>
        <v>0</v>
      </c>
      <c r="GG50" s="989">
        <f t="shared" si="154"/>
        <v>0</v>
      </c>
      <c r="GH50" s="989">
        <f t="shared" si="155"/>
        <v>0</v>
      </c>
      <c r="GI50" s="989">
        <f t="shared" si="156"/>
        <v>0</v>
      </c>
      <c r="GJ50" s="989">
        <f t="shared" si="157"/>
        <v>0</v>
      </c>
      <c r="GK50" s="989">
        <f t="shared" si="158"/>
        <v>0</v>
      </c>
      <c r="GL50" s="989">
        <f t="shared" si="159"/>
        <v>0</v>
      </c>
      <c r="GM50" s="989">
        <f t="shared" si="160"/>
        <v>0</v>
      </c>
      <c r="GN50" s="989">
        <f t="shared" si="161"/>
        <v>0</v>
      </c>
      <c r="GO50" s="989">
        <f t="shared" si="162"/>
        <v>0</v>
      </c>
      <c r="GP50" s="989">
        <f t="shared" si="163"/>
        <v>0</v>
      </c>
      <c r="GQ50" s="989">
        <f t="shared" si="164"/>
        <v>0</v>
      </c>
      <c r="GR50" s="989">
        <f t="shared" si="165"/>
        <v>0</v>
      </c>
      <c r="HN50" s="1">
        <v>124601.62237534074</v>
      </c>
      <c r="IF50" s="1269">
        <v>43</v>
      </c>
      <c r="IQ50" s="553">
        <v>100</v>
      </c>
      <c r="IS50" s="1271">
        <v>43</v>
      </c>
      <c r="IT50" s="989">
        <f>$IE50*IG50/100</f>
        <v>0</v>
      </c>
      <c r="IU50" s="989">
        <f t="shared" si="202"/>
        <v>0</v>
      </c>
      <c r="IV50" s="989">
        <f t="shared" si="203"/>
        <v>0</v>
      </c>
      <c r="IW50" s="989">
        <f t="shared" si="204"/>
        <v>0</v>
      </c>
      <c r="IX50" s="989">
        <f t="shared" si="205"/>
        <v>0</v>
      </c>
      <c r="IY50" s="989">
        <f t="shared" si="206"/>
        <v>0</v>
      </c>
      <c r="IZ50" s="989">
        <f t="shared" si="207"/>
        <v>0</v>
      </c>
      <c r="JA50" s="989">
        <f t="shared" si="208"/>
        <v>0</v>
      </c>
      <c r="JB50" s="989">
        <f t="shared" si="209"/>
        <v>0</v>
      </c>
      <c r="JC50" s="989">
        <f t="shared" si="210"/>
        <v>0</v>
      </c>
      <c r="JD50" s="989">
        <f t="shared" si="211"/>
        <v>0</v>
      </c>
      <c r="JE50" s="989">
        <f>$IE50*IR50/100</f>
        <v>0</v>
      </c>
      <c r="JG50" s="1135">
        <v>30020.927418853171</v>
      </c>
      <c r="JH50" s="1002">
        <v>43</v>
      </c>
      <c r="JI50" s="561"/>
      <c r="JJ50" s="1272"/>
      <c r="JK50" s="1272"/>
      <c r="JL50" s="1272"/>
      <c r="JM50" s="1272"/>
      <c r="JN50" s="1272"/>
      <c r="JO50" s="1272"/>
      <c r="JP50" s="1272"/>
      <c r="JQ50" s="1272"/>
      <c r="JR50" s="1272"/>
      <c r="JS50" s="1272">
        <v>100</v>
      </c>
      <c r="JT50" s="1273"/>
      <c r="JU50" s="1273"/>
      <c r="JW50" s="989">
        <f t="shared" si="103"/>
        <v>0</v>
      </c>
      <c r="JX50" s="989">
        <f t="shared" si="104"/>
        <v>0</v>
      </c>
      <c r="JY50" s="989">
        <f t="shared" si="92"/>
        <v>0</v>
      </c>
      <c r="JZ50" s="989">
        <f t="shared" si="93"/>
        <v>0</v>
      </c>
      <c r="KA50" s="989">
        <f t="shared" si="94"/>
        <v>0</v>
      </c>
      <c r="KB50" s="989">
        <f t="shared" si="95"/>
        <v>0</v>
      </c>
      <c r="KC50" s="989">
        <f t="shared" si="96"/>
        <v>0</v>
      </c>
      <c r="KD50" s="989">
        <f t="shared" si="97"/>
        <v>0</v>
      </c>
      <c r="KE50" s="989">
        <f t="shared" si="98"/>
        <v>0</v>
      </c>
      <c r="KF50" s="989">
        <f t="shared" si="99"/>
        <v>30020.927418853171</v>
      </c>
      <c r="KG50" s="989">
        <f t="shared" si="100"/>
        <v>0</v>
      </c>
      <c r="KJ50" s="192">
        <f t="shared" si="178"/>
        <v>0</v>
      </c>
      <c r="KK50" s="192">
        <f t="shared" si="179"/>
        <v>0</v>
      </c>
      <c r="KL50" s="192">
        <f t="shared" si="180"/>
        <v>0</v>
      </c>
      <c r="KM50" s="192">
        <f t="shared" si="181"/>
        <v>0</v>
      </c>
      <c r="KN50" s="192">
        <f t="shared" si="182"/>
        <v>0</v>
      </c>
      <c r="KO50" s="192">
        <f t="shared" si="183"/>
        <v>0</v>
      </c>
      <c r="KP50" s="192">
        <f t="shared" si="184"/>
        <v>0</v>
      </c>
      <c r="KQ50" s="192">
        <f t="shared" si="185"/>
        <v>0</v>
      </c>
      <c r="KR50" s="192">
        <f t="shared" si="186"/>
        <v>0</v>
      </c>
      <c r="KS50" s="192">
        <f t="shared" si="187"/>
        <v>30020.927418853171</v>
      </c>
      <c r="KT50" s="192">
        <f t="shared" si="188"/>
        <v>0</v>
      </c>
      <c r="KW50" s="2"/>
    </row>
    <row r="51" spans="1:387" ht="15" thickTop="1" thickBot="1">
      <c r="A51" s="1822">
        <v>50</v>
      </c>
      <c r="B51" s="1119"/>
      <c r="C51" s="1856">
        <v>0</v>
      </c>
      <c r="D51" s="1199">
        <v>0</v>
      </c>
      <c r="E51" s="116"/>
      <c r="F51" s="1843">
        <f t="shared" si="12"/>
        <v>0</v>
      </c>
      <c r="T51" s="6"/>
      <c r="AR51" s="1822">
        <v>50</v>
      </c>
      <c r="AS51" s="1119"/>
      <c r="AT51" s="1">
        <v>0</v>
      </c>
      <c r="AU51" s="1">
        <v>0</v>
      </c>
      <c r="AV51" s="116"/>
      <c r="AW51" s="1843">
        <f t="shared" si="33"/>
        <v>0</v>
      </c>
      <c r="BK51" s="6"/>
      <c r="CH51" s="75"/>
      <c r="CI51" s="1" t="s">
        <v>620</v>
      </c>
      <c r="CJ51" s="1">
        <v>36.171110791427068</v>
      </c>
      <c r="CM51" s="638"/>
      <c r="CN51" s="1847">
        <v>48</v>
      </c>
      <c r="CO51" s="1139"/>
      <c r="CP51" s="638"/>
      <c r="CQ51" s="638"/>
      <c r="CR51" s="651"/>
      <c r="CS51" s="1141"/>
      <c r="CT51" s="638"/>
      <c r="CU51" s="638"/>
      <c r="CV51" s="638"/>
      <c r="CW51" s="638"/>
      <c r="CX51" s="638"/>
      <c r="CY51" s="638"/>
      <c r="CZ51" s="638"/>
      <c r="DA51" s="638"/>
      <c r="DB51" s="638"/>
      <c r="DC51" s="652" t="s">
        <v>616</v>
      </c>
      <c r="DD51" s="653">
        <v>2.9906999999999999</v>
      </c>
      <c r="DE51" s="638"/>
      <c r="DF51" s="638"/>
      <c r="DG51" s="654" t="s">
        <v>377</v>
      </c>
      <c r="DH51" s="655"/>
      <c r="DI51" s="655"/>
      <c r="DJ51" s="655"/>
      <c r="DK51" s="655"/>
      <c r="DL51" s="655"/>
      <c r="DM51" s="655"/>
      <c r="DN51" s="655"/>
      <c r="DO51" s="655"/>
      <c r="DP51" s="655"/>
      <c r="DQ51" s="655"/>
      <c r="DR51" s="655"/>
      <c r="DS51" s="647" t="s">
        <v>613</v>
      </c>
      <c r="DT51" s="1858">
        <f>$Q$48*DT52^$Q$49</f>
        <v>0</v>
      </c>
      <c r="DU51" s="1858">
        <f t="shared" ref="DU51:EB51" si="231">$Q$48*DU52^$Q$49</f>
        <v>0</v>
      </c>
      <c r="DV51" s="1858">
        <f t="shared" si="231"/>
        <v>0</v>
      </c>
      <c r="DW51" s="1858">
        <f t="shared" si="231"/>
        <v>0</v>
      </c>
      <c r="DX51" s="1858">
        <f t="shared" si="231"/>
        <v>0</v>
      </c>
      <c r="DY51" s="1858">
        <f t="shared" si="231"/>
        <v>0</v>
      </c>
      <c r="DZ51" s="1858">
        <f t="shared" si="231"/>
        <v>0</v>
      </c>
      <c r="EA51" s="1858">
        <f t="shared" si="231"/>
        <v>0</v>
      </c>
      <c r="EB51" s="1858">
        <f t="shared" si="231"/>
        <v>0</v>
      </c>
      <c r="EC51" s="1858"/>
      <c r="ED51" s="656"/>
      <c r="EE51" s="638"/>
      <c r="EH51" s="967" t="s">
        <v>621</v>
      </c>
      <c r="EI51" s="967"/>
      <c r="EJ51" s="967"/>
      <c r="EK51" s="967"/>
      <c r="EL51" s="233"/>
      <c r="EM51" s="233"/>
      <c r="EN51" s="233"/>
      <c r="EO51" s="233"/>
      <c r="EP51" s="233"/>
      <c r="EQ51" s="233"/>
      <c r="ER51" s="233"/>
      <c r="ES51" s="233"/>
      <c r="EY51" s="1">
        <v>0</v>
      </c>
      <c r="FM51" s="1002">
        <v>49</v>
      </c>
      <c r="FN51" s="1003"/>
      <c r="FO51" s="1003"/>
      <c r="FP51" s="1003"/>
      <c r="FQ51" s="1003"/>
      <c r="FR51" s="1003"/>
      <c r="FS51" s="1003"/>
      <c r="FT51" s="1003"/>
      <c r="FU51" s="1003"/>
      <c r="FV51" s="1003"/>
      <c r="FW51" s="1003"/>
      <c r="FX51" s="1003"/>
      <c r="FY51" s="1003"/>
      <c r="FZ51" s="1003"/>
      <c r="GA51" s="1003">
        <v>100</v>
      </c>
      <c r="GB51" s="1004">
        <v>0</v>
      </c>
      <c r="GC51" s="1002">
        <v>49</v>
      </c>
      <c r="GD51" s="2">
        <v>0</v>
      </c>
      <c r="GE51" s="989">
        <f t="shared" si="152"/>
        <v>0</v>
      </c>
      <c r="GF51" s="989">
        <f t="shared" si="153"/>
        <v>0</v>
      </c>
      <c r="GG51" s="989">
        <f t="shared" si="154"/>
        <v>0</v>
      </c>
      <c r="GH51" s="989">
        <f t="shared" si="155"/>
        <v>0</v>
      </c>
      <c r="GI51" s="989">
        <f t="shared" si="156"/>
        <v>0</v>
      </c>
      <c r="GJ51" s="989">
        <f t="shared" si="157"/>
        <v>0</v>
      </c>
      <c r="GK51" s="989">
        <f t="shared" si="158"/>
        <v>0</v>
      </c>
      <c r="GL51" s="989">
        <f t="shared" si="159"/>
        <v>0</v>
      </c>
      <c r="GM51" s="989">
        <f t="shared" si="160"/>
        <v>0</v>
      </c>
      <c r="GN51" s="989">
        <f t="shared" si="161"/>
        <v>0</v>
      </c>
      <c r="GO51" s="989">
        <f t="shared" si="162"/>
        <v>0</v>
      </c>
      <c r="GP51" s="989">
        <f t="shared" si="163"/>
        <v>0</v>
      </c>
      <c r="GQ51" s="989">
        <f t="shared" si="164"/>
        <v>0</v>
      </c>
      <c r="GR51" s="989">
        <f t="shared" si="165"/>
        <v>0</v>
      </c>
      <c r="HN51" s="1">
        <v>66205.584607156328</v>
      </c>
      <c r="IF51" s="1005">
        <v>44</v>
      </c>
      <c r="IQ51" s="553">
        <v>100</v>
      </c>
      <c r="IS51" s="1270">
        <v>44</v>
      </c>
      <c r="IT51" s="989">
        <f>$IE51*IG51/100</f>
        <v>0</v>
      </c>
      <c r="IU51" s="989">
        <f t="shared" si="202"/>
        <v>0</v>
      </c>
      <c r="IV51" s="989">
        <f t="shared" si="203"/>
        <v>0</v>
      </c>
      <c r="IW51" s="989">
        <f t="shared" si="204"/>
        <v>0</v>
      </c>
      <c r="IX51" s="989">
        <f t="shared" si="205"/>
        <v>0</v>
      </c>
      <c r="IY51" s="989">
        <f t="shared" si="206"/>
        <v>0</v>
      </c>
      <c r="IZ51" s="989">
        <f t="shared" si="207"/>
        <v>0</v>
      </c>
      <c r="JA51" s="989">
        <f t="shared" si="208"/>
        <v>0</v>
      </c>
      <c r="JB51" s="989">
        <f t="shared" si="209"/>
        <v>0</v>
      </c>
      <c r="JC51" s="989">
        <f t="shared" si="210"/>
        <v>0</v>
      </c>
      <c r="JD51" s="989">
        <f t="shared" si="211"/>
        <v>0</v>
      </c>
      <c r="JE51" s="989">
        <f>$IE51*IR51/100</f>
        <v>0</v>
      </c>
      <c r="JG51" s="1135">
        <v>626.10351983254759</v>
      </c>
      <c r="JW51" s="989">
        <f t="shared" si="103"/>
        <v>0</v>
      </c>
      <c r="JX51" s="989">
        <f t="shared" si="104"/>
        <v>0</v>
      </c>
      <c r="JY51" s="989">
        <f t="shared" si="92"/>
        <v>0</v>
      </c>
      <c r="JZ51" s="989">
        <f t="shared" si="93"/>
        <v>0</v>
      </c>
      <c r="KA51" s="989">
        <f t="shared" si="94"/>
        <v>0</v>
      </c>
      <c r="KB51" s="989">
        <f t="shared" si="95"/>
        <v>0</v>
      </c>
      <c r="KC51" s="989">
        <f t="shared" si="96"/>
        <v>0</v>
      </c>
      <c r="KD51" s="989">
        <f t="shared" si="97"/>
        <v>0</v>
      </c>
      <c r="KE51" s="989">
        <f t="shared" si="98"/>
        <v>0</v>
      </c>
      <c r="KF51" s="989">
        <f t="shared" si="99"/>
        <v>0</v>
      </c>
      <c r="KG51" s="989">
        <f t="shared" si="100"/>
        <v>0</v>
      </c>
      <c r="KJ51" s="192">
        <f t="shared" si="178"/>
        <v>0</v>
      </c>
      <c r="KK51" s="192">
        <f t="shared" si="179"/>
        <v>0</v>
      </c>
      <c r="KL51" s="192">
        <f t="shared" si="180"/>
        <v>0</v>
      </c>
      <c r="KM51" s="192">
        <f t="shared" si="181"/>
        <v>0</v>
      </c>
      <c r="KN51" s="192">
        <f t="shared" si="182"/>
        <v>0</v>
      </c>
      <c r="KO51" s="192">
        <f t="shared" si="183"/>
        <v>0</v>
      </c>
      <c r="KP51" s="192">
        <f t="shared" si="184"/>
        <v>0</v>
      </c>
      <c r="KQ51" s="192">
        <f t="shared" si="185"/>
        <v>0</v>
      </c>
      <c r="KR51" s="192">
        <f t="shared" si="186"/>
        <v>0</v>
      </c>
      <c r="KS51" s="192">
        <f t="shared" si="187"/>
        <v>0</v>
      </c>
      <c r="KT51" s="192">
        <f t="shared" si="188"/>
        <v>0</v>
      </c>
      <c r="KW51" s="2"/>
    </row>
    <row r="52" spans="1:387" ht="15.6" thickTop="1" thickBot="1">
      <c r="A52" s="1822" t="s">
        <v>380</v>
      </c>
      <c r="B52" s="1119"/>
      <c r="C52" s="1856">
        <v>103067957.95312878</v>
      </c>
      <c r="D52" s="1199">
        <v>171007813.32153386</v>
      </c>
      <c r="E52" s="116"/>
      <c r="F52" s="1843">
        <f t="shared" si="12"/>
        <v>274075771.27466261</v>
      </c>
      <c r="T52" s="6"/>
      <c r="AR52" s="1822" t="s">
        <v>380</v>
      </c>
      <c r="AS52" s="1119"/>
      <c r="AT52" s="1">
        <v>231816622.95269081</v>
      </c>
      <c r="AU52" s="1">
        <v>418018942.87906313</v>
      </c>
      <c r="AV52" s="116"/>
      <c r="AW52" s="1843">
        <f t="shared" si="33"/>
        <v>649835565.83175397</v>
      </c>
      <c r="BK52" s="6"/>
      <c r="CH52" s="75"/>
      <c r="CM52" s="638"/>
      <c r="CN52" s="1847">
        <v>49</v>
      </c>
      <c r="CO52" s="1139"/>
      <c r="CP52" s="638"/>
      <c r="CQ52" s="638"/>
      <c r="CR52" s="651"/>
      <c r="CS52" s="1141"/>
      <c r="CT52" s="638"/>
      <c r="CU52" s="638"/>
      <c r="CV52" s="638"/>
      <c r="CW52" s="638"/>
      <c r="CX52" s="638"/>
      <c r="CY52" s="638"/>
      <c r="CZ52" s="638"/>
      <c r="DA52" s="638"/>
      <c r="DB52" s="638"/>
      <c r="DC52" s="638"/>
      <c r="DD52" s="638"/>
      <c r="DE52" s="638"/>
      <c r="DF52" s="638"/>
      <c r="DG52" s="638"/>
      <c r="DH52" s="451"/>
      <c r="DI52" s="451"/>
      <c r="DJ52" s="451"/>
      <c r="DK52" s="451"/>
      <c r="DL52" s="451"/>
      <c r="DM52" s="451"/>
      <c r="DN52" s="451"/>
      <c r="DO52" s="451"/>
      <c r="DP52" s="451"/>
      <c r="DQ52" s="451"/>
      <c r="DR52" s="451"/>
      <c r="DS52" s="654" t="s">
        <v>377</v>
      </c>
      <c r="DT52" s="1140">
        <f>DT49/DT50</f>
        <v>0</v>
      </c>
      <c r="DU52" s="1140">
        <f>DU49/DU50</f>
        <v>0</v>
      </c>
      <c r="DV52" s="1140">
        <f t="shared" ref="DV52:EB52" si="232">DV49/DV50</f>
        <v>0</v>
      </c>
      <c r="DW52" s="1140">
        <f t="shared" si="232"/>
        <v>0</v>
      </c>
      <c r="DX52" s="1140">
        <f t="shared" si="232"/>
        <v>0</v>
      </c>
      <c r="DY52" s="1140">
        <f t="shared" si="232"/>
        <v>0</v>
      </c>
      <c r="DZ52" s="1140">
        <f t="shared" si="232"/>
        <v>0</v>
      </c>
      <c r="EA52" s="1140">
        <f t="shared" si="232"/>
        <v>0</v>
      </c>
      <c r="EB52" s="1140">
        <f t="shared" si="232"/>
        <v>0</v>
      </c>
      <c r="EC52" s="1140"/>
      <c r="ED52" s="451"/>
      <c r="EE52" s="638"/>
      <c r="EH52" s="965" t="s">
        <v>564</v>
      </c>
      <c r="EI52" s="309" t="s">
        <v>131</v>
      </c>
      <c r="EJ52" s="233"/>
      <c r="EK52" s="233"/>
      <c r="EL52" s="233"/>
      <c r="EM52" s="233"/>
      <c r="EN52" s="233"/>
      <c r="EO52" s="233"/>
      <c r="EP52" s="233"/>
      <c r="EQ52" s="233"/>
      <c r="ER52" s="233"/>
      <c r="ES52" s="233"/>
      <c r="FM52" s="1002">
        <v>50</v>
      </c>
      <c r="FN52" s="1003"/>
      <c r="FO52" s="1003"/>
      <c r="FP52" s="1003"/>
      <c r="FQ52" s="1003"/>
      <c r="FR52" s="1003"/>
      <c r="FS52" s="1003"/>
      <c r="FT52" s="1003"/>
      <c r="FU52" s="1003"/>
      <c r="FV52" s="1003"/>
      <c r="FW52" s="1003"/>
      <c r="FX52" s="1007"/>
      <c r="FY52" s="1008"/>
      <c r="FZ52" s="1008"/>
      <c r="GA52" s="1009">
        <v>100</v>
      </c>
      <c r="GB52" s="1004">
        <v>100</v>
      </c>
      <c r="GC52" s="1002">
        <v>50</v>
      </c>
      <c r="GE52" s="989">
        <f t="shared" si="152"/>
        <v>0</v>
      </c>
      <c r="GF52" s="989">
        <f t="shared" si="153"/>
        <v>0</v>
      </c>
      <c r="GG52" s="989">
        <f t="shared" si="154"/>
        <v>0</v>
      </c>
      <c r="GH52" s="989">
        <f t="shared" si="155"/>
        <v>0</v>
      </c>
      <c r="GI52" s="989">
        <f t="shared" si="156"/>
        <v>0</v>
      </c>
      <c r="GJ52" s="989">
        <f t="shared" si="157"/>
        <v>0</v>
      </c>
      <c r="GK52" s="989">
        <f t="shared" si="158"/>
        <v>0</v>
      </c>
      <c r="GL52" s="989">
        <f t="shared" si="159"/>
        <v>0</v>
      </c>
      <c r="GM52" s="989">
        <f t="shared" si="160"/>
        <v>0</v>
      </c>
      <c r="GN52" s="989">
        <f t="shared" si="161"/>
        <v>0</v>
      </c>
      <c r="GO52" s="989">
        <f t="shared" si="162"/>
        <v>0</v>
      </c>
      <c r="GP52" s="989">
        <f t="shared" si="163"/>
        <v>0</v>
      </c>
      <c r="GQ52" s="989">
        <f t="shared" si="164"/>
        <v>0</v>
      </c>
      <c r="GR52" s="989">
        <f t="shared" si="165"/>
        <v>0</v>
      </c>
      <c r="HN52" s="1">
        <v>35888.089035878387</v>
      </c>
      <c r="IF52" s="1269">
        <v>45</v>
      </c>
      <c r="IQ52" s="553">
        <v>100</v>
      </c>
      <c r="IT52" s="989">
        <f>$IE52*IG52/100</f>
        <v>0</v>
      </c>
      <c r="IU52" s="989">
        <f t="shared" si="202"/>
        <v>0</v>
      </c>
      <c r="IV52" s="989">
        <f t="shared" si="203"/>
        <v>0</v>
      </c>
      <c r="IW52" s="989">
        <f t="shared" si="204"/>
        <v>0</v>
      </c>
      <c r="IX52" s="989">
        <f t="shared" si="205"/>
        <v>0</v>
      </c>
      <c r="IY52" s="989">
        <f t="shared" si="206"/>
        <v>0</v>
      </c>
      <c r="IZ52" s="989">
        <f t="shared" si="207"/>
        <v>0</v>
      </c>
      <c r="JA52" s="989">
        <f t="shared" si="208"/>
        <v>0</v>
      </c>
      <c r="JB52" s="989">
        <f t="shared" si="209"/>
        <v>0</v>
      </c>
      <c r="JC52" s="989">
        <f t="shared" si="210"/>
        <v>0</v>
      </c>
      <c r="JD52" s="989">
        <f t="shared" si="211"/>
        <v>0</v>
      </c>
      <c r="JE52" s="989">
        <f>$IE52*IR52/100</f>
        <v>0</v>
      </c>
      <c r="JG52" s="1135">
        <v>626.10351983254748</v>
      </c>
      <c r="JW52" s="989">
        <f t="shared" si="103"/>
        <v>0</v>
      </c>
      <c r="JX52" s="989">
        <f t="shared" si="104"/>
        <v>0</v>
      </c>
      <c r="JY52" s="989">
        <f t="shared" si="92"/>
        <v>0</v>
      </c>
      <c r="JZ52" s="989">
        <f t="shared" si="93"/>
        <v>0</v>
      </c>
      <c r="KA52" s="989">
        <f t="shared" si="94"/>
        <v>0</v>
      </c>
      <c r="KB52" s="989">
        <f t="shared" si="95"/>
        <v>0</v>
      </c>
      <c r="KC52" s="989">
        <f t="shared" si="96"/>
        <v>0</v>
      </c>
      <c r="KD52" s="989">
        <f t="shared" si="97"/>
        <v>0</v>
      </c>
      <c r="KE52" s="989">
        <f t="shared" si="98"/>
        <v>0</v>
      </c>
      <c r="KF52" s="989">
        <f t="shared" si="99"/>
        <v>0</v>
      </c>
      <c r="KG52" s="989">
        <f t="shared" si="100"/>
        <v>0</v>
      </c>
      <c r="KJ52" s="192">
        <f t="shared" si="178"/>
        <v>0</v>
      </c>
      <c r="KK52" s="192">
        <f t="shared" si="179"/>
        <v>0</v>
      </c>
      <c r="KL52" s="192">
        <f t="shared" si="180"/>
        <v>0</v>
      </c>
      <c r="KM52" s="192">
        <f t="shared" si="181"/>
        <v>0</v>
      </c>
      <c r="KN52" s="192">
        <f t="shared" si="182"/>
        <v>0</v>
      </c>
      <c r="KO52" s="192">
        <f t="shared" si="183"/>
        <v>0</v>
      </c>
      <c r="KP52" s="192">
        <f t="shared" si="184"/>
        <v>0</v>
      </c>
      <c r="KQ52" s="192">
        <f t="shared" si="185"/>
        <v>0</v>
      </c>
      <c r="KR52" s="192">
        <f t="shared" si="186"/>
        <v>0</v>
      </c>
      <c r="KS52" s="192">
        <f t="shared" si="187"/>
        <v>0</v>
      </c>
      <c r="KT52" s="192">
        <f t="shared" si="188"/>
        <v>0</v>
      </c>
      <c r="LV52" s="1274">
        <v>113197053.21193995</v>
      </c>
    </row>
    <row r="53" spans="1:387" ht="15" thickTop="1" thickBot="1">
      <c r="A53" s="1822" t="s">
        <v>622</v>
      </c>
      <c r="B53" s="1119"/>
      <c r="C53" s="1856">
        <v>10739.1415</v>
      </c>
      <c r="D53" s="1199">
        <v>11124</v>
      </c>
      <c r="E53" s="116"/>
      <c r="F53" s="1843">
        <f t="shared" si="12"/>
        <v>21863.141499999998</v>
      </c>
      <c r="T53" s="6"/>
      <c r="AR53" s="1822" t="s">
        <v>622</v>
      </c>
      <c r="AS53" s="1119"/>
      <c r="AT53" s="1">
        <v>12904.6185</v>
      </c>
      <c r="AU53" s="1">
        <v>20175.999999999996</v>
      </c>
      <c r="AV53" s="116"/>
      <c r="AW53" s="1843">
        <f>AT53+AU53</f>
        <v>33080.618499999997</v>
      </c>
      <c r="BK53" s="6"/>
      <c r="CH53" s="75"/>
      <c r="CM53" s="638"/>
      <c r="CN53" s="1847">
        <v>50</v>
      </c>
      <c r="CO53" s="1139"/>
      <c r="CP53" s="638"/>
      <c r="CQ53" s="638"/>
      <c r="CR53" s="651"/>
      <c r="CS53" s="1141"/>
      <c r="CT53" s="638"/>
      <c r="CU53" s="638"/>
      <c r="CV53" s="638"/>
      <c r="CW53" s="638"/>
      <c r="CX53" s="638"/>
      <c r="CY53" s="638"/>
      <c r="CZ53" s="638"/>
      <c r="DA53" s="638"/>
      <c r="DB53" s="638"/>
      <c r="DC53" s="638"/>
      <c r="DD53" s="638"/>
      <c r="DE53" s="638"/>
      <c r="DF53" s="638"/>
      <c r="DG53" s="657"/>
      <c r="DH53" s="638"/>
      <c r="DI53" s="638"/>
      <c r="DJ53" s="638"/>
      <c r="DK53" s="638"/>
      <c r="DL53" s="638"/>
      <c r="DM53" s="638"/>
      <c r="DN53" s="638"/>
      <c r="DO53" s="638"/>
      <c r="DP53" s="638"/>
      <c r="DQ53" s="638"/>
      <c r="DR53" s="638"/>
      <c r="DS53" s="638"/>
      <c r="DT53" s="638"/>
      <c r="DU53" s="638"/>
      <c r="DV53" s="638"/>
      <c r="DW53" s="638"/>
      <c r="DX53" s="638"/>
      <c r="DY53" s="638"/>
      <c r="DZ53" s="638"/>
      <c r="EA53" s="638"/>
      <c r="EB53" s="638"/>
      <c r="EC53" s="638"/>
      <c r="ED53" s="638"/>
      <c r="EE53" s="638"/>
      <c r="FM53" s="997" t="s">
        <v>372</v>
      </c>
      <c r="FN53" s="1010">
        <v>46</v>
      </c>
      <c r="FO53" s="1011">
        <v>3</v>
      </c>
      <c r="FP53" s="1012">
        <v>6</v>
      </c>
      <c r="FQ53" s="1012">
        <v>69</v>
      </c>
      <c r="FR53" s="1012">
        <v>112</v>
      </c>
      <c r="FS53" s="1012">
        <v>67</v>
      </c>
      <c r="FT53" s="1012">
        <v>63</v>
      </c>
      <c r="FU53" s="1012">
        <v>60</v>
      </c>
      <c r="FV53" s="1012">
        <v>39</v>
      </c>
      <c r="FW53" s="1012">
        <v>28</v>
      </c>
      <c r="FX53" s="1013">
        <v>41</v>
      </c>
      <c r="FY53" s="1014">
        <v>16</v>
      </c>
      <c r="FZ53" s="1015">
        <v>6</v>
      </c>
      <c r="GA53" s="504">
        <v>4</v>
      </c>
      <c r="GB53" s="1016">
        <v>560</v>
      </c>
      <c r="GC53" s="997" t="s">
        <v>372</v>
      </c>
      <c r="GD53" s="2">
        <f>SUM(GD9:GD52)/1000</f>
        <v>265272.3949959426</v>
      </c>
      <c r="GE53" s="2">
        <f t="shared" ref="GE53:GR53" si="233">SUM(GE9:GE52)/1000</f>
        <v>12447.71289812688</v>
      </c>
      <c r="GF53" s="2">
        <f t="shared" si="233"/>
        <v>26788.42349992551</v>
      </c>
      <c r="GG53" s="2">
        <f t="shared" si="233"/>
        <v>18937.309026346287</v>
      </c>
      <c r="GH53" s="2">
        <f t="shared" si="233"/>
        <v>68672.915169335538</v>
      </c>
      <c r="GI53" s="2">
        <f t="shared" si="233"/>
        <v>87430.726134285331</v>
      </c>
      <c r="GJ53" s="2">
        <f t="shared" si="233"/>
        <v>28645.86352036563</v>
      </c>
      <c r="GK53" s="2">
        <f t="shared" si="233"/>
        <v>11275.725977783535</v>
      </c>
      <c r="GL53" s="1019">
        <f t="shared" si="233"/>
        <v>6682.8875954220921</v>
      </c>
      <c r="GM53" s="1019">
        <f t="shared" si="233"/>
        <v>2310.1131190484725</v>
      </c>
      <c r="GN53" s="1019">
        <f t="shared" si="233"/>
        <v>763.8688090237489</v>
      </c>
      <c r="GO53" s="1019">
        <f t="shared" si="233"/>
        <v>895.69032506819735</v>
      </c>
      <c r="GP53" s="1019">
        <f t="shared" si="233"/>
        <v>235.25023339784184</v>
      </c>
      <c r="GQ53" s="1019">
        <f t="shared" si="233"/>
        <v>65.064619273927619</v>
      </c>
      <c r="GR53" s="1019">
        <f t="shared" si="233"/>
        <v>120.84406853953946</v>
      </c>
      <c r="GS53" s="74">
        <f>SUM(GL53:GR53)</f>
        <v>11073.718769773821</v>
      </c>
      <c r="GW53" s="1031" t="s">
        <v>372</v>
      </c>
      <c r="HN53" s="1">
        <v>23926.692579790462</v>
      </c>
      <c r="IF53" s="1005">
        <v>46</v>
      </c>
      <c r="IQ53" s="553">
        <v>100</v>
      </c>
      <c r="JG53" s="1135"/>
      <c r="JW53" s="989">
        <f t="shared" si="103"/>
        <v>0</v>
      </c>
      <c r="JX53" s="989">
        <f t="shared" si="104"/>
        <v>0</v>
      </c>
      <c r="JY53" s="989">
        <f t="shared" si="92"/>
        <v>0</v>
      </c>
      <c r="JZ53" s="989">
        <f t="shared" si="93"/>
        <v>0</v>
      </c>
      <c r="KA53" s="989">
        <f t="shared" si="94"/>
        <v>0</v>
      </c>
      <c r="KB53" s="989">
        <f t="shared" si="95"/>
        <v>0</v>
      </c>
      <c r="KC53" s="989">
        <f t="shared" si="96"/>
        <v>0</v>
      </c>
      <c r="KD53" s="989">
        <f t="shared" si="97"/>
        <v>0</v>
      </c>
      <c r="KE53" s="989">
        <f t="shared" si="98"/>
        <v>0</v>
      </c>
      <c r="KF53" s="989">
        <f t="shared" si="99"/>
        <v>0</v>
      </c>
      <c r="KG53" s="989">
        <f t="shared" si="100"/>
        <v>0</v>
      </c>
      <c r="KJ53" s="192">
        <f t="shared" si="178"/>
        <v>0</v>
      </c>
      <c r="KK53" s="192">
        <f t="shared" si="179"/>
        <v>0</v>
      </c>
      <c r="KL53" s="192">
        <f t="shared" si="180"/>
        <v>0</v>
      </c>
      <c r="KM53" s="192">
        <f t="shared" si="181"/>
        <v>0</v>
      </c>
      <c r="KN53" s="192">
        <f t="shared" si="182"/>
        <v>0</v>
      </c>
      <c r="KO53" s="192">
        <f t="shared" si="183"/>
        <v>0</v>
      </c>
      <c r="KP53" s="192">
        <f t="shared" si="184"/>
        <v>0</v>
      </c>
      <c r="KQ53" s="192">
        <f t="shared" si="185"/>
        <v>0</v>
      </c>
      <c r="KR53" s="192">
        <f t="shared" si="186"/>
        <v>0</v>
      </c>
      <c r="KS53" s="192">
        <f t="shared" si="187"/>
        <v>0</v>
      </c>
      <c r="KT53" s="192">
        <f t="shared" si="188"/>
        <v>0</v>
      </c>
      <c r="LV53" s="2">
        <v>24334.966073239528</v>
      </c>
    </row>
    <row r="54" spans="1:387" ht="18.600000000000001" thickTop="1" thickBot="1">
      <c r="A54" s="1822" t="s">
        <v>454</v>
      </c>
      <c r="B54" s="1119"/>
      <c r="C54" s="1856">
        <v>28054.725700000003</v>
      </c>
      <c r="D54" s="1199">
        <v>23816.930409600001</v>
      </c>
      <c r="E54" s="116"/>
      <c r="F54" s="1843">
        <f t="shared" si="12"/>
        <v>51871.656109600008</v>
      </c>
      <c r="T54" s="6" t="s">
        <v>623</v>
      </c>
      <c r="AH54" s="94" t="s">
        <v>624</v>
      </c>
      <c r="AR54" s="1822" t="s">
        <v>454</v>
      </c>
      <c r="AS54" s="1119"/>
      <c r="AT54" s="1">
        <v>12904.6185</v>
      </c>
      <c r="AU54" s="1">
        <v>20175.999999999996</v>
      </c>
      <c r="AV54" s="116"/>
      <c r="AW54" s="1843">
        <f>AT54+AU54</f>
        <v>33080.618499999997</v>
      </c>
      <c r="BK54" s="6" t="s">
        <v>623</v>
      </c>
      <c r="BY54" s="94" t="s">
        <v>624</v>
      </c>
      <c r="CH54" s="75"/>
      <c r="CM54" s="638"/>
      <c r="CN54" s="1847" t="s">
        <v>380</v>
      </c>
      <c r="CO54" s="1139"/>
      <c r="CP54" s="451">
        <f>SUM(CP10:CP48)</f>
        <v>631241544.10495722</v>
      </c>
      <c r="CQ54" s="451">
        <f>SUM(CQ10:CQ48)</f>
        <v>215622456.78403553</v>
      </c>
      <c r="CR54" s="451">
        <f>SUM(CR10:CR48)</f>
        <v>846864000.88899314</v>
      </c>
      <c r="CS54" s="1141">
        <f>CP54+CQ54</f>
        <v>846864000.88899279</v>
      </c>
      <c r="CT54" s="638"/>
      <c r="CU54" s="638"/>
      <c r="CV54" s="638"/>
      <c r="CW54" s="638"/>
      <c r="CX54" s="638"/>
      <c r="CY54" s="638"/>
      <c r="CZ54" s="638"/>
      <c r="DA54" s="638"/>
      <c r="DB54" s="638"/>
      <c r="DC54" s="638"/>
      <c r="DD54" s="638"/>
      <c r="DE54" s="638"/>
      <c r="DF54" s="638"/>
      <c r="DG54" s="657"/>
      <c r="DH54" s="638"/>
      <c r="DI54" s="638"/>
      <c r="DJ54" s="638"/>
      <c r="DK54" s="638"/>
      <c r="DL54" s="638"/>
      <c r="DM54" s="638"/>
      <c r="DN54" s="638"/>
      <c r="DO54" s="638"/>
      <c r="DP54" s="638"/>
      <c r="DQ54" s="638"/>
      <c r="DR54" s="638"/>
      <c r="DS54" s="638"/>
      <c r="DT54" s="638"/>
      <c r="DU54" s="638"/>
      <c r="DV54" s="638"/>
      <c r="DW54" s="638"/>
      <c r="DX54" s="638"/>
      <c r="DY54" s="638"/>
      <c r="DZ54" s="638"/>
      <c r="EA54" s="638"/>
      <c r="EB54" s="638"/>
      <c r="EC54" s="638"/>
      <c r="ED54" s="638"/>
      <c r="EE54" s="638"/>
      <c r="GD54" s="1" t="s">
        <v>18</v>
      </c>
      <c r="GE54" s="1" t="s">
        <v>18</v>
      </c>
      <c r="GF54" s="1" t="s">
        <v>18</v>
      </c>
      <c r="GG54" s="1" t="s">
        <v>18</v>
      </c>
      <c r="GH54" s="1" t="s">
        <v>18</v>
      </c>
      <c r="GI54" s="1" t="s">
        <v>18</v>
      </c>
      <c r="GJ54" s="1" t="s">
        <v>18</v>
      </c>
      <c r="GK54" s="1" t="s">
        <v>18</v>
      </c>
      <c r="GL54" s="1" t="s">
        <v>18</v>
      </c>
      <c r="GM54" s="1" t="s">
        <v>18</v>
      </c>
      <c r="GN54" s="1" t="s">
        <v>18</v>
      </c>
      <c r="GW54" s="1026" t="s">
        <v>559</v>
      </c>
      <c r="HN54" s="1">
        <v>8890.9612749364278</v>
      </c>
      <c r="IF54" s="1269">
        <v>47</v>
      </c>
      <c r="IQ54" s="553">
        <v>100</v>
      </c>
      <c r="JG54" s="1135"/>
      <c r="KJ54" s="2">
        <f>SUM(KJ10:KJ53)/1000</f>
        <v>47511.712558911604</v>
      </c>
      <c r="KK54" s="2">
        <f t="shared" ref="KK54:KR54" si="234">SUM(KK10:KK53)/1000</f>
        <v>179287.31189654311</v>
      </c>
      <c r="KL54" s="2">
        <f t="shared" si="234"/>
        <v>215747.93726918753</v>
      </c>
      <c r="KM54" s="2">
        <f t="shared" si="234"/>
        <v>107312.6823130111</v>
      </c>
      <c r="KN54" s="2">
        <f t="shared" si="234"/>
        <v>53105.033816005918</v>
      </c>
      <c r="KO54" s="2">
        <f t="shared" si="234"/>
        <v>32629.838078642417</v>
      </c>
      <c r="KP54" s="2">
        <f t="shared" si="234"/>
        <v>18213.386890107824</v>
      </c>
      <c r="KQ54" s="2">
        <f t="shared" si="234"/>
        <v>2825.3360855764463</v>
      </c>
      <c r="KR54" s="2">
        <f t="shared" si="234"/>
        <v>1017.5145886365117</v>
      </c>
      <c r="KS54" s="2">
        <f>SUM(KS10:KS53)/1000</f>
        <v>129.12351785326396</v>
      </c>
      <c r="KT54" s="2">
        <f>SUM(KT10:KT53)/1000</f>
        <v>0</v>
      </c>
      <c r="KW54" s="2">
        <f>SUM(KW10:KW53)/1000</f>
        <v>601075.43584672234</v>
      </c>
      <c r="KX54" s="2">
        <f t="shared" ref="KX54:LJ54" si="235">SUM(KX10:KX53)/1000</f>
        <v>0.56777777777777783</v>
      </c>
      <c r="KY54" s="2">
        <f t="shared" si="235"/>
        <v>0.57519425019425019</v>
      </c>
      <c r="KZ54" s="2">
        <f t="shared" si="235"/>
        <v>0.41166716616716609</v>
      </c>
      <c r="LA54" s="2">
        <f t="shared" si="235"/>
        <v>0.28684078321034845</v>
      </c>
      <c r="LB54" s="2">
        <f t="shared" si="235"/>
        <v>0.30639328465415422</v>
      </c>
      <c r="LC54" s="2">
        <f t="shared" si="235"/>
        <v>0.2274254921280093</v>
      </c>
      <c r="LD54" s="2">
        <f t="shared" si="235"/>
        <v>0.24192422756495985</v>
      </c>
      <c r="LE54" s="2">
        <f t="shared" si="235"/>
        <v>0.2542777398040556</v>
      </c>
      <c r="LF54" s="2">
        <f t="shared" si="235"/>
        <v>0.1558802308802309</v>
      </c>
      <c r="LG54" s="2">
        <f t="shared" si="235"/>
        <v>0.27261904761904759</v>
      </c>
      <c r="LH54" s="2">
        <f t="shared" si="235"/>
        <v>0.3</v>
      </c>
      <c r="LI54" s="2">
        <f t="shared" si="235"/>
        <v>0</v>
      </c>
      <c r="LJ54" s="2">
        <f t="shared" si="235"/>
        <v>107243.71887350416</v>
      </c>
      <c r="LK54" s="2">
        <f t="shared" ref="LK54:LT54" si="236">SUM(LK10:LK53)/1000</f>
        <v>176415.24968787463</v>
      </c>
      <c r="LL54" s="2">
        <f t="shared" si="236"/>
        <v>180788.59263892838</v>
      </c>
      <c r="LM54" s="2">
        <f t="shared" si="236"/>
        <v>60572.946989951073</v>
      </c>
      <c r="LN54" s="2">
        <f t="shared" si="236"/>
        <v>32734.426758044909</v>
      </c>
      <c r="LO54" s="2">
        <f t="shared" si="236"/>
        <v>18269.986543541392</v>
      </c>
      <c r="LP54" s="2">
        <f t="shared" si="236"/>
        <v>13708.7464920805</v>
      </c>
      <c r="LQ54" s="2">
        <f t="shared" si="236"/>
        <v>6929.6811437238157</v>
      </c>
      <c r="LR54" s="2">
        <f t="shared" si="236"/>
        <v>2865.6944013037</v>
      </c>
      <c r="LS54" s="2">
        <f t="shared" si="236"/>
        <v>1395.8351339887558</v>
      </c>
      <c r="LT54" s="2">
        <f t="shared" si="236"/>
        <v>150.5571837809469</v>
      </c>
      <c r="LV54" s="2">
        <v>214.97879478962173</v>
      </c>
      <c r="MI54" s="2">
        <f>SUM(MI10:MI53)/1000</f>
        <v>4120.1996129856416</v>
      </c>
      <c r="MJ54" s="2">
        <f>SUM(MJ10:MJ53)/1000</f>
        <v>24162.144639669164</v>
      </c>
      <c r="MK54" s="2">
        <f>SUM(MK10:MK53)/1000</f>
        <v>32200.668807023754</v>
      </c>
      <c r="ML54" s="2">
        <f t="shared" ref="ML54:MS54" si="237">SUM(ML10:ML53)/1000</f>
        <v>13349.51730374133</v>
      </c>
      <c r="MM54" s="2">
        <f t="shared" si="237"/>
        <v>16887.166238129663</v>
      </c>
      <c r="MN54" s="2">
        <f t="shared" si="237"/>
        <v>12260.053095314972</v>
      </c>
      <c r="MO54" s="2">
        <f t="shared" si="237"/>
        <v>7589.860085219967</v>
      </c>
      <c r="MP54" s="2">
        <f t="shared" si="237"/>
        <v>2127.8960585130067</v>
      </c>
      <c r="MQ54" s="2">
        <f t="shared" si="237"/>
        <v>287.59432600320179</v>
      </c>
      <c r="MR54" s="2">
        <f t="shared" si="237"/>
        <v>155.94784358392857</v>
      </c>
      <c r="MS54" s="2">
        <f t="shared" si="237"/>
        <v>56.005201755332671</v>
      </c>
      <c r="MV54" s="2">
        <f>SUM(MV10:MV53)/1000</f>
        <v>333580.47963179462</v>
      </c>
      <c r="MW54" s="2">
        <f t="shared" ref="MW54:NB54" si="238">SUM(MW10:MW53)/1000</f>
        <v>0.79418999999999995</v>
      </c>
      <c r="MX54" s="2">
        <f t="shared" si="238"/>
        <v>0.50409999999999999</v>
      </c>
      <c r="MY54" s="2">
        <f t="shared" si="238"/>
        <v>0.38301000000000002</v>
      </c>
      <c r="MZ54" s="2">
        <f t="shared" si="238"/>
        <v>0.3029</v>
      </c>
      <c r="NA54" s="2">
        <f t="shared" si="238"/>
        <v>0.29483999999999999</v>
      </c>
      <c r="NB54" s="2">
        <f t="shared" si="238"/>
        <v>0.21775000000000003</v>
      </c>
      <c r="NC54" s="2">
        <f t="shared" ref="NC54" si="239">SUM(NC10:NC53)/1000</f>
        <v>0.24627000000000002</v>
      </c>
      <c r="ND54" s="2">
        <f t="shared" ref="ND54" si="240">SUM(ND10:ND53)/1000</f>
        <v>0.29633999999999999</v>
      </c>
      <c r="NE54" s="2">
        <f t="shared" ref="NE54" si="241">SUM(NE10:NE53)/1000</f>
        <v>0.19893</v>
      </c>
      <c r="NF54" s="2">
        <f t="shared" ref="NF54" si="242">SUM(NF10:NF53)/1000</f>
        <v>0.15332999999999999</v>
      </c>
      <c r="NG54" s="2">
        <f t="shared" ref="NG54" si="243">SUM(NG10:NG53)/1000</f>
        <v>0.20832999999999999</v>
      </c>
      <c r="NH54" s="2">
        <f t="shared" ref="NH54" si="244">SUM(NH10:NH53)/1000</f>
        <v>0</v>
      </c>
      <c r="NI54" s="2">
        <f t="shared" ref="NI54" si="245">SUM(NI10:NI53)/1000</f>
        <v>0</v>
      </c>
      <c r="NJ54" s="2">
        <f t="shared" ref="NJ54" si="246">SUM(NJ10:NJ53)/1000</f>
        <v>68228.23543674688</v>
      </c>
      <c r="NR54" s="2">
        <f t="shared" ref="NR54" si="247">SUM(NR10:NR53)/1000</f>
        <v>328.78315670594691</v>
      </c>
      <c r="NS54" s="2">
        <f t="shared" ref="NS54" si="248">SUM(NS10:NS53)/1000</f>
        <v>91.228911760697088</v>
      </c>
      <c r="NT54" s="2">
        <f t="shared" ref="NT54" si="249">SUM(NT10:NT53)/1000</f>
        <v>40.938146026337861</v>
      </c>
      <c r="NU54" s="2">
        <f t="shared" ref="NU54" si="250">SUM(NU10:NU53)/1000</f>
        <v>0</v>
      </c>
      <c r="NV54" s="2">
        <f t="shared" ref="NV54" si="251">SUM(NV10:NV53)/1000</f>
        <v>0</v>
      </c>
      <c r="NW54" s="2">
        <f t="shared" ref="NW54" si="252">SUM(NW10:NW53)/1000</f>
        <v>0</v>
      </c>
    </row>
    <row r="55" spans="1:387" ht="18.600000000000001" thickTop="1" thickBot="1">
      <c r="A55" s="123"/>
      <c r="C55" s="359"/>
      <c r="D55" s="20"/>
      <c r="E55" s="116"/>
      <c r="F55" s="470"/>
      <c r="G55" s="94"/>
      <c r="T55" s="6"/>
      <c r="AH55" s="94"/>
      <c r="AR55" s="123"/>
      <c r="AS55" s="1"/>
      <c r="AT55" s="359"/>
      <c r="AU55" s="20"/>
      <c r="AV55" s="116"/>
      <c r="AW55" s="470"/>
      <c r="AX55" s="94"/>
      <c r="BK55" s="6"/>
      <c r="BY55" s="94"/>
      <c r="CH55" s="75"/>
      <c r="CM55" s="638"/>
      <c r="CN55" s="1847" t="s">
        <v>622</v>
      </c>
      <c r="CO55" s="1139"/>
      <c r="CP55" s="638">
        <v>384429249.144665</v>
      </c>
      <c r="CQ55" s="638">
        <v>94382854.418431297</v>
      </c>
      <c r="CR55" s="651">
        <f>SUM(CP55:CQ55)</f>
        <v>478812103.56309628</v>
      </c>
      <c r="CS55" s="1141">
        <f>CP55+CQ55</f>
        <v>478812103.56309628</v>
      </c>
      <c r="CT55" s="638"/>
      <c r="CU55" s="638"/>
      <c r="CV55" s="638"/>
      <c r="CW55" s="638"/>
      <c r="CX55" s="638"/>
      <c r="CY55" s="638"/>
      <c r="CZ55" s="638"/>
      <c r="DA55" s="638"/>
      <c r="DB55" s="638"/>
      <c r="DC55" s="638"/>
      <c r="DD55" s="638"/>
      <c r="DE55" s="638"/>
      <c r="DF55" s="638"/>
      <c r="DG55" s="657"/>
      <c r="DH55" s="638"/>
      <c r="DI55" s="638"/>
      <c r="DJ55" s="638"/>
      <c r="DK55" s="638"/>
      <c r="DL55" s="638"/>
      <c r="DM55" s="638"/>
      <c r="DN55" s="638"/>
      <c r="DO55" s="638"/>
      <c r="DP55" s="638"/>
      <c r="DQ55" s="638"/>
      <c r="DR55" s="638"/>
      <c r="GC55" s="1" t="s">
        <v>625</v>
      </c>
      <c r="GD55" s="1">
        <v>265272.3949959426</v>
      </c>
      <c r="GE55" s="1">
        <v>12447.71289812688</v>
      </c>
      <c r="GF55" s="1">
        <v>26788.42349992551</v>
      </c>
      <c r="GG55" s="1">
        <v>18937.309026346287</v>
      </c>
      <c r="GH55" s="1">
        <v>68672.915169335538</v>
      </c>
      <c r="GI55" s="1">
        <v>87430.726134285331</v>
      </c>
      <c r="GJ55" s="1">
        <v>28645.86352036563</v>
      </c>
      <c r="GK55" s="1">
        <v>11275.725977783535</v>
      </c>
      <c r="GL55" s="1">
        <v>11073.718769773821</v>
      </c>
      <c r="HN55" s="1">
        <v>4404.0686837381436</v>
      </c>
      <c r="IF55" s="1005">
        <v>48</v>
      </c>
      <c r="JG55" s="1135"/>
      <c r="KW55" s="2">
        <v>65109.387564686571</v>
      </c>
      <c r="NJ55" s="2">
        <f>SUM(NK10:NK53)/1000</f>
        <v>142041.49958701988</v>
      </c>
    </row>
    <row r="56" spans="1:387" ht="18.600000000000001" thickTop="1" thickBot="1">
      <c r="A56" s="123"/>
      <c r="C56" s="359"/>
      <c r="D56" s="20"/>
      <c r="E56" s="116"/>
      <c r="F56" s="470"/>
      <c r="G56" s="94" t="s">
        <v>558</v>
      </c>
      <c r="T56" s="6"/>
      <c r="AH56" s="94"/>
      <c r="AR56" s="123"/>
      <c r="AS56" s="1"/>
      <c r="AT56" s="359"/>
      <c r="AU56" s="20"/>
      <c r="AV56" s="116"/>
      <c r="AW56" s="470"/>
      <c r="AX56" s="94" t="s">
        <v>558</v>
      </c>
      <c r="BK56" s="6"/>
      <c r="BY56" s="94"/>
      <c r="CH56" s="75"/>
      <c r="CM56" s="638"/>
      <c r="CN56" s="1847" t="s">
        <v>454</v>
      </c>
      <c r="CO56" s="1139"/>
      <c r="CP56" s="638">
        <v>45622.634350000008</v>
      </c>
      <c r="CQ56" s="638" t="s">
        <v>18</v>
      </c>
      <c r="CR56" s="665">
        <f>CP56*1000/CR54</f>
        <v>5.3872445046793553E-2</v>
      </c>
      <c r="CS56" s="1141" t="e">
        <f>CP56+CQ56</f>
        <v>#VALUE!</v>
      </c>
      <c r="CT56" s="638"/>
      <c r="CU56" s="638"/>
      <c r="CV56" s="638"/>
      <c r="CW56" s="638"/>
      <c r="CX56" s="638"/>
      <c r="CY56" s="638"/>
      <c r="CZ56" s="638"/>
      <c r="DA56" s="638"/>
      <c r="DB56" s="638"/>
      <c r="DC56" s="638"/>
      <c r="DD56" s="638"/>
      <c r="DE56" s="638"/>
      <c r="DF56" s="638"/>
      <c r="DG56" s="657" t="s">
        <v>626</v>
      </c>
      <c r="DH56" s="638"/>
      <c r="DI56" s="638"/>
      <c r="DJ56" s="638"/>
      <c r="DK56" s="638"/>
      <c r="DL56" s="638"/>
      <c r="DM56" s="638"/>
      <c r="DN56" s="638"/>
      <c r="DO56" s="638"/>
      <c r="DP56" s="638"/>
      <c r="DQ56" s="638"/>
      <c r="DR56" s="638"/>
      <c r="DU56" s="94"/>
      <c r="GD56" s="1" t="s">
        <v>18</v>
      </c>
      <c r="GE56" s="1" t="s">
        <v>18</v>
      </c>
      <c r="GF56" s="1" t="s">
        <v>18</v>
      </c>
      <c r="GG56" s="1" t="s">
        <v>18</v>
      </c>
      <c r="GH56" s="1" t="s">
        <v>18</v>
      </c>
      <c r="GI56" s="1" t="s">
        <v>18</v>
      </c>
      <c r="GJ56" s="1" t="s">
        <v>18</v>
      </c>
      <c r="GK56" s="1" t="s">
        <v>18</v>
      </c>
      <c r="GL56" s="1" t="s">
        <v>18</v>
      </c>
      <c r="GM56" s="1" t="s">
        <v>18</v>
      </c>
      <c r="IF56" s="997" t="s">
        <v>372</v>
      </c>
      <c r="IG56" s="1010"/>
      <c r="IH56" s="1011"/>
      <c r="II56" s="1012"/>
      <c r="IJ56" s="1012"/>
      <c r="IK56" s="1012"/>
      <c r="IL56" s="1012"/>
      <c r="IM56" s="1012"/>
      <c r="IN56" s="1012"/>
      <c r="IO56" s="1012"/>
      <c r="IP56" s="1012"/>
      <c r="IQ56" s="1012"/>
      <c r="JG56" s="1138"/>
      <c r="KJ56" s="2">
        <v>47511.712558911604</v>
      </c>
      <c r="KR56" s="2">
        <v>1017.5145886365117</v>
      </c>
      <c r="KS56" s="2">
        <v>129.12351785326396</v>
      </c>
      <c r="KT56" s="2">
        <v>0</v>
      </c>
      <c r="KU56" s="74">
        <f>SUM(KR56:KT56)</f>
        <v>1146.6381064897757</v>
      </c>
      <c r="KW56" s="2">
        <v>108.32149125004308</v>
      </c>
      <c r="LR56" s="2">
        <f>SUM(LR12:LR55)/1000</f>
        <v>2868.5600957050037</v>
      </c>
      <c r="LS56" s="2">
        <f>SUM(LS12:LS55)/1000</f>
        <v>1397.2309691227445</v>
      </c>
      <c r="LT56" s="2">
        <f>SUM(LT12:LT55)/1000</f>
        <v>150.70774096472786</v>
      </c>
      <c r="NJ56" s="2">
        <f>SUM(NL10:NL53)/1000</f>
        <v>49395.595717419368</v>
      </c>
    </row>
    <row r="57" spans="1:387" ht="18.600000000000001" thickTop="1" thickBot="1">
      <c r="B57" s="1147"/>
      <c r="C57" s="1154" t="s">
        <v>416</v>
      </c>
      <c r="D57" s="1151" t="s">
        <v>627</v>
      </c>
      <c r="E57" s="1859" t="s">
        <v>628</v>
      </c>
      <c r="F57" s="1" t="s">
        <v>599</v>
      </c>
      <c r="G57" s="1" t="s">
        <v>600</v>
      </c>
      <c r="H57" s="1" t="s">
        <v>572</v>
      </c>
      <c r="I57" s="1" t="s">
        <v>573</v>
      </c>
      <c r="J57" s="1" t="s">
        <v>574</v>
      </c>
      <c r="K57" s="1" t="s">
        <v>575</v>
      </c>
      <c r="L57" s="1" t="s">
        <v>576</v>
      </c>
      <c r="M57" s="1" t="s">
        <v>577</v>
      </c>
      <c r="N57" s="1" t="s">
        <v>578</v>
      </c>
      <c r="O57" s="1" t="s">
        <v>579</v>
      </c>
      <c r="P57" s="1" t="s">
        <v>580</v>
      </c>
      <c r="T57" s="118" t="s">
        <v>568</v>
      </c>
      <c r="U57" s="1119" t="s">
        <v>600</v>
      </c>
      <c r="V57" s="1119" t="s">
        <v>572</v>
      </c>
      <c r="W57" s="1119" t="s">
        <v>573</v>
      </c>
      <c r="X57" s="1119" t="s">
        <v>574</v>
      </c>
      <c r="Y57" s="1119" t="s">
        <v>575</v>
      </c>
      <c r="Z57" s="1119" t="s">
        <v>576</v>
      </c>
      <c r="AA57" s="1119" t="s">
        <v>577</v>
      </c>
      <c r="AB57" s="1119" t="s">
        <v>578</v>
      </c>
      <c r="AC57" s="1119" t="s">
        <v>579</v>
      </c>
      <c r="AD57" s="1119" t="s">
        <v>580</v>
      </c>
      <c r="AE57" s="1119"/>
      <c r="AF57" s="118" t="s">
        <v>568</v>
      </c>
      <c r="AG57" s="1119" t="s">
        <v>600</v>
      </c>
      <c r="AH57" s="1119" t="s">
        <v>572</v>
      </c>
      <c r="AI57" s="1119" t="s">
        <v>573</v>
      </c>
      <c r="AJ57" s="1119" t="s">
        <v>574</v>
      </c>
      <c r="AK57" s="1119" t="s">
        <v>575</v>
      </c>
      <c r="AL57" s="1119" t="s">
        <v>576</v>
      </c>
      <c r="AM57" s="1119" t="s">
        <v>577</v>
      </c>
      <c r="AN57" s="1119" t="s">
        <v>578</v>
      </c>
      <c r="AO57" s="1119" t="s">
        <v>579</v>
      </c>
      <c r="AP57" s="1119" t="s">
        <v>580</v>
      </c>
      <c r="AQ57" s="1290"/>
      <c r="AR57" s="1"/>
      <c r="AS57" s="1147"/>
      <c r="AT57" s="1154" t="s">
        <v>416</v>
      </c>
      <c r="AU57" s="1151" t="s">
        <v>627</v>
      </c>
      <c r="AV57" s="1859" t="s">
        <v>628</v>
      </c>
      <c r="AW57" s="1" t="s">
        <v>599</v>
      </c>
      <c r="AX57" s="1" t="s">
        <v>600</v>
      </c>
      <c r="AY57" s="1" t="s">
        <v>572</v>
      </c>
      <c r="AZ57" s="1" t="s">
        <v>573</v>
      </c>
      <c r="BA57" s="1" t="s">
        <v>574</v>
      </c>
      <c r="BB57" s="1" t="s">
        <v>575</v>
      </c>
      <c r="BC57" s="1" t="s">
        <v>576</v>
      </c>
      <c r="BD57" s="1" t="s">
        <v>577</v>
      </c>
      <c r="BE57" s="1" t="s">
        <v>578</v>
      </c>
      <c r="BF57" s="1" t="s">
        <v>579</v>
      </c>
      <c r="BG57" s="1" t="s">
        <v>580</v>
      </c>
      <c r="BK57" s="118" t="s">
        <v>568</v>
      </c>
      <c r="BL57" s="1119" t="s">
        <v>600</v>
      </c>
      <c r="BM57" s="1119" t="s">
        <v>572</v>
      </c>
      <c r="BN57" s="1119" t="s">
        <v>573</v>
      </c>
      <c r="BO57" s="1119" t="s">
        <v>574</v>
      </c>
      <c r="BP57" s="1119" t="s">
        <v>575</v>
      </c>
      <c r="BQ57" s="1119" t="s">
        <v>576</v>
      </c>
      <c r="BR57" s="1119" t="s">
        <v>577</v>
      </c>
      <c r="BS57" s="1119" t="s">
        <v>578</v>
      </c>
      <c r="BT57" s="1119" t="s">
        <v>579</v>
      </c>
      <c r="BU57" s="1119" t="s">
        <v>580</v>
      </c>
      <c r="BV57" s="1119"/>
      <c r="BW57" s="118" t="s">
        <v>568</v>
      </c>
      <c r="BX57" s="1119" t="s">
        <v>600</v>
      </c>
      <c r="BY57" s="1119" t="s">
        <v>572</v>
      </c>
      <c r="BZ57" s="1119" t="s">
        <v>573</v>
      </c>
      <c r="CA57" s="1119" t="s">
        <v>574</v>
      </c>
      <c r="CB57" s="1119" t="s">
        <v>575</v>
      </c>
      <c r="CC57" s="1119" t="s">
        <v>576</v>
      </c>
      <c r="CD57" s="1119" t="s">
        <v>577</v>
      </c>
      <c r="CE57" s="1119" t="s">
        <v>578</v>
      </c>
      <c r="CF57" s="1119" t="s">
        <v>579</v>
      </c>
      <c r="CG57" s="1119" t="s">
        <v>580</v>
      </c>
      <c r="CH57" s="1290"/>
      <c r="CM57" s="638"/>
      <c r="CN57" s="654"/>
      <c r="CO57" s="638"/>
      <c r="CP57" s="658"/>
      <c r="CQ57" s="646"/>
      <c r="CR57" s="651"/>
      <c r="CS57" s="659"/>
      <c r="CT57" s="640"/>
      <c r="CU57" s="638"/>
      <c r="CV57" s="638"/>
      <c r="CW57" s="638"/>
      <c r="CX57" s="638"/>
      <c r="CY57" s="638"/>
      <c r="CZ57" s="638"/>
      <c r="DA57" s="638"/>
      <c r="DB57" s="638"/>
      <c r="DC57" s="638"/>
      <c r="DD57" s="638"/>
      <c r="DE57" s="638"/>
      <c r="DF57" s="638"/>
      <c r="DG57" s="657"/>
      <c r="DH57" s="638"/>
      <c r="DI57" s="638"/>
      <c r="DJ57" s="638"/>
      <c r="DK57" s="638"/>
      <c r="DL57" s="638"/>
      <c r="DM57" s="638"/>
      <c r="DN57" s="638"/>
      <c r="DO57" s="638"/>
      <c r="DP57" s="638"/>
      <c r="DQ57" s="638"/>
      <c r="DR57" s="638"/>
      <c r="DU57" s="94"/>
      <c r="GC57" s="1" t="s">
        <v>629</v>
      </c>
      <c r="GD57" s="1">
        <v>176179.25851370167</v>
      </c>
      <c r="GE57" s="1">
        <v>81045.927900111987</v>
      </c>
      <c r="GF57" s="1">
        <v>55042.175825424827</v>
      </c>
      <c r="GG57" s="1">
        <v>71932.623274575031</v>
      </c>
      <c r="GH57" s="1">
        <v>27895.681056217854</v>
      </c>
      <c r="GI57" s="1">
        <v>5622.192039202082</v>
      </c>
      <c r="GJ57" s="1">
        <v>3286.5692877576566</v>
      </c>
      <c r="GK57" s="1">
        <v>1192.9051517914447</v>
      </c>
      <c r="GL57" s="1">
        <v>509.43582033150358</v>
      </c>
      <c r="JG57" s="1138">
        <v>11995367.841780618</v>
      </c>
      <c r="KJ57" s="2">
        <v>179287.31189654311</v>
      </c>
      <c r="MH57" s="1" t="s">
        <v>197</v>
      </c>
      <c r="MI57" s="1" t="s">
        <v>630</v>
      </c>
      <c r="NJ57" s="2">
        <f>SUM(NM10:NM53)/1000</f>
        <v>27159.874448690411</v>
      </c>
    </row>
    <row r="58" spans="1:387" ht="18.600000000000001" thickTop="1" thickBot="1">
      <c r="B58" s="1147">
        <v>5</v>
      </c>
      <c r="C58" s="1154"/>
      <c r="D58" s="1154"/>
      <c r="E58" s="1843"/>
      <c r="F58" s="1">
        <v>5</v>
      </c>
      <c r="G58" s="1">
        <v>100</v>
      </c>
      <c r="T58" s="114">
        <v>5</v>
      </c>
      <c r="U58" s="1145">
        <f>$E58*G58/100</f>
        <v>0</v>
      </c>
      <c r="V58" s="1145">
        <f t="shared" ref="V58:AD58" si="253">$E58*H58/100</f>
        <v>0</v>
      </c>
      <c r="W58" s="1145">
        <f t="shared" si="253"/>
        <v>0</v>
      </c>
      <c r="X58" s="1145">
        <f t="shared" si="253"/>
        <v>0</v>
      </c>
      <c r="Y58" s="1145">
        <f t="shared" si="253"/>
        <v>0</v>
      </c>
      <c r="Z58" s="1145">
        <f t="shared" si="253"/>
        <v>0</v>
      </c>
      <c r="AA58" s="1145">
        <f t="shared" si="253"/>
        <v>0</v>
      </c>
      <c r="AB58" s="1145">
        <f t="shared" si="253"/>
        <v>0</v>
      </c>
      <c r="AC58" s="1145">
        <f t="shared" si="253"/>
        <v>0</v>
      </c>
      <c r="AD58" s="1145">
        <f t="shared" si="253"/>
        <v>0</v>
      </c>
      <c r="AE58" s="1145"/>
      <c r="AF58" s="114">
        <v>5</v>
      </c>
      <c r="AG58" s="1145">
        <f t="shared" ref="AG58:AG98" si="254">$T58*U58</f>
        <v>0</v>
      </c>
      <c r="AH58" s="1145">
        <f t="shared" ref="AH58:AH98" si="255">$T58*V58</f>
        <v>0</v>
      </c>
      <c r="AI58" s="1145">
        <f t="shared" ref="AI58:AI98" si="256">$T58*W58</f>
        <v>0</v>
      </c>
      <c r="AJ58" s="1145">
        <f t="shared" ref="AJ58:AJ98" si="257">$T58*X58</f>
        <v>0</v>
      </c>
      <c r="AK58" s="1145">
        <f t="shared" ref="AK58:AK98" si="258">$T58*Y58</f>
        <v>0</v>
      </c>
      <c r="AL58" s="1145">
        <f t="shared" ref="AL58:AL98" si="259">$T58*Z58</f>
        <v>0</v>
      </c>
      <c r="AM58" s="1145">
        <f t="shared" ref="AM58:AM98" si="260">$T58*AA58</f>
        <v>0</v>
      </c>
      <c r="AN58" s="1145">
        <f t="shared" ref="AN58:AN98" si="261">$T58*AB58</f>
        <v>0</v>
      </c>
      <c r="AO58" s="1145">
        <f t="shared" ref="AO58:AO98" si="262">$T58*AC58</f>
        <v>0</v>
      </c>
      <c r="AP58" s="1145">
        <f t="shared" ref="AP58:AP98" si="263">$T58*AD58</f>
        <v>0</v>
      </c>
      <c r="AQ58" s="1303"/>
      <c r="AR58" s="1"/>
      <c r="AS58" s="1147">
        <v>5</v>
      </c>
      <c r="AT58" s="1154"/>
      <c r="AU58" s="1154"/>
      <c r="AV58" s="1843">
        <v>0</v>
      </c>
      <c r="AW58" s="1">
        <v>5</v>
      </c>
      <c r="AX58" s="1">
        <v>100</v>
      </c>
      <c r="BK58" s="114">
        <v>5</v>
      </c>
      <c r="BL58" s="1145">
        <f>$E58*AX58/100</f>
        <v>0</v>
      </c>
      <c r="BM58" s="1145">
        <f t="shared" ref="BM58:BM71" si="264">$E58*AY58/100</f>
        <v>0</v>
      </c>
      <c r="BN58" s="1145">
        <f t="shared" ref="BN58:BN71" si="265">$E58*AZ58/100</f>
        <v>0</v>
      </c>
      <c r="BO58" s="1145">
        <f t="shared" ref="BO58:BO71" si="266">$E58*BA58/100</f>
        <v>0</v>
      </c>
      <c r="BP58" s="1145">
        <f t="shared" ref="BP58:BP71" si="267">$E58*BB58/100</f>
        <v>0</v>
      </c>
      <c r="BQ58" s="1145">
        <f t="shared" ref="BQ58:BQ71" si="268">$E58*BC58/100</f>
        <v>0</v>
      </c>
      <c r="BR58" s="1145">
        <f t="shared" ref="BR58:BR71" si="269">$E58*BD58/100</f>
        <v>0</v>
      </c>
      <c r="BS58" s="1145">
        <f t="shared" ref="BS58:BS71" si="270">$E58*BE58/100</f>
        <v>0</v>
      </c>
      <c r="BT58" s="1145">
        <f t="shared" ref="BT58:BT71" si="271">$E58*BF58/100</f>
        <v>0</v>
      </c>
      <c r="BU58" s="1145">
        <f t="shared" ref="BU58:BU71" si="272">$E58*BG58/100</f>
        <v>0</v>
      </c>
      <c r="BV58" s="1145"/>
      <c r="BW58" s="114">
        <v>5</v>
      </c>
      <c r="BX58" s="1145">
        <f t="shared" ref="BX58:BX98" si="273">$T58*BL58</f>
        <v>0</v>
      </c>
      <c r="BY58" s="1145">
        <f t="shared" ref="BY58:BY72" si="274">$T58*BM58</f>
        <v>0</v>
      </c>
      <c r="BZ58" s="1145">
        <f t="shared" ref="BZ58:BZ72" si="275">$T58*BN58</f>
        <v>0</v>
      </c>
      <c r="CA58" s="1145">
        <f t="shared" ref="CA58:CA72" si="276">$T58*BO58</f>
        <v>0</v>
      </c>
      <c r="CB58" s="1145">
        <f t="shared" ref="CB58:CB72" si="277">$T58*BP58</f>
        <v>0</v>
      </c>
      <c r="CC58" s="1145">
        <f t="shared" ref="CC58:CC72" si="278">$T58*BQ58</f>
        <v>0</v>
      </c>
      <c r="CD58" s="1145">
        <f t="shared" ref="CD58:CD72" si="279">$T58*BR58</f>
        <v>0</v>
      </c>
      <c r="CE58" s="1145">
        <f t="shared" ref="CE58:CE72" si="280">$T58*BS58</f>
        <v>0</v>
      </c>
      <c r="CF58" s="1145">
        <f t="shared" ref="CF58:CF72" si="281">$T58*BT58</f>
        <v>0</v>
      </c>
      <c r="CG58" s="1145">
        <f t="shared" ref="CG58:CG72" si="282">$T58*BU58</f>
        <v>0</v>
      </c>
      <c r="CH58" s="1303"/>
      <c r="CM58" s="638"/>
      <c r="CN58" s="654"/>
      <c r="CO58" s="638"/>
      <c r="CP58" s="658"/>
      <c r="CQ58" s="646"/>
      <c r="CR58" s="651"/>
      <c r="CS58" s="659"/>
      <c r="CT58" s="640" t="s">
        <v>558</v>
      </c>
      <c r="CU58" s="638"/>
      <c r="CV58" s="638"/>
      <c r="CW58" s="638"/>
      <c r="CX58" s="638"/>
      <c r="CY58" s="638"/>
      <c r="CZ58" s="638"/>
      <c r="DA58" s="638"/>
      <c r="DB58" s="638"/>
      <c r="DC58" s="638"/>
      <c r="DD58" s="638"/>
      <c r="DE58" s="638"/>
      <c r="DF58" s="675"/>
      <c r="DG58" s="676"/>
      <c r="DH58" s="675"/>
      <c r="DI58" s="675"/>
      <c r="DJ58" s="675"/>
      <c r="DK58" s="675"/>
      <c r="DL58" s="675"/>
      <c r="DM58" s="675"/>
      <c r="DN58" s="675"/>
      <c r="DO58" s="675"/>
      <c r="DP58" s="675"/>
      <c r="DQ58" s="675"/>
      <c r="DR58" s="675"/>
      <c r="DS58" s="154"/>
      <c r="DT58" s="154"/>
      <c r="DU58" s="155"/>
      <c r="DV58" s="154"/>
      <c r="DW58" s="154"/>
      <c r="DX58" s="154"/>
      <c r="DY58" s="154"/>
      <c r="DZ58" s="154"/>
      <c r="EA58" s="154"/>
      <c r="EB58" s="154"/>
      <c r="EC58" s="154"/>
      <c r="ED58" s="154"/>
      <c r="EE58" s="154"/>
      <c r="EF58" s="154"/>
      <c r="GD58" s="2">
        <f>GD55+GD57</f>
        <v>441451.65350964427</v>
      </c>
      <c r="JG58" s="1138">
        <v>9590</v>
      </c>
      <c r="KJ58" s="2">
        <v>215747.93726918753</v>
      </c>
      <c r="MH58" s="2">
        <f>SUM(LJ12:LJ55)/1000</f>
        <v>107350.96259237766</v>
      </c>
      <c r="MI58" s="1">
        <v>4120.1996129856416</v>
      </c>
      <c r="MJ58" s="2">
        <f>SUM(MH58:MI58)</f>
        <v>111471.1622053633</v>
      </c>
      <c r="MQ58" s="1">
        <v>287.59432600320179</v>
      </c>
      <c r="MR58" s="1">
        <v>155.94784358392857</v>
      </c>
      <c r="MS58" s="1">
        <v>56.005201755332671</v>
      </c>
      <c r="NJ58" s="2">
        <f>SUM(NN10:NN53)/1000</f>
        <v>22602.688084406218</v>
      </c>
    </row>
    <row r="59" spans="1:387" ht="14.4" thickTop="1" thickBot="1">
      <c r="B59" s="1147">
        <v>6</v>
      </c>
      <c r="C59" s="1154"/>
      <c r="D59" s="1154"/>
      <c r="E59" s="1843"/>
      <c r="F59" s="1">
        <v>6</v>
      </c>
      <c r="G59" s="1">
        <v>100</v>
      </c>
      <c r="T59" s="114">
        <v>6</v>
      </c>
      <c r="U59" s="1145">
        <f t="shared" ref="U59:U98" si="283">$E59*G59/100</f>
        <v>0</v>
      </c>
      <c r="V59" s="1145">
        <f t="shared" ref="V59:V98" si="284">$E59*H59/100</f>
        <v>0</v>
      </c>
      <c r="W59" s="1145">
        <f t="shared" ref="W59:W98" si="285">$E59*I59/100</f>
        <v>0</v>
      </c>
      <c r="X59" s="1145">
        <f t="shared" ref="X59:X98" si="286">$E59*J59/100</f>
        <v>0</v>
      </c>
      <c r="Y59" s="1145">
        <f t="shared" ref="Y59:Y98" si="287">$E59*K59/100</f>
        <v>0</v>
      </c>
      <c r="Z59" s="1145">
        <f t="shared" ref="Z59:Z98" si="288">$E59*L59/100</f>
        <v>0</v>
      </c>
      <c r="AA59" s="1145">
        <f t="shared" ref="AA59:AA98" si="289">$E59*M59/100</f>
        <v>0</v>
      </c>
      <c r="AB59" s="1145">
        <f t="shared" ref="AB59:AB98" si="290">$E59*N59/100</f>
        <v>0</v>
      </c>
      <c r="AC59" s="1145">
        <f t="shared" ref="AC59:AC98" si="291">$E59*O59/100</f>
        <v>0</v>
      </c>
      <c r="AD59" s="1145">
        <f t="shared" ref="AD59:AD98" si="292">$E59*P59/100</f>
        <v>0</v>
      </c>
      <c r="AE59" s="1145"/>
      <c r="AF59" s="114">
        <v>6</v>
      </c>
      <c r="AG59" s="1145">
        <f t="shared" si="254"/>
        <v>0</v>
      </c>
      <c r="AH59" s="1145">
        <f t="shared" si="255"/>
        <v>0</v>
      </c>
      <c r="AI59" s="1145">
        <f t="shared" si="256"/>
        <v>0</v>
      </c>
      <c r="AJ59" s="1145">
        <f t="shared" si="257"/>
        <v>0</v>
      </c>
      <c r="AK59" s="1145">
        <f t="shared" si="258"/>
        <v>0</v>
      </c>
      <c r="AL59" s="1145">
        <f t="shared" si="259"/>
        <v>0</v>
      </c>
      <c r="AM59" s="1145">
        <f t="shared" si="260"/>
        <v>0</v>
      </c>
      <c r="AN59" s="1145">
        <f t="shared" si="261"/>
        <v>0</v>
      </c>
      <c r="AO59" s="1145">
        <f t="shared" si="262"/>
        <v>0</v>
      </c>
      <c r="AP59" s="1145">
        <f t="shared" si="263"/>
        <v>0</v>
      </c>
      <c r="AQ59" s="1303"/>
      <c r="AR59" s="1"/>
      <c r="AS59" s="1147">
        <v>6</v>
      </c>
      <c r="AT59" s="1154"/>
      <c r="AU59" s="1154"/>
      <c r="AV59" s="1843">
        <v>0</v>
      </c>
      <c r="AW59" s="1">
        <v>6</v>
      </c>
      <c r="AX59" s="1">
        <v>100</v>
      </c>
      <c r="BK59" s="114">
        <v>6</v>
      </c>
      <c r="BL59" s="1145">
        <f t="shared" ref="BL59:BL98" si="293">$E59*AX59/100</f>
        <v>0</v>
      </c>
      <c r="BM59" s="1145">
        <f t="shared" si="264"/>
        <v>0</v>
      </c>
      <c r="BN59" s="1145">
        <f t="shared" si="265"/>
        <v>0</v>
      </c>
      <c r="BO59" s="1145">
        <f t="shared" si="266"/>
        <v>0</v>
      </c>
      <c r="BP59" s="1145">
        <f t="shared" si="267"/>
        <v>0</v>
      </c>
      <c r="BQ59" s="1145">
        <f t="shared" si="268"/>
        <v>0</v>
      </c>
      <c r="BR59" s="1145">
        <f t="shared" si="269"/>
        <v>0</v>
      </c>
      <c r="BS59" s="1145">
        <f t="shared" si="270"/>
        <v>0</v>
      </c>
      <c r="BT59" s="1145">
        <f t="shared" si="271"/>
        <v>0</v>
      </c>
      <c r="BU59" s="1145">
        <f t="shared" si="272"/>
        <v>0</v>
      </c>
      <c r="BV59" s="1145"/>
      <c r="BW59" s="114">
        <v>6</v>
      </c>
      <c r="BX59" s="1145">
        <f t="shared" si="273"/>
        <v>0</v>
      </c>
      <c r="BY59" s="1145">
        <f t="shared" si="274"/>
        <v>0</v>
      </c>
      <c r="BZ59" s="1145">
        <f t="shared" si="275"/>
        <v>0</v>
      </c>
      <c r="CA59" s="1145">
        <f t="shared" si="276"/>
        <v>0</v>
      </c>
      <c r="CB59" s="1145">
        <f t="shared" si="277"/>
        <v>0</v>
      </c>
      <c r="CC59" s="1145">
        <f t="shared" si="278"/>
        <v>0</v>
      </c>
      <c r="CD59" s="1145">
        <f t="shared" si="279"/>
        <v>0</v>
      </c>
      <c r="CE59" s="1145">
        <f t="shared" si="280"/>
        <v>0</v>
      </c>
      <c r="CF59" s="1145">
        <f t="shared" si="281"/>
        <v>0</v>
      </c>
      <c r="CG59" s="1145">
        <f t="shared" si="282"/>
        <v>0</v>
      </c>
      <c r="CH59" s="1303"/>
      <c r="CM59" s="638"/>
      <c r="CN59" s="638"/>
      <c r="CO59" s="1860"/>
      <c r="CP59" s="1861" t="s">
        <v>416</v>
      </c>
      <c r="CQ59" s="1862" t="s">
        <v>627</v>
      </c>
      <c r="CR59" s="1860" t="s">
        <v>628</v>
      </c>
      <c r="CS59" s="638" t="s">
        <v>599</v>
      </c>
      <c r="CT59" s="638" t="s">
        <v>600</v>
      </c>
      <c r="CU59" s="638" t="s">
        <v>572</v>
      </c>
      <c r="CV59" s="638" t="s">
        <v>573</v>
      </c>
      <c r="CW59" s="638" t="s">
        <v>574</v>
      </c>
      <c r="CX59" s="638" t="s">
        <v>575</v>
      </c>
      <c r="CY59" s="638" t="s">
        <v>576</v>
      </c>
      <c r="CZ59" s="638" t="s">
        <v>577</v>
      </c>
      <c r="DA59" s="638" t="s">
        <v>578</v>
      </c>
      <c r="DB59" s="638" t="s">
        <v>579</v>
      </c>
      <c r="DC59" s="638" t="s">
        <v>580</v>
      </c>
      <c r="DD59" s="638"/>
      <c r="DE59" s="638"/>
      <c r="DF59" s="675"/>
      <c r="DG59" s="677" t="s">
        <v>568</v>
      </c>
      <c r="DH59" s="1863" t="s">
        <v>600</v>
      </c>
      <c r="DI59" s="1863" t="s">
        <v>572</v>
      </c>
      <c r="DJ59" s="1863" t="s">
        <v>573</v>
      </c>
      <c r="DK59" s="1863" t="s">
        <v>574</v>
      </c>
      <c r="DL59" s="1863" t="s">
        <v>575</v>
      </c>
      <c r="DM59" s="1863" t="s">
        <v>576</v>
      </c>
      <c r="DN59" s="1863" t="s">
        <v>577</v>
      </c>
      <c r="DO59" s="1863" t="s">
        <v>578</v>
      </c>
      <c r="DP59" s="1863" t="s">
        <v>579</v>
      </c>
      <c r="DQ59" s="1863" t="s">
        <v>580</v>
      </c>
      <c r="DR59" s="1863" t="s">
        <v>581</v>
      </c>
      <c r="DS59" s="678" t="s">
        <v>45</v>
      </c>
      <c r="DT59" s="154"/>
      <c r="DU59" s="154"/>
      <c r="DV59" s="154"/>
      <c r="DW59" s="154"/>
      <c r="DX59" s="154"/>
      <c r="DY59" s="154"/>
      <c r="DZ59" s="154"/>
      <c r="EA59" s="154"/>
      <c r="EB59" s="154"/>
      <c r="EC59" s="154"/>
      <c r="ED59" s="154"/>
      <c r="EE59" s="154"/>
      <c r="EF59" s="154"/>
      <c r="GD59" s="2">
        <f>GE55+GE57</f>
        <v>93493.640798238863</v>
      </c>
      <c r="KJ59" s="2">
        <v>107312.6823130111</v>
      </c>
      <c r="MH59" s="2">
        <f>SUM(LK12:LK55)/1000</f>
        <v>176591.66493756251</v>
      </c>
      <c r="MI59" s="1">
        <v>24162.144639669164</v>
      </c>
      <c r="MJ59" s="2">
        <f t="shared" ref="MJ59:MJ66" si="294">SUM(MH59:MI59)</f>
        <v>200753.80957723167</v>
      </c>
      <c r="NJ59" s="2">
        <f>SUM(NO10:NO53)/1000</f>
        <v>14491.621095657674</v>
      </c>
    </row>
    <row r="60" spans="1:387" ht="14.4" thickTop="1" thickBot="1">
      <c r="B60" s="1147">
        <v>7</v>
      </c>
      <c r="C60" s="1154"/>
      <c r="D60" s="1154"/>
      <c r="E60" s="1843"/>
      <c r="F60" s="1">
        <v>7</v>
      </c>
      <c r="G60" s="1">
        <v>100</v>
      </c>
      <c r="T60" s="114">
        <v>7</v>
      </c>
      <c r="U60" s="1145">
        <f t="shared" si="283"/>
        <v>0</v>
      </c>
      <c r="V60" s="1145">
        <f t="shared" si="284"/>
        <v>0</v>
      </c>
      <c r="W60" s="1145">
        <f t="shared" si="285"/>
        <v>0</v>
      </c>
      <c r="X60" s="1145">
        <f t="shared" si="286"/>
        <v>0</v>
      </c>
      <c r="Y60" s="1145">
        <f t="shared" si="287"/>
        <v>0</v>
      </c>
      <c r="Z60" s="1145">
        <f t="shared" si="288"/>
        <v>0</v>
      </c>
      <c r="AA60" s="1145">
        <f t="shared" si="289"/>
        <v>0</v>
      </c>
      <c r="AB60" s="1145">
        <f t="shared" si="290"/>
        <v>0</v>
      </c>
      <c r="AC60" s="1145">
        <f t="shared" si="291"/>
        <v>0</v>
      </c>
      <c r="AD60" s="1145">
        <f t="shared" si="292"/>
        <v>0</v>
      </c>
      <c r="AE60" s="1145"/>
      <c r="AF60" s="114">
        <v>7</v>
      </c>
      <c r="AG60" s="1145">
        <f t="shared" si="254"/>
        <v>0</v>
      </c>
      <c r="AH60" s="1145">
        <f t="shared" si="255"/>
        <v>0</v>
      </c>
      <c r="AI60" s="1145">
        <f t="shared" si="256"/>
        <v>0</v>
      </c>
      <c r="AJ60" s="1145">
        <f t="shared" si="257"/>
        <v>0</v>
      </c>
      <c r="AK60" s="1145">
        <f t="shared" si="258"/>
        <v>0</v>
      </c>
      <c r="AL60" s="1145">
        <f t="shared" si="259"/>
        <v>0</v>
      </c>
      <c r="AM60" s="1145">
        <f t="shared" si="260"/>
        <v>0</v>
      </c>
      <c r="AN60" s="1145">
        <f t="shared" si="261"/>
        <v>0</v>
      </c>
      <c r="AO60" s="1145">
        <f t="shared" si="262"/>
        <v>0</v>
      </c>
      <c r="AP60" s="1145">
        <f t="shared" si="263"/>
        <v>0</v>
      </c>
      <c r="AQ60" s="1303"/>
      <c r="AR60" s="1"/>
      <c r="AS60" s="1147">
        <v>7</v>
      </c>
      <c r="AT60" s="1154"/>
      <c r="AU60" s="1154"/>
      <c r="AV60" s="1843">
        <v>0</v>
      </c>
      <c r="AW60" s="1">
        <v>7</v>
      </c>
      <c r="AX60" s="1">
        <v>100</v>
      </c>
      <c r="BK60" s="114">
        <v>7</v>
      </c>
      <c r="BL60" s="1145">
        <f t="shared" si="293"/>
        <v>0</v>
      </c>
      <c r="BM60" s="1145">
        <f t="shared" si="264"/>
        <v>0</v>
      </c>
      <c r="BN60" s="1145">
        <f t="shared" si="265"/>
        <v>0</v>
      </c>
      <c r="BO60" s="1145">
        <f t="shared" si="266"/>
        <v>0</v>
      </c>
      <c r="BP60" s="1145">
        <f t="shared" si="267"/>
        <v>0</v>
      </c>
      <c r="BQ60" s="1145">
        <f t="shared" si="268"/>
        <v>0</v>
      </c>
      <c r="BR60" s="1145">
        <f t="shared" si="269"/>
        <v>0</v>
      </c>
      <c r="BS60" s="1145">
        <f t="shared" si="270"/>
        <v>0</v>
      </c>
      <c r="BT60" s="1145">
        <f t="shared" si="271"/>
        <v>0</v>
      </c>
      <c r="BU60" s="1145">
        <f t="shared" si="272"/>
        <v>0</v>
      </c>
      <c r="BV60" s="1145"/>
      <c r="BW60" s="114">
        <v>7</v>
      </c>
      <c r="BX60" s="1145">
        <f t="shared" si="273"/>
        <v>0</v>
      </c>
      <c r="BY60" s="1145">
        <f t="shared" si="274"/>
        <v>0</v>
      </c>
      <c r="BZ60" s="1145">
        <f t="shared" si="275"/>
        <v>0</v>
      </c>
      <c r="CA60" s="1145">
        <f t="shared" si="276"/>
        <v>0</v>
      </c>
      <c r="CB60" s="1145">
        <f t="shared" si="277"/>
        <v>0</v>
      </c>
      <c r="CC60" s="1145">
        <f t="shared" si="278"/>
        <v>0</v>
      </c>
      <c r="CD60" s="1145">
        <f t="shared" si="279"/>
        <v>0</v>
      </c>
      <c r="CE60" s="1145">
        <f t="shared" si="280"/>
        <v>0</v>
      </c>
      <c r="CF60" s="1145">
        <f t="shared" si="281"/>
        <v>0</v>
      </c>
      <c r="CG60" s="1145">
        <f t="shared" si="282"/>
        <v>0</v>
      </c>
      <c r="CH60" s="1303"/>
      <c r="CM60" s="638"/>
      <c r="CN60" s="638"/>
      <c r="CO60" s="1860">
        <v>5</v>
      </c>
      <c r="CP60" s="1861"/>
      <c r="CQ60" s="1861"/>
      <c r="CR60" s="1141">
        <v>0</v>
      </c>
      <c r="CS60" s="638">
        <v>5</v>
      </c>
      <c r="CT60" s="638">
        <v>100</v>
      </c>
      <c r="CU60" s="638"/>
      <c r="CV60" s="638"/>
      <c r="CW60" s="638"/>
      <c r="CX60" s="638"/>
      <c r="CY60" s="638"/>
      <c r="CZ60" s="638"/>
      <c r="DA60" s="638"/>
      <c r="DB60" s="638"/>
      <c r="DC60" s="638"/>
      <c r="DD60" s="638"/>
      <c r="DE60" s="638"/>
      <c r="DF60" s="675"/>
      <c r="DG60" s="679">
        <v>5</v>
      </c>
      <c r="DH60" s="1864">
        <f>$E60*CT60/100</f>
        <v>0</v>
      </c>
      <c r="DI60" s="1864">
        <f t="shared" ref="DI60:DI73" si="295">$E60*CU60/100</f>
        <v>0</v>
      </c>
      <c r="DJ60" s="1864">
        <f t="shared" ref="DJ60:DJ73" si="296">$E60*CV60/100</f>
        <v>0</v>
      </c>
      <c r="DK60" s="1864">
        <f t="shared" ref="DK60:DK73" si="297">$E60*CW60/100</f>
        <v>0</v>
      </c>
      <c r="DL60" s="1864">
        <f t="shared" ref="DL60:DL73" si="298">$E60*CX60/100</f>
        <v>0</v>
      </c>
      <c r="DM60" s="1864">
        <f t="shared" ref="DM60:DM73" si="299">$E60*CY60/100</f>
        <v>0</v>
      </c>
      <c r="DN60" s="1864">
        <f t="shared" ref="DN60:DN73" si="300">$E60*CZ60/100</f>
        <v>0</v>
      </c>
      <c r="DO60" s="1864">
        <f t="shared" ref="DO60:DO73" si="301">$E60*DA60/100</f>
        <v>0</v>
      </c>
      <c r="DP60" s="1864">
        <f t="shared" ref="DP60:DP73" si="302">$E60*DB60/100</f>
        <v>0</v>
      </c>
      <c r="DQ60" s="1864">
        <f t="shared" ref="DQ60:DQ73" si="303">$E60*DC60/100</f>
        <v>0</v>
      </c>
      <c r="DR60" s="956">
        <v>0</v>
      </c>
      <c r="DS60" s="680">
        <f>SUM(DH60:DR60)</f>
        <v>0</v>
      </c>
      <c r="DT60" s="192"/>
      <c r="DU60" s="192"/>
      <c r="DV60" s="192"/>
      <c r="DW60" s="192"/>
      <c r="DX60" s="192"/>
      <c r="DY60" s="192"/>
      <c r="DZ60" s="192"/>
      <c r="EA60" s="192"/>
      <c r="EB60" s="192"/>
      <c r="EC60" s="192"/>
      <c r="ED60" s="192"/>
      <c r="EE60" s="154"/>
      <c r="EF60" s="154"/>
      <c r="GD60" s="2">
        <f>GF55+GF57</f>
        <v>81830.59932535034</v>
      </c>
      <c r="KJ60" s="2">
        <v>53105.033816005918</v>
      </c>
      <c r="MH60" s="2">
        <f>SUM(LL12:LL55)/1000</f>
        <v>180969.38123156733</v>
      </c>
      <c r="MI60" s="1">
        <v>32200.668807023754</v>
      </c>
      <c r="MJ60" s="2">
        <f t="shared" si="294"/>
        <v>213170.05003859109</v>
      </c>
      <c r="NJ60" s="2">
        <f>SUM(NP10:NP53)/1000</f>
        <v>6148.8011382701688</v>
      </c>
    </row>
    <row r="61" spans="1:387" ht="14.4" thickTop="1" thickBot="1">
      <c r="B61" s="1147">
        <v>8</v>
      </c>
      <c r="C61" s="1154"/>
      <c r="D61" s="1154"/>
      <c r="E61" s="1843"/>
      <c r="F61" s="1">
        <v>8</v>
      </c>
      <c r="G61" s="1">
        <v>100</v>
      </c>
      <c r="T61" s="114">
        <v>8</v>
      </c>
      <c r="U61" s="1145">
        <f t="shared" si="283"/>
        <v>0</v>
      </c>
      <c r="V61" s="1145">
        <f t="shared" si="284"/>
        <v>0</v>
      </c>
      <c r="W61" s="1145">
        <f t="shared" si="285"/>
        <v>0</v>
      </c>
      <c r="X61" s="1145">
        <f t="shared" si="286"/>
        <v>0</v>
      </c>
      <c r="Y61" s="1145">
        <f t="shared" si="287"/>
        <v>0</v>
      </c>
      <c r="Z61" s="1145">
        <f t="shared" si="288"/>
        <v>0</v>
      </c>
      <c r="AA61" s="1145">
        <f t="shared" si="289"/>
        <v>0</v>
      </c>
      <c r="AB61" s="1145">
        <f t="shared" si="290"/>
        <v>0</v>
      </c>
      <c r="AC61" s="1145">
        <f t="shared" si="291"/>
        <v>0</v>
      </c>
      <c r="AD61" s="1145">
        <f t="shared" si="292"/>
        <v>0</v>
      </c>
      <c r="AE61" s="1145"/>
      <c r="AF61" s="114">
        <v>8</v>
      </c>
      <c r="AG61" s="1145">
        <f t="shared" si="254"/>
        <v>0</v>
      </c>
      <c r="AH61" s="1145">
        <f t="shared" si="255"/>
        <v>0</v>
      </c>
      <c r="AI61" s="1145">
        <f t="shared" si="256"/>
        <v>0</v>
      </c>
      <c r="AJ61" s="1145">
        <f t="shared" si="257"/>
        <v>0</v>
      </c>
      <c r="AK61" s="1145">
        <f t="shared" si="258"/>
        <v>0</v>
      </c>
      <c r="AL61" s="1145">
        <f t="shared" si="259"/>
        <v>0</v>
      </c>
      <c r="AM61" s="1145">
        <f t="shared" si="260"/>
        <v>0</v>
      </c>
      <c r="AN61" s="1145">
        <f t="shared" si="261"/>
        <v>0</v>
      </c>
      <c r="AO61" s="1145">
        <f t="shared" si="262"/>
        <v>0</v>
      </c>
      <c r="AP61" s="1145">
        <f t="shared" si="263"/>
        <v>0</v>
      </c>
      <c r="AQ61" s="1303"/>
      <c r="AR61" s="1"/>
      <c r="AS61" s="1147">
        <v>8</v>
      </c>
      <c r="AT61" s="1154"/>
      <c r="AU61" s="1154"/>
      <c r="AV61" s="1843">
        <v>0</v>
      </c>
      <c r="AW61" s="1">
        <v>8</v>
      </c>
      <c r="AX61" s="1">
        <v>100</v>
      </c>
      <c r="BK61" s="114">
        <v>8</v>
      </c>
      <c r="BL61" s="1145">
        <f t="shared" si="293"/>
        <v>0</v>
      </c>
      <c r="BM61" s="1145">
        <f t="shared" si="264"/>
        <v>0</v>
      </c>
      <c r="BN61" s="1145">
        <f t="shared" si="265"/>
        <v>0</v>
      </c>
      <c r="BO61" s="1145">
        <f t="shared" si="266"/>
        <v>0</v>
      </c>
      <c r="BP61" s="1145">
        <f t="shared" si="267"/>
        <v>0</v>
      </c>
      <c r="BQ61" s="1145">
        <f t="shared" si="268"/>
        <v>0</v>
      </c>
      <c r="BR61" s="1145">
        <f t="shared" si="269"/>
        <v>0</v>
      </c>
      <c r="BS61" s="1145">
        <f t="shared" si="270"/>
        <v>0</v>
      </c>
      <c r="BT61" s="1145">
        <f t="shared" si="271"/>
        <v>0</v>
      </c>
      <c r="BU61" s="1145">
        <f t="shared" si="272"/>
        <v>0</v>
      </c>
      <c r="BV61" s="1145"/>
      <c r="BW61" s="114">
        <v>8</v>
      </c>
      <c r="BX61" s="1145">
        <f t="shared" si="273"/>
        <v>0</v>
      </c>
      <c r="BY61" s="1145">
        <f t="shared" si="274"/>
        <v>0</v>
      </c>
      <c r="BZ61" s="1145">
        <f t="shared" si="275"/>
        <v>0</v>
      </c>
      <c r="CA61" s="1145">
        <f t="shared" si="276"/>
        <v>0</v>
      </c>
      <c r="CB61" s="1145">
        <f t="shared" si="277"/>
        <v>0</v>
      </c>
      <c r="CC61" s="1145">
        <f t="shared" si="278"/>
        <v>0</v>
      </c>
      <c r="CD61" s="1145">
        <f t="shared" si="279"/>
        <v>0</v>
      </c>
      <c r="CE61" s="1145">
        <f t="shared" si="280"/>
        <v>0</v>
      </c>
      <c r="CF61" s="1145">
        <f t="shared" si="281"/>
        <v>0</v>
      </c>
      <c r="CG61" s="1145">
        <f t="shared" si="282"/>
        <v>0</v>
      </c>
      <c r="CH61" s="1303"/>
      <c r="CM61" s="638"/>
      <c r="CN61" s="638"/>
      <c r="CO61" s="1860">
        <v>6</v>
      </c>
      <c r="CP61" s="1861"/>
      <c r="CQ61" s="1861"/>
      <c r="CR61" s="1141">
        <v>0</v>
      </c>
      <c r="CS61" s="638">
        <v>6</v>
      </c>
      <c r="CT61" s="638">
        <v>100</v>
      </c>
      <c r="CU61" s="638"/>
      <c r="CV61" s="638"/>
      <c r="CW61" s="638"/>
      <c r="CX61" s="638"/>
      <c r="CY61" s="638"/>
      <c r="CZ61" s="638"/>
      <c r="DA61" s="638"/>
      <c r="DB61" s="638"/>
      <c r="DC61" s="638"/>
      <c r="DD61" s="638"/>
      <c r="DE61" s="638"/>
      <c r="DF61" s="675"/>
      <c r="DG61" s="679">
        <v>6</v>
      </c>
      <c r="DH61" s="1864">
        <f t="shared" ref="DH61:DH72" si="304">$E61*CT61/100</f>
        <v>0</v>
      </c>
      <c r="DI61" s="1864">
        <f t="shared" si="295"/>
        <v>0</v>
      </c>
      <c r="DJ61" s="1864">
        <f t="shared" si="296"/>
        <v>0</v>
      </c>
      <c r="DK61" s="1864">
        <f t="shared" si="297"/>
        <v>0</v>
      </c>
      <c r="DL61" s="1864">
        <f t="shared" si="298"/>
        <v>0</v>
      </c>
      <c r="DM61" s="1864">
        <f t="shared" si="299"/>
        <v>0</v>
      </c>
      <c r="DN61" s="1864">
        <f t="shared" si="300"/>
        <v>0</v>
      </c>
      <c r="DO61" s="1864">
        <f t="shared" si="301"/>
        <v>0</v>
      </c>
      <c r="DP61" s="1864">
        <f t="shared" si="302"/>
        <v>0</v>
      </c>
      <c r="DQ61" s="1864">
        <f t="shared" si="303"/>
        <v>0</v>
      </c>
      <c r="DR61" s="956">
        <v>0</v>
      </c>
      <c r="DS61" s="680">
        <f>SUM(DH61:DR61)</f>
        <v>0</v>
      </c>
      <c r="DT61" s="192"/>
      <c r="DU61" s="192"/>
      <c r="DV61" s="192"/>
      <c r="DW61" s="192"/>
      <c r="DX61" s="192"/>
      <c r="DY61" s="192"/>
      <c r="DZ61" s="192"/>
      <c r="EA61" s="192"/>
      <c r="EB61" s="192"/>
      <c r="EC61" s="192"/>
      <c r="ED61" s="192"/>
      <c r="EE61" s="154"/>
      <c r="EF61" s="154"/>
      <c r="GD61" s="2">
        <f>GG55+GG57</f>
        <v>90869.932300921326</v>
      </c>
      <c r="KJ61" s="2">
        <v>32629.838078642417</v>
      </c>
      <c r="MH61" s="2">
        <f>SUM(LM12:LM55)/1000</f>
        <v>60633.519936941026</v>
      </c>
      <c r="MI61" s="1">
        <v>13349.51730374133</v>
      </c>
      <c r="MJ61" s="2">
        <f t="shared" si="294"/>
        <v>73983.037240682359</v>
      </c>
      <c r="NJ61" s="2">
        <f>SUM(NQ10:NQ53)/1000</f>
        <v>3051.2043830488228</v>
      </c>
    </row>
    <row r="62" spans="1:387" ht="14.4" thickTop="1" thickBot="1">
      <c r="B62" s="1147">
        <v>9</v>
      </c>
      <c r="C62" s="1154"/>
      <c r="D62" s="1154"/>
      <c r="E62" s="1843"/>
      <c r="F62" s="1">
        <v>9</v>
      </c>
      <c r="G62" s="1">
        <v>100</v>
      </c>
      <c r="T62" s="114">
        <v>9</v>
      </c>
      <c r="U62" s="1145">
        <f t="shared" si="283"/>
        <v>0</v>
      </c>
      <c r="V62" s="1145">
        <f t="shared" si="284"/>
        <v>0</v>
      </c>
      <c r="W62" s="1145">
        <f t="shared" si="285"/>
        <v>0</v>
      </c>
      <c r="X62" s="1145">
        <f t="shared" si="286"/>
        <v>0</v>
      </c>
      <c r="Y62" s="1145">
        <f t="shared" si="287"/>
        <v>0</v>
      </c>
      <c r="Z62" s="1145">
        <f t="shared" si="288"/>
        <v>0</v>
      </c>
      <c r="AA62" s="1145">
        <f t="shared" si="289"/>
        <v>0</v>
      </c>
      <c r="AB62" s="1145">
        <f t="shared" si="290"/>
        <v>0</v>
      </c>
      <c r="AC62" s="1145">
        <f t="shared" si="291"/>
        <v>0</v>
      </c>
      <c r="AD62" s="1145">
        <f t="shared" si="292"/>
        <v>0</v>
      </c>
      <c r="AE62" s="1145"/>
      <c r="AF62" s="114">
        <v>9</v>
      </c>
      <c r="AG62" s="1145">
        <f t="shared" si="254"/>
        <v>0</v>
      </c>
      <c r="AH62" s="1145">
        <f t="shared" si="255"/>
        <v>0</v>
      </c>
      <c r="AI62" s="1145">
        <f t="shared" si="256"/>
        <v>0</v>
      </c>
      <c r="AJ62" s="1145">
        <f t="shared" si="257"/>
        <v>0</v>
      </c>
      <c r="AK62" s="1145">
        <f t="shared" si="258"/>
        <v>0</v>
      </c>
      <c r="AL62" s="1145">
        <f t="shared" si="259"/>
        <v>0</v>
      </c>
      <c r="AM62" s="1145">
        <f t="shared" si="260"/>
        <v>0</v>
      </c>
      <c r="AN62" s="1145">
        <f t="shared" si="261"/>
        <v>0</v>
      </c>
      <c r="AO62" s="1145">
        <f t="shared" si="262"/>
        <v>0</v>
      </c>
      <c r="AP62" s="1145">
        <f t="shared" si="263"/>
        <v>0</v>
      </c>
      <c r="AQ62" s="1303"/>
      <c r="AR62" s="1"/>
      <c r="AS62" s="1147">
        <v>9</v>
      </c>
      <c r="AT62" s="1154"/>
      <c r="AU62" s="1154"/>
      <c r="AV62" s="1843">
        <v>0</v>
      </c>
      <c r="AW62" s="1">
        <v>9</v>
      </c>
      <c r="AX62" s="1">
        <v>100</v>
      </c>
      <c r="BK62" s="114">
        <v>9</v>
      </c>
      <c r="BL62" s="1145">
        <f t="shared" si="293"/>
        <v>0</v>
      </c>
      <c r="BM62" s="1145">
        <f t="shared" si="264"/>
        <v>0</v>
      </c>
      <c r="BN62" s="1145">
        <f t="shared" si="265"/>
        <v>0</v>
      </c>
      <c r="BO62" s="1145">
        <f t="shared" si="266"/>
        <v>0</v>
      </c>
      <c r="BP62" s="1145">
        <f t="shared" si="267"/>
        <v>0</v>
      </c>
      <c r="BQ62" s="1145">
        <f t="shared" si="268"/>
        <v>0</v>
      </c>
      <c r="BR62" s="1145">
        <f t="shared" si="269"/>
        <v>0</v>
      </c>
      <c r="BS62" s="1145">
        <f t="shared" si="270"/>
        <v>0</v>
      </c>
      <c r="BT62" s="1145">
        <f t="shared" si="271"/>
        <v>0</v>
      </c>
      <c r="BU62" s="1145">
        <f t="shared" si="272"/>
        <v>0</v>
      </c>
      <c r="BV62" s="1145"/>
      <c r="BW62" s="114">
        <v>9</v>
      </c>
      <c r="BX62" s="1145">
        <f t="shared" si="273"/>
        <v>0</v>
      </c>
      <c r="BY62" s="1145">
        <f t="shared" si="274"/>
        <v>0</v>
      </c>
      <c r="BZ62" s="1145">
        <f t="shared" si="275"/>
        <v>0</v>
      </c>
      <c r="CA62" s="1145">
        <f t="shared" si="276"/>
        <v>0</v>
      </c>
      <c r="CB62" s="1145">
        <f t="shared" si="277"/>
        <v>0</v>
      </c>
      <c r="CC62" s="1145">
        <f t="shared" si="278"/>
        <v>0</v>
      </c>
      <c r="CD62" s="1145">
        <f t="shared" si="279"/>
        <v>0</v>
      </c>
      <c r="CE62" s="1145">
        <f t="shared" si="280"/>
        <v>0</v>
      </c>
      <c r="CF62" s="1145">
        <f t="shared" si="281"/>
        <v>0</v>
      </c>
      <c r="CG62" s="1145">
        <f t="shared" si="282"/>
        <v>0</v>
      </c>
      <c r="CH62" s="1303"/>
      <c r="CM62" s="638"/>
      <c r="CN62" s="638"/>
      <c r="CO62" s="1860">
        <v>7</v>
      </c>
      <c r="CP62" s="1861"/>
      <c r="CQ62" s="1861"/>
      <c r="CR62" s="1141">
        <v>0</v>
      </c>
      <c r="CS62" s="638">
        <v>7</v>
      </c>
      <c r="CT62" s="638">
        <v>100</v>
      </c>
      <c r="CU62" s="638"/>
      <c r="CV62" s="638"/>
      <c r="CW62" s="638"/>
      <c r="CX62" s="638"/>
      <c r="CY62" s="638"/>
      <c r="CZ62" s="638"/>
      <c r="DA62" s="638"/>
      <c r="DB62" s="638"/>
      <c r="DC62" s="638"/>
      <c r="DD62" s="638"/>
      <c r="DE62" s="638"/>
      <c r="DF62" s="675"/>
      <c r="DG62" s="679">
        <v>7</v>
      </c>
      <c r="DH62" s="1864">
        <f t="shared" si="304"/>
        <v>0</v>
      </c>
      <c r="DI62" s="1864">
        <f t="shared" si="295"/>
        <v>0</v>
      </c>
      <c r="DJ62" s="1864">
        <f t="shared" si="296"/>
        <v>0</v>
      </c>
      <c r="DK62" s="1864">
        <f t="shared" si="297"/>
        <v>0</v>
      </c>
      <c r="DL62" s="1864">
        <f t="shared" si="298"/>
        <v>0</v>
      </c>
      <c r="DM62" s="1864">
        <f t="shared" si="299"/>
        <v>0</v>
      </c>
      <c r="DN62" s="1864">
        <f t="shared" si="300"/>
        <v>0</v>
      </c>
      <c r="DO62" s="1864">
        <f t="shared" si="301"/>
        <v>0</v>
      </c>
      <c r="DP62" s="1864">
        <f t="shared" si="302"/>
        <v>0</v>
      </c>
      <c r="DQ62" s="1864">
        <f t="shared" si="303"/>
        <v>0</v>
      </c>
      <c r="DR62" s="956">
        <v>0</v>
      </c>
      <c r="DS62" s="680">
        <f t="shared" ref="DS62:DS101" si="305">SUM(DH62:DR62)</f>
        <v>0</v>
      </c>
      <c r="DT62" s="192"/>
      <c r="DU62" s="192"/>
      <c r="DV62" s="192"/>
      <c r="DW62" s="192"/>
      <c r="DX62" s="192"/>
      <c r="DY62" s="192"/>
      <c r="DZ62" s="192"/>
      <c r="EA62" s="192"/>
      <c r="EB62" s="192"/>
      <c r="EC62" s="192"/>
      <c r="ED62" s="192"/>
      <c r="EE62" s="154"/>
      <c r="EF62" s="154"/>
      <c r="GD62" s="2">
        <f>GH55+GH57</f>
        <v>96568.596225553396</v>
      </c>
      <c r="KJ62" s="2">
        <v>18213.386890107824</v>
      </c>
      <c r="MH62" s="2">
        <f>SUM(LN12:LN55)/1000</f>
        <v>32767.161184802953</v>
      </c>
      <c r="MI62" s="1">
        <v>16887.166238129663</v>
      </c>
      <c r="MJ62" s="2">
        <f t="shared" si="294"/>
        <v>49654.32742293262</v>
      </c>
      <c r="NJ62" s="2">
        <f>SUM(NR54:NU54)</f>
        <v>460.95021449298184</v>
      </c>
    </row>
    <row r="63" spans="1:387" ht="14.4" thickTop="1" thickBot="1">
      <c r="B63" s="1147">
        <v>10</v>
      </c>
      <c r="C63" s="1154"/>
      <c r="D63" s="1154"/>
      <c r="E63" s="1843">
        <v>0</v>
      </c>
      <c r="F63" s="1">
        <v>10</v>
      </c>
      <c r="G63" s="1">
        <v>100</v>
      </c>
      <c r="T63" s="114">
        <v>10</v>
      </c>
      <c r="U63" s="1145">
        <f t="shared" si="283"/>
        <v>0</v>
      </c>
      <c r="V63" s="1145">
        <f t="shared" si="284"/>
        <v>0</v>
      </c>
      <c r="W63" s="1145">
        <f t="shared" si="285"/>
        <v>0</v>
      </c>
      <c r="X63" s="1145">
        <f t="shared" si="286"/>
        <v>0</v>
      </c>
      <c r="Y63" s="1145">
        <f t="shared" si="287"/>
        <v>0</v>
      </c>
      <c r="Z63" s="1145">
        <f t="shared" si="288"/>
        <v>0</v>
      </c>
      <c r="AA63" s="1145">
        <f t="shared" si="289"/>
        <v>0</v>
      </c>
      <c r="AB63" s="1145">
        <f t="shared" si="290"/>
        <v>0</v>
      </c>
      <c r="AC63" s="1145">
        <f t="shared" si="291"/>
        <v>0</v>
      </c>
      <c r="AD63" s="1145">
        <f t="shared" si="292"/>
        <v>0</v>
      </c>
      <c r="AE63" s="1145"/>
      <c r="AF63" s="114">
        <v>10</v>
      </c>
      <c r="AG63" s="1145">
        <f t="shared" si="254"/>
        <v>0</v>
      </c>
      <c r="AH63" s="1145">
        <f t="shared" si="255"/>
        <v>0</v>
      </c>
      <c r="AI63" s="1145">
        <f t="shared" si="256"/>
        <v>0</v>
      </c>
      <c r="AJ63" s="1145">
        <f t="shared" si="257"/>
        <v>0</v>
      </c>
      <c r="AK63" s="1145">
        <f t="shared" si="258"/>
        <v>0</v>
      </c>
      <c r="AL63" s="1145">
        <f t="shared" si="259"/>
        <v>0</v>
      </c>
      <c r="AM63" s="1145">
        <f t="shared" si="260"/>
        <v>0</v>
      </c>
      <c r="AN63" s="1145">
        <f t="shared" si="261"/>
        <v>0</v>
      </c>
      <c r="AO63" s="1145">
        <f t="shared" si="262"/>
        <v>0</v>
      </c>
      <c r="AP63" s="1145">
        <f t="shared" si="263"/>
        <v>0</v>
      </c>
      <c r="AQ63" s="1303"/>
      <c r="AR63" s="1"/>
      <c r="AS63" s="1147">
        <v>10</v>
      </c>
      <c r="AT63" s="1154"/>
      <c r="AU63" s="1154"/>
      <c r="AV63" s="1843">
        <v>0</v>
      </c>
      <c r="AW63" s="1">
        <v>10</v>
      </c>
      <c r="AX63" s="1">
        <v>100</v>
      </c>
      <c r="BK63" s="114">
        <v>10</v>
      </c>
      <c r="BL63" s="1145">
        <f t="shared" si="293"/>
        <v>0</v>
      </c>
      <c r="BM63" s="1145">
        <f t="shared" si="264"/>
        <v>0</v>
      </c>
      <c r="BN63" s="1145">
        <f t="shared" si="265"/>
        <v>0</v>
      </c>
      <c r="BO63" s="1145">
        <f t="shared" si="266"/>
        <v>0</v>
      </c>
      <c r="BP63" s="1145">
        <f t="shared" si="267"/>
        <v>0</v>
      </c>
      <c r="BQ63" s="1145">
        <f t="shared" si="268"/>
        <v>0</v>
      </c>
      <c r="BR63" s="1145">
        <f t="shared" si="269"/>
        <v>0</v>
      </c>
      <c r="BS63" s="1145">
        <f t="shared" si="270"/>
        <v>0</v>
      </c>
      <c r="BT63" s="1145">
        <f t="shared" si="271"/>
        <v>0</v>
      </c>
      <c r="BU63" s="1145">
        <f t="shared" si="272"/>
        <v>0</v>
      </c>
      <c r="BV63" s="1145"/>
      <c r="BW63" s="114">
        <v>10</v>
      </c>
      <c r="BX63" s="1145">
        <f t="shared" si="273"/>
        <v>0</v>
      </c>
      <c r="BY63" s="1145">
        <f t="shared" si="274"/>
        <v>0</v>
      </c>
      <c r="BZ63" s="1145">
        <f t="shared" si="275"/>
        <v>0</v>
      </c>
      <c r="CA63" s="1145">
        <f t="shared" si="276"/>
        <v>0</v>
      </c>
      <c r="CB63" s="1145">
        <f t="shared" si="277"/>
        <v>0</v>
      </c>
      <c r="CC63" s="1145">
        <f t="shared" si="278"/>
        <v>0</v>
      </c>
      <c r="CD63" s="1145">
        <f t="shared" si="279"/>
        <v>0</v>
      </c>
      <c r="CE63" s="1145">
        <f t="shared" si="280"/>
        <v>0</v>
      </c>
      <c r="CF63" s="1145">
        <f t="shared" si="281"/>
        <v>0</v>
      </c>
      <c r="CG63" s="1145">
        <f t="shared" si="282"/>
        <v>0</v>
      </c>
      <c r="CH63" s="1303"/>
      <c r="CM63" s="638"/>
      <c r="CN63" s="638"/>
      <c r="CO63" s="1860">
        <v>8</v>
      </c>
      <c r="CP63" s="1861"/>
      <c r="CQ63" s="1861"/>
      <c r="CR63" s="1141">
        <v>0</v>
      </c>
      <c r="CS63" s="638">
        <v>8</v>
      </c>
      <c r="CT63" s="638">
        <v>100</v>
      </c>
      <c r="CU63" s="638"/>
      <c r="CV63" s="638"/>
      <c r="CW63" s="638"/>
      <c r="CX63" s="638"/>
      <c r="CY63" s="638"/>
      <c r="CZ63" s="638"/>
      <c r="DA63" s="638"/>
      <c r="DB63" s="638"/>
      <c r="DC63" s="638"/>
      <c r="DD63" s="638"/>
      <c r="DE63" s="638"/>
      <c r="DF63" s="675"/>
      <c r="DG63" s="679">
        <v>8</v>
      </c>
      <c r="DH63" s="1864">
        <f t="shared" si="304"/>
        <v>0</v>
      </c>
      <c r="DI63" s="1864">
        <f t="shared" si="295"/>
        <v>0</v>
      </c>
      <c r="DJ63" s="1864">
        <f t="shared" si="296"/>
        <v>0</v>
      </c>
      <c r="DK63" s="1864">
        <f t="shared" si="297"/>
        <v>0</v>
      </c>
      <c r="DL63" s="1864">
        <f t="shared" si="298"/>
        <v>0</v>
      </c>
      <c r="DM63" s="1864">
        <f t="shared" si="299"/>
        <v>0</v>
      </c>
      <c r="DN63" s="1864">
        <f t="shared" si="300"/>
        <v>0</v>
      </c>
      <c r="DO63" s="1864">
        <f t="shared" si="301"/>
        <v>0</v>
      </c>
      <c r="DP63" s="1864">
        <f t="shared" si="302"/>
        <v>0</v>
      </c>
      <c r="DQ63" s="1864">
        <f t="shared" si="303"/>
        <v>0</v>
      </c>
      <c r="DR63" s="956">
        <v>0</v>
      </c>
      <c r="DS63" s="680">
        <f t="shared" si="305"/>
        <v>0</v>
      </c>
      <c r="DT63" s="192"/>
      <c r="DU63" s="192"/>
      <c r="DV63" s="192"/>
      <c r="DW63" s="192"/>
      <c r="DX63" s="192"/>
      <c r="DY63" s="192"/>
      <c r="DZ63" s="192"/>
      <c r="EA63" s="192"/>
      <c r="EB63" s="192"/>
      <c r="EC63" s="192"/>
      <c r="ED63" s="192"/>
      <c r="EE63" s="154"/>
      <c r="EF63" s="154"/>
      <c r="GD63" s="2">
        <f>GI55+GI57</f>
        <v>93052.918173487415</v>
      </c>
      <c r="KJ63" s="2">
        <v>2825.3360855764463</v>
      </c>
      <c r="MH63" s="2">
        <f>SUM(LO12:LO55)/1000</f>
        <v>18288.256530084931</v>
      </c>
      <c r="MI63" s="1">
        <v>12260.053095314972</v>
      </c>
      <c r="MJ63" s="2">
        <f t="shared" si="294"/>
        <v>30548.309625399903</v>
      </c>
    </row>
    <row r="64" spans="1:387" ht="14.4" thickTop="1" thickBot="1">
      <c r="B64" s="1147">
        <v>11</v>
      </c>
      <c r="C64" s="1154"/>
      <c r="D64" s="1154"/>
      <c r="E64" s="1843">
        <v>0</v>
      </c>
      <c r="F64" s="1">
        <v>11</v>
      </c>
      <c r="G64" s="1">
        <v>100</v>
      </c>
      <c r="T64" s="114">
        <v>11</v>
      </c>
      <c r="U64" s="1145">
        <f t="shared" si="283"/>
        <v>0</v>
      </c>
      <c r="V64" s="1145">
        <f t="shared" si="284"/>
        <v>0</v>
      </c>
      <c r="W64" s="1145">
        <f t="shared" si="285"/>
        <v>0</v>
      </c>
      <c r="X64" s="1145">
        <f t="shared" si="286"/>
        <v>0</v>
      </c>
      <c r="Y64" s="1145">
        <f t="shared" si="287"/>
        <v>0</v>
      </c>
      <c r="Z64" s="1145">
        <f t="shared" si="288"/>
        <v>0</v>
      </c>
      <c r="AA64" s="1145">
        <f t="shared" si="289"/>
        <v>0</v>
      </c>
      <c r="AB64" s="1145">
        <f t="shared" si="290"/>
        <v>0</v>
      </c>
      <c r="AC64" s="1145">
        <f t="shared" si="291"/>
        <v>0</v>
      </c>
      <c r="AD64" s="1145">
        <f t="shared" si="292"/>
        <v>0</v>
      </c>
      <c r="AE64" s="1145"/>
      <c r="AF64" s="114">
        <v>11</v>
      </c>
      <c r="AG64" s="1145">
        <f t="shared" si="254"/>
        <v>0</v>
      </c>
      <c r="AH64" s="1145">
        <f t="shared" si="255"/>
        <v>0</v>
      </c>
      <c r="AI64" s="1145">
        <f t="shared" si="256"/>
        <v>0</v>
      </c>
      <c r="AJ64" s="1145">
        <f t="shared" si="257"/>
        <v>0</v>
      </c>
      <c r="AK64" s="1145">
        <f t="shared" si="258"/>
        <v>0</v>
      </c>
      <c r="AL64" s="1145">
        <f t="shared" si="259"/>
        <v>0</v>
      </c>
      <c r="AM64" s="1145">
        <f t="shared" si="260"/>
        <v>0</v>
      </c>
      <c r="AN64" s="1145">
        <f t="shared" si="261"/>
        <v>0</v>
      </c>
      <c r="AO64" s="1145">
        <f t="shared" si="262"/>
        <v>0</v>
      </c>
      <c r="AP64" s="1145">
        <f t="shared" si="263"/>
        <v>0</v>
      </c>
      <c r="AQ64" s="1303"/>
      <c r="AR64" s="1"/>
      <c r="AS64" s="1147">
        <v>11</v>
      </c>
      <c r="AT64" s="1154"/>
      <c r="AU64" s="1154"/>
      <c r="AV64" s="1843">
        <v>0</v>
      </c>
      <c r="AW64" s="1">
        <v>11</v>
      </c>
      <c r="AX64" s="1">
        <v>100</v>
      </c>
      <c r="BK64" s="114">
        <v>11</v>
      </c>
      <c r="BL64" s="1145">
        <f t="shared" si="293"/>
        <v>0</v>
      </c>
      <c r="BM64" s="1145">
        <f t="shared" si="264"/>
        <v>0</v>
      </c>
      <c r="BN64" s="1145">
        <f t="shared" si="265"/>
        <v>0</v>
      </c>
      <c r="BO64" s="1145">
        <f t="shared" si="266"/>
        <v>0</v>
      </c>
      <c r="BP64" s="1145">
        <f t="shared" si="267"/>
        <v>0</v>
      </c>
      <c r="BQ64" s="1145">
        <f t="shared" si="268"/>
        <v>0</v>
      </c>
      <c r="BR64" s="1145">
        <f t="shared" si="269"/>
        <v>0</v>
      </c>
      <c r="BS64" s="1145">
        <f t="shared" si="270"/>
        <v>0</v>
      </c>
      <c r="BT64" s="1145">
        <f t="shared" si="271"/>
        <v>0</v>
      </c>
      <c r="BU64" s="1145">
        <f t="shared" si="272"/>
        <v>0</v>
      </c>
      <c r="BV64" s="1145"/>
      <c r="BW64" s="114">
        <v>11</v>
      </c>
      <c r="BX64" s="1145">
        <f t="shared" si="273"/>
        <v>0</v>
      </c>
      <c r="BY64" s="1145">
        <f t="shared" si="274"/>
        <v>0</v>
      </c>
      <c r="BZ64" s="1145">
        <f t="shared" si="275"/>
        <v>0</v>
      </c>
      <c r="CA64" s="1145">
        <f t="shared" si="276"/>
        <v>0</v>
      </c>
      <c r="CB64" s="1145">
        <f t="shared" si="277"/>
        <v>0</v>
      </c>
      <c r="CC64" s="1145">
        <f t="shared" si="278"/>
        <v>0</v>
      </c>
      <c r="CD64" s="1145">
        <f t="shared" si="279"/>
        <v>0</v>
      </c>
      <c r="CE64" s="1145">
        <f t="shared" si="280"/>
        <v>0</v>
      </c>
      <c r="CF64" s="1145">
        <f t="shared" si="281"/>
        <v>0</v>
      </c>
      <c r="CG64" s="1145">
        <f t="shared" si="282"/>
        <v>0</v>
      </c>
      <c r="CH64" s="1303"/>
      <c r="CM64" s="638"/>
      <c r="CN64" s="638"/>
      <c r="CO64" s="1860">
        <v>9</v>
      </c>
      <c r="CP64" s="1861"/>
      <c r="CQ64" s="1861"/>
      <c r="CR64" s="1141">
        <v>0</v>
      </c>
      <c r="CS64" s="638">
        <v>9</v>
      </c>
      <c r="CT64" s="638">
        <v>100</v>
      </c>
      <c r="CU64" s="638"/>
      <c r="CV64" s="638"/>
      <c r="CW64" s="638"/>
      <c r="CX64" s="638"/>
      <c r="CY64" s="638"/>
      <c r="CZ64" s="638"/>
      <c r="DA64" s="638"/>
      <c r="DB64" s="638"/>
      <c r="DC64" s="638"/>
      <c r="DD64" s="638"/>
      <c r="DE64" s="638"/>
      <c r="DF64" s="675"/>
      <c r="DG64" s="679">
        <v>9</v>
      </c>
      <c r="DH64" s="1864">
        <f t="shared" si="304"/>
        <v>0</v>
      </c>
      <c r="DI64" s="1864">
        <f t="shared" si="295"/>
        <v>0</v>
      </c>
      <c r="DJ64" s="1864">
        <f t="shared" si="296"/>
        <v>0</v>
      </c>
      <c r="DK64" s="1864">
        <f t="shared" si="297"/>
        <v>0</v>
      </c>
      <c r="DL64" s="1864">
        <f t="shared" si="298"/>
        <v>0</v>
      </c>
      <c r="DM64" s="1864">
        <f t="shared" si="299"/>
        <v>0</v>
      </c>
      <c r="DN64" s="1864">
        <f t="shared" si="300"/>
        <v>0</v>
      </c>
      <c r="DO64" s="1864">
        <f t="shared" si="301"/>
        <v>0</v>
      </c>
      <c r="DP64" s="1864">
        <f t="shared" si="302"/>
        <v>0</v>
      </c>
      <c r="DQ64" s="1864">
        <f t="shared" si="303"/>
        <v>0</v>
      </c>
      <c r="DR64" s="956">
        <v>0</v>
      </c>
      <c r="DS64" s="680">
        <f t="shared" si="305"/>
        <v>0</v>
      </c>
      <c r="DT64" s="192"/>
      <c r="DU64" s="192"/>
      <c r="DV64" s="192"/>
      <c r="DW64" s="192"/>
      <c r="DX64" s="192"/>
      <c r="DY64" s="192"/>
      <c r="DZ64" s="192"/>
      <c r="EA64" s="192"/>
      <c r="EB64" s="192"/>
      <c r="EC64" s="192"/>
      <c r="ED64" s="192"/>
      <c r="EE64" s="154"/>
      <c r="EF64" s="154"/>
      <c r="GD64" s="2">
        <f>GJ55+GJ57</f>
        <v>31932.432808123289</v>
      </c>
      <c r="KJ64" s="2">
        <v>1146.6381064897757</v>
      </c>
      <c r="MH64" s="2">
        <f>SUM(LP12:LP55)/1000</f>
        <v>13722.45523857258</v>
      </c>
      <c r="MI64" s="1">
        <v>7589.860085219967</v>
      </c>
      <c r="MJ64" s="2">
        <f t="shared" si="294"/>
        <v>21312.315323792547</v>
      </c>
    </row>
    <row r="65" spans="2:348" ht="14.4" thickTop="1" thickBot="1">
      <c r="B65" s="1147">
        <v>12</v>
      </c>
      <c r="C65" s="1154"/>
      <c r="D65" s="1154"/>
      <c r="E65" s="1843">
        <v>0</v>
      </c>
      <c r="F65" s="1">
        <v>12</v>
      </c>
      <c r="G65" s="1">
        <v>100</v>
      </c>
      <c r="T65" s="114">
        <v>12</v>
      </c>
      <c r="U65" s="1145">
        <f t="shared" si="283"/>
        <v>0</v>
      </c>
      <c r="V65" s="1145">
        <f t="shared" si="284"/>
        <v>0</v>
      </c>
      <c r="W65" s="1145">
        <f t="shared" si="285"/>
        <v>0</v>
      </c>
      <c r="X65" s="1145">
        <f t="shared" si="286"/>
        <v>0</v>
      </c>
      <c r="Y65" s="1145">
        <f t="shared" si="287"/>
        <v>0</v>
      </c>
      <c r="Z65" s="1145">
        <f t="shared" si="288"/>
        <v>0</v>
      </c>
      <c r="AA65" s="1145">
        <f t="shared" si="289"/>
        <v>0</v>
      </c>
      <c r="AB65" s="1145">
        <f t="shared" si="290"/>
        <v>0</v>
      </c>
      <c r="AC65" s="1145">
        <f t="shared" si="291"/>
        <v>0</v>
      </c>
      <c r="AD65" s="1145">
        <f t="shared" si="292"/>
        <v>0</v>
      </c>
      <c r="AE65" s="1145"/>
      <c r="AF65" s="114">
        <v>12</v>
      </c>
      <c r="AG65" s="1145">
        <f t="shared" si="254"/>
        <v>0</v>
      </c>
      <c r="AH65" s="1145">
        <f t="shared" si="255"/>
        <v>0</v>
      </c>
      <c r="AI65" s="1145">
        <f t="shared" si="256"/>
        <v>0</v>
      </c>
      <c r="AJ65" s="1145">
        <f t="shared" si="257"/>
        <v>0</v>
      </c>
      <c r="AK65" s="1145">
        <f t="shared" si="258"/>
        <v>0</v>
      </c>
      <c r="AL65" s="1145">
        <f t="shared" si="259"/>
        <v>0</v>
      </c>
      <c r="AM65" s="1145">
        <f t="shared" si="260"/>
        <v>0</v>
      </c>
      <c r="AN65" s="1145">
        <f t="shared" si="261"/>
        <v>0</v>
      </c>
      <c r="AO65" s="1145">
        <f t="shared" si="262"/>
        <v>0</v>
      </c>
      <c r="AP65" s="1145">
        <f t="shared" si="263"/>
        <v>0</v>
      </c>
      <c r="AQ65" s="1303"/>
      <c r="AR65" s="1"/>
      <c r="AS65" s="1147">
        <v>12</v>
      </c>
      <c r="AT65" s="1154"/>
      <c r="AU65" s="1154"/>
      <c r="AV65" s="1843">
        <v>0</v>
      </c>
      <c r="AW65" s="1">
        <v>12</v>
      </c>
      <c r="AX65" s="1">
        <v>100</v>
      </c>
      <c r="BK65" s="114">
        <v>12</v>
      </c>
      <c r="BL65" s="1145">
        <f t="shared" si="293"/>
        <v>0</v>
      </c>
      <c r="BM65" s="1145">
        <f t="shared" si="264"/>
        <v>0</v>
      </c>
      <c r="BN65" s="1145">
        <f t="shared" si="265"/>
        <v>0</v>
      </c>
      <c r="BO65" s="1145">
        <f t="shared" si="266"/>
        <v>0</v>
      </c>
      <c r="BP65" s="1145">
        <f t="shared" si="267"/>
        <v>0</v>
      </c>
      <c r="BQ65" s="1145">
        <f t="shared" si="268"/>
        <v>0</v>
      </c>
      <c r="BR65" s="1145">
        <f t="shared" si="269"/>
        <v>0</v>
      </c>
      <c r="BS65" s="1145">
        <f t="shared" si="270"/>
        <v>0</v>
      </c>
      <c r="BT65" s="1145">
        <f t="shared" si="271"/>
        <v>0</v>
      </c>
      <c r="BU65" s="1145">
        <f t="shared" si="272"/>
        <v>0</v>
      </c>
      <c r="BV65" s="1145"/>
      <c r="BW65" s="114">
        <v>12</v>
      </c>
      <c r="BX65" s="1145">
        <f t="shared" si="273"/>
        <v>0</v>
      </c>
      <c r="BY65" s="1145">
        <f t="shared" si="274"/>
        <v>0</v>
      </c>
      <c r="BZ65" s="1145">
        <f t="shared" si="275"/>
        <v>0</v>
      </c>
      <c r="CA65" s="1145">
        <f t="shared" si="276"/>
        <v>0</v>
      </c>
      <c r="CB65" s="1145">
        <f t="shared" si="277"/>
        <v>0</v>
      </c>
      <c r="CC65" s="1145">
        <f t="shared" si="278"/>
        <v>0</v>
      </c>
      <c r="CD65" s="1145">
        <f t="shared" si="279"/>
        <v>0</v>
      </c>
      <c r="CE65" s="1145">
        <f t="shared" si="280"/>
        <v>0</v>
      </c>
      <c r="CF65" s="1145">
        <f t="shared" si="281"/>
        <v>0</v>
      </c>
      <c r="CG65" s="1145">
        <f t="shared" si="282"/>
        <v>0</v>
      </c>
      <c r="CH65" s="1303"/>
      <c r="CM65" s="638"/>
      <c r="CN65" s="638"/>
      <c r="CO65" s="1860">
        <v>10</v>
      </c>
      <c r="CP65" s="1861"/>
      <c r="CQ65" s="1861"/>
      <c r="CR65" s="1141">
        <v>0</v>
      </c>
      <c r="CS65" s="638">
        <v>10</v>
      </c>
      <c r="CT65" s="638">
        <v>100</v>
      </c>
      <c r="CU65" s="638"/>
      <c r="CV65" s="638"/>
      <c r="CW65" s="638"/>
      <c r="CX65" s="638"/>
      <c r="CY65" s="638"/>
      <c r="CZ65" s="638"/>
      <c r="DA65" s="638"/>
      <c r="DB65" s="638"/>
      <c r="DC65" s="638"/>
      <c r="DD65" s="638"/>
      <c r="DE65" s="638"/>
      <c r="DF65" s="675"/>
      <c r="DG65" s="679">
        <v>10</v>
      </c>
      <c r="DH65" s="1864">
        <f t="shared" si="304"/>
        <v>0</v>
      </c>
      <c r="DI65" s="1864">
        <f t="shared" si="295"/>
        <v>0</v>
      </c>
      <c r="DJ65" s="1864">
        <f t="shared" si="296"/>
        <v>0</v>
      </c>
      <c r="DK65" s="1864">
        <f t="shared" si="297"/>
        <v>0</v>
      </c>
      <c r="DL65" s="1864">
        <f t="shared" si="298"/>
        <v>0</v>
      </c>
      <c r="DM65" s="1864">
        <f t="shared" si="299"/>
        <v>0</v>
      </c>
      <c r="DN65" s="1864">
        <f t="shared" si="300"/>
        <v>0</v>
      </c>
      <c r="DO65" s="1864">
        <f t="shared" si="301"/>
        <v>0</v>
      </c>
      <c r="DP65" s="1864">
        <f t="shared" si="302"/>
        <v>0</v>
      </c>
      <c r="DQ65" s="1864">
        <f t="shared" si="303"/>
        <v>0</v>
      </c>
      <c r="DR65" s="956">
        <v>0</v>
      </c>
      <c r="DS65" s="680">
        <f t="shared" si="305"/>
        <v>0</v>
      </c>
      <c r="DT65" s="192"/>
      <c r="DU65" s="192"/>
      <c r="DV65" s="192"/>
      <c r="DW65" s="192"/>
      <c r="DX65" s="192"/>
      <c r="DY65" s="192"/>
      <c r="DZ65" s="192"/>
      <c r="EA65" s="192"/>
      <c r="EB65" s="192"/>
      <c r="EC65" s="192"/>
      <c r="ED65" s="192"/>
      <c r="EE65" s="154"/>
      <c r="EF65" s="154"/>
      <c r="GD65" s="2">
        <f>GK55+GK57</f>
        <v>12468.63112957498</v>
      </c>
      <c r="MH65" s="2">
        <f>SUM(LQ12:LQ55)/1000</f>
        <v>6936.6108248675391</v>
      </c>
      <c r="MI65" s="1">
        <v>2127.8960585130067</v>
      </c>
      <c r="MJ65" s="2">
        <f t="shared" si="294"/>
        <v>9064.5068833805453</v>
      </c>
    </row>
    <row r="66" spans="2:348" ht="14.4" thickTop="1" thickBot="1">
      <c r="B66" s="1147">
        <v>13</v>
      </c>
      <c r="C66" s="1154"/>
      <c r="D66" s="1154"/>
      <c r="E66" s="1843">
        <v>0</v>
      </c>
      <c r="F66" s="1">
        <v>13</v>
      </c>
      <c r="G66" s="1">
        <v>100</v>
      </c>
      <c r="T66" s="114">
        <v>13</v>
      </c>
      <c r="U66" s="1145">
        <f t="shared" si="283"/>
        <v>0</v>
      </c>
      <c r="V66" s="1145">
        <f t="shared" si="284"/>
        <v>0</v>
      </c>
      <c r="W66" s="1145">
        <f t="shared" si="285"/>
        <v>0</v>
      </c>
      <c r="X66" s="1145">
        <f t="shared" si="286"/>
        <v>0</v>
      </c>
      <c r="Y66" s="1145">
        <f t="shared" si="287"/>
        <v>0</v>
      </c>
      <c r="Z66" s="1145">
        <f t="shared" si="288"/>
        <v>0</v>
      </c>
      <c r="AA66" s="1145">
        <f t="shared" si="289"/>
        <v>0</v>
      </c>
      <c r="AB66" s="1145">
        <f t="shared" si="290"/>
        <v>0</v>
      </c>
      <c r="AC66" s="1145">
        <f t="shared" si="291"/>
        <v>0</v>
      </c>
      <c r="AD66" s="1145">
        <f t="shared" si="292"/>
        <v>0</v>
      </c>
      <c r="AE66" s="1145"/>
      <c r="AF66" s="114">
        <v>13</v>
      </c>
      <c r="AG66" s="1145">
        <f t="shared" si="254"/>
        <v>0</v>
      </c>
      <c r="AH66" s="1145">
        <f t="shared" si="255"/>
        <v>0</v>
      </c>
      <c r="AI66" s="1145">
        <f t="shared" si="256"/>
        <v>0</v>
      </c>
      <c r="AJ66" s="1145">
        <f t="shared" si="257"/>
        <v>0</v>
      </c>
      <c r="AK66" s="1145">
        <f t="shared" si="258"/>
        <v>0</v>
      </c>
      <c r="AL66" s="1145">
        <f t="shared" si="259"/>
        <v>0</v>
      </c>
      <c r="AM66" s="1145">
        <f t="shared" si="260"/>
        <v>0</v>
      </c>
      <c r="AN66" s="1145">
        <f t="shared" si="261"/>
        <v>0</v>
      </c>
      <c r="AO66" s="1145">
        <f t="shared" si="262"/>
        <v>0</v>
      </c>
      <c r="AP66" s="1145">
        <f t="shared" si="263"/>
        <v>0</v>
      </c>
      <c r="AQ66" s="1303"/>
      <c r="AR66" s="1"/>
      <c r="AS66" s="1147">
        <v>13</v>
      </c>
      <c r="AT66" s="1154"/>
      <c r="AU66" s="1154"/>
      <c r="AV66" s="1843">
        <v>0</v>
      </c>
      <c r="AW66" s="1">
        <v>13</v>
      </c>
      <c r="AX66" s="1">
        <v>100</v>
      </c>
      <c r="BK66" s="114">
        <v>13</v>
      </c>
      <c r="BL66" s="1145">
        <f t="shared" si="293"/>
        <v>0</v>
      </c>
      <c r="BM66" s="1145">
        <f t="shared" si="264"/>
        <v>0</v>
      </c>
      <c r="BN66" s="1145">
        <f t="shared" si="265"/>
        <v>0</v>
      </c>
      <c r="BO66" s="1145">
        <f t="shared" si="266"/>
        <v>0</v>
      </c>
      <c r="BP66" s="1145">
        <f t="shared" si="267"/>
        <v>0</v>
      </c>
      <c r="BQ66" s="1145">
        <f t="shared" si="268"/>
        <v>0</v>
      </c>
      <c r="BR66" s="1145">
        <f t="shared" si="269"/>
        <v>0</v>
      </c>
      <c r="BS66" s="1145">
        <f t="shared" si="270"/>
        <v>0</v>
      </c>
      <c r="BT66" s="1145">
        <f t="shared" si="271"/>
        <v>0</v>
      </c>
      <c r="BU66" s="1145">
        <f t="shared" si="272"/>
        <v>0</v>
      </c>
      <c r="BV66" s="1145"/>
      <c r="BW66" s="114">
        <v>13</v>
      </c>
      <c r="BX66" s="1145">
        <f t="shared" si="273"/>
        <v>0</v>
      </c>
      <c r="BY66" s="1145">
        <f t="shared" si="274"/>
        <v>0</v>
      </c>
      <c r="BZ66" s="1145">
        <f t="shared" si="275"/>
        <v>0</v>
      </c>
      <c r="CA66" s="1145">
        <f t="shared" si="276"/>
        <v>0</v>
      </c>
      <c r="CB66" s="1145">
        <f t="shared" si="277"/>
        <v>0</v>
      </c>
      <c r="CC66" s="1145">
        <f t="shared" si="278"/>
        <v>0</v>
      </c>
      <c r="CD66" s="1145">
        <f t="shared" si="279"/>
        <v>0</v>
      </c>
      <c r="CE66" s="1145">
        <f t="shared" si="280"/>
        <v>0</v>
      </c>
      <c r="CF66" s="1145">
        <f t="shared" si="281"/>
        <v>0</v>
      </c>
      <c r="CG66" s="1145">
        <f t="shared" si="282"/>
        <v>0</v>
      </c>
      <c r="CH66" s="1303"/>
      <c r="CM66" s="638"/>
      <c r="CN66" s="638"/>
      <c r="CO66" s="1860">
        <v>11</v>
      </c>
      <c r="CP66" s="1861"/>
      <c r="CQ66" s="1861"/>
      <c r="CR66" s="1141">
        <v>0</v>
      </c>
      <c r="CS66" s="638">
        <v>11</v>
      </c>
      <c r="CT66" s="638">
        <v>100</v>
      </c>
      <c r="CU66" s="638"/>
      <c r="CV66" s="638"/>
      <c r="CW66" s="638"/>
      <c r="CX66" s="638"/>
      <c r="CY66" s="638"/>
      <c r="CZ66" s="638"/>
      <c r="DA66" s="638"/>
      <c r="DB66" s="638"/>
      <c r="DC66" s="638"/>
      <c r="DD66" s="638"/>
      <c r="DE66" s="638"/>
      <c r="DF66" s="675"/>
      <c r="DG66" s="679">
        <v>11</v>
      </c>
      <c r="DH66" s="1864">
        <f t="shared" si="304"/>
        <v>0</v>
      </c>
      <c r="DI66" s="1864">
        <f t="shared" si="295"/>
        <v>0</v>
      </c>
      <c r="DJ66" s="1864">
        <f t="shared" si="296"/>
        <v>0</v>
      </c>
      <c r="DK66" s="1864">
        <f t="shared" si="297"/>
        <v>0</v>
      </c>
      <c r="DL66" s="1864">
        <f t="shared" si="298"/>
        <v>0</v>
      </c>
      <c r="DM66" s="1864">
        <f t="shared" si="299"/>
        <v>0</v>
      </c>
      <c r="DN66" s="1864">
        <f t="shared" si="300"/>
        <v>0</v>
      </c>
      <c r="DO66" s="1864">
        <f t="shared" si="301"/>
        <v>0</v>
      </c>
      <c r="DP66" s="1864">
        <f t="shared" si="302"/>
        <v>0</v>
      </c>
      <c r="DQ66" s="1864">
        <f t="shared" si="303"/>
        <v>0</v>
      </c>
      <c r="DR66" s="956">
        <v>0</v>
      </c>
      <c r="DS66" s="680">
        <f t="shared" si="305"/>
        <v>0</v>
      </c>
      <c r="DT66" s="192"/>
      <c r="DU66" s="192"/>
      <c r="DV66" s="192"/>
      <c r="DW66" s="192"/>
      <c r="DX66" s="192"/>
      <c r="DY66" s="192"/>
      <c r="DZ66" s="192"/>
      <c r="EA66" s="192"/>
      <c r="EB66" s="192"/>
      <c r="EC66" s="192"/>
      <c r="ED66" s="192"/>
      <c r="EE66" s="154"/>
      <c r="EF66" s="154"/>
      <c r="GD66" s="2">
        <f>GL55+GL57</f>
        <v>11583.154590105325</v>
      </c>
      <c r="MH66" s="2">
        <f>SUM(LR56:LT56)</f>
        <v>4416.4988057924766</v>
      </c>
      <c r="MI66" s="1">
        <f>SUM(MQ58:MS58)</f>
        <v>499.54737134246307</v>
      </c>
      <c r="MJ66" s="2">
        <f t="shared" si="294"/>
        <v>4916.0461771349401</v>
      </c>
    </row>
    <row r="67" spans="2:348" ht="14.4" thickTop="1" thickBot="1">
      <c r="B67" s="1147">
        <v>14</v>
      </c>
      <c r="C67" s="1154"/>
      <c r="D67" s="1154"/>
      <c r="E67" s="1843">
        <v>0</v>
      </c>
      <c r="F67" s="1">
        <v>14</v>
      </c>
      <c r="G67" s="1">
        <v>100</v>
      </c>
      <c r="T67" s="114">
        <v>14</v>
      </c>
      <c r="U67" s="1145">
        <f t="shared" si="283"/>
        <v>0</v>
      </c>
      <c r="V67" s="1145">
        <f t="shared" si="284"/>
        <v>0</v>
      </c>
      <c r="W67" s="1145">
        <f t="shared" si="285"/>
        <v>0</v>
      </c>
      <c r="X67" s="1145">
        <f t="shared" si="286"/>
        <v>0</v>
      </c>
      <c r="Y67" s="1145">
        <f t="shared" si="287"/>
        <v>0</v>
      </c>
      <c r="Z67" s="1145">
        <f t="shared" si="288"/>
        <v>0</v>
      </c>
      <c r="AA67" s="1145">
        <f t="shared" si="289"/>
        <v>0</v>
      </c>
      <c r="AB67" s="1145">
        <f t="shared" si="290"/>
        <v>0</v>
      </c>
      <c r="AC67" s="1145">
        <f t="shared" si="291"/>
        <v>0</v>
      </c>
      <c r="AD67" s="1145">
        <f t="shared" si="292"/>
        <v>0</v>
      </c>
      <c r="AE67" s="1145"/>
      <c r="AF67" s="114">
        <v>14</v>
      </c>
      <c r="AG67" s="1145">
        <f t="shared" si="254"/>
        <v>0</v>
      </c>
      <c r="AH67" s="1145">
        <f t="shared" si="255"/>
        <v>0</v>
      </c>
      <c r="AI67" s="1145">
        <f t="shared" si="256"/>
        <v>0</v>
      </c>
      <c r="AJ67" s="1145">
        <f t="shared" si="257"/>
        <v>0</v>
      </c>
      <c r="AK67" s="1145">
        <f t="shared" si="258"/>
        <v>0</v>
      </c>
      <c r="AL67" s="1145">
        <f t="shared" si="259"/>
        <v>0</v>
      </c>
      <c r="AM67" s="1145">
        <f t="shared" si="260"/>
        <v>0</v>
      </c>
      <c r="AN67" s="1145">
        <f t="shared" si="261"/>
        <v>0</v>
      </c>
      <c r="AO67" s="1145">
        <f t="shared" si="262"/>
        <v>0</v>
      </c>
      <c r="AP67" s="1145">
        <f t="shared" si="263"/>
        <v>0</v>
      </c>
      <c r="AQ67" s="1303"/>
      <c r="AR67" s="1"/>
      <c r="AS67" s="1147">
        <v>14</v>
      </c>
      <c r="AT67" s="1154"/>
      <c r="AU67" s="1154"/>
      <c r="AV67" s="1843">
        <v>0</v>
      </c>
      <c r="AW67" s="1">
        <v>14</v>
      </c>
      <c r="AX67" s="1">
        <v>100</v>
      </c>
      <c r="BK67" s="114">
        <v>14</v>
      </c>
      <c r="BL67" s="1145">
        <f t="shared" si="293"/>
        <v>0</v>
      </c>
      <c r="BM67" s="1145">
        <f t="shared" si="264"/>
        <v>0</v>
      </c>
      <c r="BN67" s="1145">
        <f t="shared" si="265"/>
        <v>0</v>
      </c>
      <c r="BO67" s="1145">
        <f t="shared" si="266"/>
        <v>0</v>
      </c>
      <c r="BP67" s="1145">
        <f t="shared" si="267"/>
        <v>0</v>
      </c>
      <c r="BQ67" s="1145">
        <f t="shared" si="268"/>
        <v>0</v>
      </c>
      <c r="BR67" s="1145">
        <f t="shared" si="269"/>
        <v>0</v>
      </c>
      <c r="BS67" s="1145">
        <f t="shared" si="270"/>
        <v>0</v>
      </c>
      <c r="BT67" s="1145">
        <f t="shared" si="271"/>
        <v>0</v>
      </c>
      <c r="BU67" s="1145">
        <f t="shared" si="272"/>
        <v>0</v>
      </c>
      <c r="BV67" s="1145"/>
      <c r="BW67" s="114">
        <v>14</v>
      </c>
      <c r="BX67" s="1145">
        <f t="shared" si="273"/>
        <v>0</v>
      </c>
      <c r="BY67" s="1145">
        <f t="shared" si="274"/>
        <v>0</v>
      </c>
      <c r="BZ67" s="1145">
        <f t="shared" si="275"/>
        <v>0</v>
      </c>
      <c r="CA67" s="1145">
        <f t="shared" si="276"/>
        <v>0</v>
      </c>
      <c r="CB67" s="1145">
        <f t="shared" si="277"/>
        <v>0</v>
      </c>
      <c r="CC67" s="1145">
        <f t="shared" si="278"/>
        <v>0</v>
      </c>
      <c r="CD67" s="1145">
        <f t="shared" si="279"/>
        <v>0</v>
      </c>
      <c r="CE67" s="1145">
        <f t="shared" si="280"/>
        <v>0</v>
      </c>
      <c r="CF67" s="1145">
        <f t="shared" si="281"/>
        <v>0</v>
      </c>
      <c r="CG67" s="1145">
        <f t="shared" si="282"/>
        <v>0</v>
      </c>
      <c r="CH67" s="1303"/>
      <c r="CM67" s="638"/>
      <c r="CN67" s="638"/>
      <c r="CO67" s="1860">
        <v>12</v>
      </c>
      <c r="CP67" s="1861"/>
      <c r="CQ67" s="1861"/>
      <c r="CR67" s="1141">
        <v>0</v>
      </c>
      <c r="CS67" s="638">
        <v>12</v>
      </c>
      <c r="CT67" s="638">
        <v>100</v>
      </c>
      <c r="CU67" s="638"/>
      <c r="CV67" s="638"/>
      <c r="CW67" s="638"/>
      <c r="CX67" s="638"/>
      <c r="CY67" s="638"/>
      <c r="CZ67" s="638"/>
      <c r="DA67" s="638"/>
      <c r="DB67" s="638"/>
      <c r="DC67" s="638"/>
      <c r="DD67" s="638"/>
      <c r="DE67" s="638"/>
      <c r="DF67" s="675"/>
      <c r="DG67" s="679">
        <v>12</v>
      </c>
      <c r="DH67" s="1864">
        <f t="shared" si="304"/>
        <v>0</v>
      </c>
      <c r="DI67" s="1864">
        <f t="shared" si="295"/>
        <v>0</v>
      </c>
      <c r="DJ67" s="1864">
        <f t="shared" si="296"/>
        <v>0</v>
      </c>
      <c r="DK67" s="1864">
        <f t="shared" si="297"/>
        <v>0</v>
      </c>
      <c r="DL67" s="1864">
        <f t="shared" si="298"/>
        <v>0</v>
      </c>
      <c r="DM67" s="1864">
        <f t="shared" si="299"/>
        <v>0</v>
      </c>
      <c r="DN67" s="1864">
        <f t="shared" si="300"/>
        <v>0</v>
      </c>
      <c r="DO67" s="1864">
        <f t="shared" si="301"/>
        <v>0</v>
      </c>
      <c r="DP67" s="1864">
        <f t="shared" si="302"/>
        <v>0</v>
      </c>
      <c r="DQ67" s="1864">
        <f t="shared" si="303"/>
        <v>0</v>
      </c>
      <c r="DR67" s="956">
        <v>0</v>
      </c>
      <c r="DS67" s="680">
        <f t="shared" si="305"/>
        <v>0</v>
      </c>
      <c r="DT67" s="192"/>
      <c r="DU67" s="192"/>
      <c r="DV67" s="192"/>
      <c r="DW67" s="192"/>
      <c r="DX67" s="192"/>
      <c r="DY67" s="192"/>
      <c r="DZ67" s="192"/>
      <c r="EA67" s="192"/>
      <c r="EB67" s="192"/>
      <c r="EC67" s="192"/>
      <c r="ED67" s="192"/>
      <c r="EE67" s="154"/>
      <c r="EF67" s="154"/>
      <c r="MJ67" s="2">
        <f>SUM(MJ58:MJ66)</f>
        <v>714873.56449450902</v>
      </c>
    </row>
    <row r="68" spans="2:348" ht="14.4" thickTop="1" thickBot="1">
      <c r="B68" s="1147">
        <v>15</v>
      </c>
      <c r="C68" s="1147"/>
      <c r="D68" s="1154"/>
      <c r="E68" s="1843">
        <v>0</v>
      </c>
      <c r="F68" s="1">
        <v>15</v>
      </c>
      <c r="G68" s="1">
        <v>100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114">
        <v>15</v>
      </c>
      <c r="U68" s="1145">
        <f t="shared" si="283"/>
        <v>0</v>
      </c>
      <c r="V68" s="1145">
        <f t="shared" si="284"/>
        <v>0</v>
      </c>
      <c r="W68" s="1145">
        <f t="shared" si="285"/>
        <v>0</v>
      </c>
      <c r="X68" s="1145">
        <f t="shared" si="286"/>
        <v>0</v>
      </c>
      <c r="Y68" s="1145">
        <f t="shared" si="287"/>
        <v>0</v>
      </c>
      <c r="Z68" s="1145">
        <f t="shared" si="288"/>
        <v>0</v>
      </c>
      <c r="AA68" s="1145">
        <f t="shared" si="289"/>
        <v>0</v>
      </c>
      <c r="AB68" s="1145">
        <f t="shared" si="290"/>
        <v>0</v>
      </c>
      <c r="AC68" s="1145">
        <f t="shared" si="291"/>
        <v>0</v>
      </c>
      <c r="AD68" s="1145">
        <f t="shared" si="292"/>
        <v>0</v>
      </c>
      <c r="AE68" s="1145"/>
      <c r="AF68" s="114">
        <v>15</v>
      </c>
      <c r="AG68" s="1145">
        <f t="shared" si="254"/>
        <v>0</v>
      </c>
      <c r="AH68" s="1145">
        <f t="shared" si="255"/>
        <v>0</v>
      </c>
      <c r="AI68" s="1145">
        <f t="shared" si="256"/>
        <v>0</v>
      </c>
      <c r="AJ68" s="1145">
        <f t="shared" si="257"/>
        <v>0</v>
      </c>
      <c r="AK68" s="1145">
        <f t="shared" si="258"/>
        <v>0</v>
      </c>
      <c r="AL68" s="1145">
        <f t="shared" si="259"/>
        <v>0</v>
      </c>
      <c r="AM68" s="1145">
        <f t="shared" si="260"/>
        <v>0</v>
      </c>
      <c r="AN68" s="1145">
        <f t="shared" si="261"/>
        <v>0</v>
      </c>
      <c r="AO68" s="1145">
        <f t="shared" si="262"/>
        <v>0</v>
      </c>
      <c r="AP68" s="1145">
        <f t="shared" si="263"/>
        <v>0</v>
      </c>
      <c r="AQ68" s="1303"/>
      <c r="AR68" s="1"/>
      <c r="AS68" s="1147">
        <v>15</v>
      </c>
      <c r="AT68" s="1147"/>
      <c r="AU68" s="1154"/>
      <c r="AV68" s="1843">
        <v>0</v>
      </c>
      <c r="AW68" s="1">
        <v>15</v>
      </c>
      <c r="AX68" s="1">
        <v>100</v>
      </c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114">
        <v>15</v>
      </c>
      <c r="BL68" s="1145">
        <f t="shared" si="293"/>
        <v>0</v>
      </c>
      <c r="BM68" s="1145">
        <f t="shared" si="264"/>
        <v>0</v>
      </c>
      <c r="BN68" s="1145">
        <f t="shared" si="265"/>
        <v>0</v>
      </c>
      <c r="BO68" s="1145">
        <f t="shared" si="266"/>
        <v>0</v>
      </c>
      <c r="BP68" s="1145">
        <f t="shared" si="267"/>
        <v>0</v>
      </c>
      <c r="BQ68" s="1145">
        <f t="shared" si="268"/>
        <v>0</v>
      </c>
      <c r="BR68" s="1145">
        <f t="shared" si="269"/>
        <v>0</v>
      </c>
      <c r="BS68" s="1145">
        <f t="shared" si="270"/>
        <v>0</v>
      </c>
      <c r="BT68" s="1145">
        <f t="shared" si="271"/>
        <v>0</v>
      </c>
      <c r="BU68" s="1145">
        <f t="shared" si="272"/>
        <v>0</v>
      </c>
      <c r="BV68" s="1145"/>
      <c r="BW68" s="114">
        <v>15</v>
      </c>
      <c r="BX68" s="1145">
        <f t="shared" si="273"/>
        <v>0</v>
      </c>
      <c r="BY68" s="1145">
        <f t="shared" si="274"/>
        <v>0</v>
      </c>
      <c r="BZ68" s="1145">
        <f t="shared" si="275"/>
        <v>0</v>
      </c>
      <c r="CA68" s="1145">
        <f t="shared" si="276"/>
        <v>0</v>
      </c>
      <c r="CB68" s="1145">
        <f t="shared" si="277"/>
        <v>0</v>
      </c>
      <c r="CC68" s="1145">
        <f t="shared" si="278"/>
        <v>0</v>
      </c>
      <c r="CD68" s="1145">
        <f t="shared" si="279"/>
        <v>0</v>
      </c>
      <c r="CE68" s="1145">
        <f t="shared" si="280"/>
        <v>0</v>
      </c>
      <c r="CF68" s="1145">
        <f t="shared" si="281"/>
        <v>0</v>
      </c>
      <c r="CG68" s="1145">
        <f t="shared" si="282"/>
        <v>0</v>
      </c>
      <c r="CH68" s="1303"/>
      <c r="CM68" s="638"/>
      <c r="CN68" s="638"/>
      <c r="CO68" s="1860">
        <v>13</v>
      </c>
      <c r="CP68" s="1861"/>
      <c r="CQ68" s="1861"/>
      <c r="CR68" s="1141">
        <v>0</v>
      </c>
      <c r="CS68" s="638">
        <v>13</v>
      </c>
      <c r="CT68" s="638">
        <v>100</v>
      </c>
      <c r="CU68" s="638"/>
      <c r="CV68" s="638"/>
      <c r="CW68" s="638"/>
      <c r="CX68" s="638"/>
      <c r="CY68" s="638"/>
      <c r="CZ68" s="638"/>
      <c r="DA68" s="638"/>
      <c r="DB68" s="638"/>
      <c r="DC68" s="638"/>
      <c r="DD68" s="638"/>
      <c r="DE68" s="638"/>
      <c r="DF68" s="675"/>
      <c r="DG68" s="679">
        <v>13</v>
      </c>
      <c r="DH68" s="1864">
        <f t="shared" si="304"/>
        <v>0</v>
      </c>
      <c r="DI68" s="1864">
        <f t="shared" si="295"/>
        <v>0</v>
      </c>
      <c r="DJ68" s="1864">
        <f t="shared" si="296"/>
        <v>0</v>
      </c>
      <c r="DK68" s="1864">
        <f t="shared" si="297"/>
        <v>0</v>
      </c>
      <c r="DL68" s="1864">
        <f t="shared" si="298"/>
        <v>0</v>
      </c>
      <c r="DM68" s="1864">
        <f t="shared" si="299"/>
        <v>0</v>
      </c>
      <c r="DN68" s="1864">
        <f t="shared" si="300"/>
        <v>0</v>
      </c>
      <c r="DO68" s="1864">
        <f t="shared" si="301"/>
        <v>0</v>
      </c>
      <c r="DP68" s="1864">
        <f t="shared" si="302"/>
        <v>0</v>
      </c>
      <c r="DQ68" s="1864">
        <f t="shared" si="303"/>
        <v>0</v>
      </c>
      <c r="DR68" s="956">
        <v>0</v>
      </c>
      <c r="DS68" s="680">
        <f t="shared" si="305"/>
        <v>0</v>
      </c>
      <c r="DT68" s="192"/>
      <c r="DU68" s="192"/>
      <c r="DV68" s="192"/>
      <c r="DW68" s="192"/>
      <c r="DX68" s="192"/>
      <c r="DY68" s="192"/>
      <c r="DZ68" s="192"/>
      <c r="EA68" s="192"/>
      <c r="EB68" s="192"/>
      <c r="EC68" s="192"/>
      <c r="ED68" s="192"/>
      <c r="EE68" s="154"/>
      <c r="EF68" s="154"/>
      <c r="MJ68" s="1">
        <f>714272489.058662/1000</f>
        <v>714272.48905866209</v>
      </c>
    </row>
    <row r="69" spans="2:348" ht="14.4" thickTop="1" thickBot="1">
      <c r="B69" s="1147">
        <v>16</v>
      </c>
      <c r="C69" s="1147"/>
      <c r="D69" s="1154"/>
      <c r="E69" s="1843">
        <v>0</v>
      </c>
      <c r="F69" s="1">
        <v>16</v>
      </c>
      <c r="G69" s="1">
        <v>100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114">
        <v>16</v>
      </c>
      <c r="U69" s="1145">
        <f t="shared" si="283"/>
        <v>0</v>
      </c>
      <c r="V69" s="1145">
        <f t="shared" si="284"/>
        <v>0</v>
      </c>
      <c r="W69" s="1145">
        <f t="shared" si="285"/>
        <v>0</v>
      </c>
      <c r="X69" s="1145">
        <f t="shared" si="286"/>
        <v>0</v>
      </c>
      <c r="Y69" s="1145">
        <f t="shared" si="287"/>
        <v>0</v>
      </c>
      <c r="Z69" s="1145">
        <f t="shared" si="288"/>
        <v>0</v>
      </c>
      <c r="AA69" s="1145">
        <f t="shared" si="289"/>
        <v>0</v>
      </c>
      <c r="AB69" s="1145">
        <f t="shared" si="290"/>
        <v>0</v>
      </c>
      <c r="AC69" s="1145">
        <f t="shared" si="291"/>
        <v>0</v>
      </c>
      <c r="AD69" s="1145">
        <f t="shared" si="292"/>
        <v>0</v>
      </c>
      <c r="AE69" s="1145"/>
      <c r="AF69" s="114">
        <v>16</v>
      </c>
      <c r="AG69" s="1145">
        <f t="shared" si="254"/>
        <v>0</v>
      </c>
      <c r="AH69" s="1145">
        <f t="shared" si="255"/>
        <v>0</v>
      </c>
      <c r="AI69" s="1145">
        <f t="shared" si="256"/>
        <v>0</v>
      </c>
      <c r="AJ69" s="1145">
        <f t="shared" si="257"/>
        <v>0</v>
      </c>
      <c r="AK69" s="1145">
        <f t="shared" si="258"/>
        <v>0</v>
      </c>
      <c r="AL69" s="1145">
        <f t="shared" si="259"/>
        <v>0</v>
      </c>
      <c r="AM69" s="1145">
        <f t="shared" si="260"/>
        <v>0</v>
      </c>
      <c r="AN69" s="1145">
        <f t="shared" si="261"/>
        <v>0</v>
      </c>
      <c r="AO69" s="1145">
        <f t="shared" si="262"/>
        <v>0</v>
      </c>
      <c r="AP69" s="1145">
        <f t="shared" si="263"/>
        <v>0</v>
      </c>
      <c r="AQ69" s="1303"/>
      <c r="AR69" s="1"/>
      <c r="AS69" s="1147">
        <v>16</v>
      </c>
      <c r="AT69" s="1147"/>
      <c r="AU69" s="1154"/>
      <c r="AV69" s="1843">
        <v>0</v>
      </c>
      <c r="AW69" s="1">
        <v>16</v>
      </c>
      <c r="AX69" s="1">
        <v>100</v>
      </c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114">
        <v>16</v>
      </c>
      <c r="BL69" s="1145">
        <f t="shared" si="293"/>
        <v>0</v>
      </c>
      <c r="BM69" s="1145">
        <f t="shared" si="264"/>
        <v>0</v>
      </c>
      <c r="BN69" s="1145">
        <f t="shared" si="265"/>
        <v>0</v>
      </c>
      <c r="BO69" s="1145">
        <f t="shared" si="266"/>
        <v>0</v>
      </c>
      <c r="BP69" s="1145">
        <f t="shared" si="267"/>
        <v>0</v>
      </c>
      <c r="BQ69" s="1145">
        <f t="shared" si="268"/>
        <v>0</v>
      </c>
      <c r="BR69" s="1145">
        <f t="shared" si="269"/>
        <v>0</v>
      </c>
      <c r="BS69" s="1145">
        <f t="shared" si="270"/>
        <v>0</v>
      </c>
      <c r="BT69" s="1145">
        <f t="shared" si="271"/>
        <v>0</v>
      </c>
      <c r="BU69" s="1145">
        <f t="shared" si="272"/>
        <v>0</v>
      </c>
      <c r="BV69" s="1145"/>
      <c r="BW69" s="114">
        <v>16</v>
      </c>
      <c r="BX69" s="1145">
        <f t="shared" si="273"/>
        <v>0</v>
      </c>
      <c r="BY69" s="1145">
        <f t="shared" si="274"/>
        <v>0</v>
      </c>
      <c r="BZ69" s="1145">
        <f t="shared" si="275"/>
        <v>0</v>
      </c>
      <c r="CA69" s="1145">
        <f t="shared" si="276"/>
        <v>0</v>
      </c>
      <c r="CB69" s="1145">
        <f t="shared" si="277"/>
        <v>0</v>
      </c>
      <c r="CC69" s="1145">
        <f t="shared" si="278"/>
        <v>0</v>
      </c>
      <c r="CD69" s="1145">
        <f t="shared" si="279"/>
        <v>0</v>
      </c>
      <c r="CE69" s="1145">
        <f t="shared" si="280"/>
        <v>0</v>
      </c>
      <c r="CF69" s="1145">
        <f t="shared" si="281"/>
        <v>0</v>
      </c>
      <c r="CG69" s="1145">
        <f t="shared" si="282"/>
        <v>0</v>
      </c>
      <c r="CH69" s="1303"/>
      <c r="CM69" s="638"/>
      <c r="CN69" s="638"/>
      <c r="CO69" s="1860">
        <v>14</v>
      </c>
      <c r="CP69" s="1861"/>
      <c r="CQ69" s="1861"/>
      <c r="CR69" s="1141">
        <v>0</v>
      </c>
      <c r="CS69" s="638">
        <v>14</v>
      </c>
      <c r="CT69" s="638">
        <v>100</v>
      </c>
      <c r="CU69" s="638"/>
      <c r="CV69" s="638"/>
      <c r="CW69" s="638"/>
      <c r="CX69" s="638"/>
      <c r="CY69" s="638"/>
      <c r="CZ69" s="638"/>
      <c r="DA69" s="638"/>
      <c r="DB69" s="638"/>
      <c r="DC69" s="638"/>
      <c r="DD69" s="638"/>
      <c r="DE69" s="638"/>
      <c r="DF69" s="675"/>
      <c r="DG69" s="679">
        <v>14</v>
      </c>
      <c r="DH69" s="1864">
        <f t="shared" si="304"/>
        <v>0</v>
      </c>
      <c r="DI69" s="1864">
        <f t="shared" si="295"/>
        <v>0</v>
      </c>
      <c r="DJ69" s="1864">
        <f t="shared" si="296"/>
        <v>0</v>
      </c>
      <c r="DK69" s="1864">
        <f t="shared" si="297"/>
        <v>0</v>
      </c>
      <c r="DL69" s="1864">
        <f t="shared" si="298"/>
        <v>0</v>
      </c>
      <c r="DM69" s="1864">
        <f t="shared" si="299"/>
        <v>0</v>
      </c>
      <c r="DN69" s="1864">
        <f t="shared" si="300"/>
        <v>0</v>
      </c>
      <c r="DO69" s="1864">
        <f t="shared" si="301"/>
        <v>0</v>
      </c>
      <c r="DP69" s="1864">
        <f t="shared" si="302"/>
        <v>0</v>
      </c>
      <c r="DQ69" s="1864">
        <f t="shared" si="303"/>
        <v>0</v>
      </c>
      <c r="DR69" s="956">
        <v>0</v>
      </c>
      <c r="DS69" s="680">
        <f t="shared" si="305"/>
        <v>0</v>
      </c>
      <c r="DT69" s="192"/>
      <c r="DU69" s="192"/>
      <c r="DV69" s="192"/>
      <c r="DW69" s="192"/>
      <c r="DX69" s="192"/>
      <c r="DY69" s="192"/>
      <c r="DZ69" s="192"/>
      <c r="EA69" s="192"/>
      <c r="EB69" s="192"/>
      <c r="EC69" s="192"/>
      <c r="ED69" s="192"/>
      <c r="EE69" s="154"/>
      <c r="EF69" s="154"/>
    </row>
    <row r="70" spans="2:348" ht="14.4" thickTop="1" thickBot="1">
      <c r="B70" s="1147">
        <v>17</v>
      </c>
      <c r="C70" s="1147"/>
      <c r="D70" s="1154"/>
      <c r="E70" s="1843">
        <v>0</v>
      </c>
      <c r="F70" s="1">
        <v>17</v>
      </c>
      <c r="G70" s="1">
        <v>100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114">
        <v>17</v>
      </c>
      <c r="U70" s="1145">
        <f t="shared" si="283"/>
        <v>0</v>
      </c>
      <c r="V70" s="1145">
        <f t="shared" si="284"/>
        <v>0</v>
      </c>
      <c r="W70" s="1145">
        <f t="shared" si="285"/>
        <v>0</v>
      </c>
      <c r="X70" s="1145">
        <f t="shared" si="286"/>
        <v>0</v>
      </c>
      <c r="Y70" s="1145">
        <f t="shared" si="287"/>
        <v>0</v>
      </c>
      <c r="Z70" s="1145">
        <f t="shared" si="288"/>
        <v>0</v>
      </c>
      <c r="AA70" s="1145">
        <f t="shared" si="289"/>
        <v>0</v>
      </c>
      <c r="AB70" s="1145">
        <f t="shared" si="290"/>
        <v>0</v>
      </c>
      <c r="AC70" s="1145">
        <f t="shared" si="291"/>
        <v>0</v>
      </c>
      <c r="AD70" s="1145">
        <f t="shared" si="292"/>
        <v>0</v>
      </c>
      <c r="AE70" s="1145"/>
      <c r="AF70" s="114">
        <v>17</v>
      </c>
      <c r="AG70" s="1145">
        <f t="shared" si="254"/>
        <v>0</v>
      </c>
      <c r="AH70" s="1145">
        <f t="shared" si="255"/>
        <v>0</v>
      </c>
      <c r="AI70" s="1145">
        <f t="shared" si="256"/>
        <v>0</v>
      </c>
      <c r="AJ70" s="1145">
        <f t="shared" si="257"/>
        <v>0</v>
      </c>
      <c r="AK70" s="1145">
        <f t="shared" si="258"/>
        <v>0</v>
      </c>
      <c r="AL70" s="1145">
        <f t="shared" si="259"/>
        <v>0</v>
      </c>
      <c r="AM70" s="1145">
        <f t="shared" si="260"/>
        <v>0</v>
      </c>
      <c r="AN70" s="1145">
        <f t="shared" si="261"/>
        <v>0</v>
      </c>
      <c r="AO70" s="1145">
        <f t="shared" si="262"/>
        <v>0</v>
      </c>
      <c r="AP70" s="1145">
        <f t="shared" si="263"/>
        <v>0</v>
      </c>
      <c r="AQ70" s="1303"/>
      <c r="AR70" s="1"/>
      <c r="AS70" s="1147">
        <v>17</v>
      </c>
      <c r="AT70" s="1147"/>
      <c r="AU70" s="1154"/>
      <c r="AV70" s="1843">
        <v>0</v>
      </c>
      <c r="AW70" s="1">
        <v>17</v>
      </c>
      <c r="AX70" s="1">
        <v>100</v>
      </c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114">
        <v>17</v>
      </c>
      <c r="BL70" s="1145">
        <f t="shared" si="293"/>
        <v>0</v>
      </c>
      <c r="BM70" s="1145">
        <f t="shared" si="264"/>
        <v>0</v>
      </c>
      <c r="BN70" s="1145">
        <f t="shared" si="265"/>
        <v>0</v>
      </c>
      <c r="BO70" s="1145">
        <f t="shared" si="266"/>
        <v>0</v>
      </c>
      <c r="BP70" s="1145">
        <f t="shared" si="267"/>
        <v>0</v>
      </c>
      <c r="BQ70" s="1145">
        <f t="shared" si="268"/>
        <v>0</v>
      </c>
      <c r="BR70" s="1145">
        <f t="shared" si="269"/>
        <v>0</v>
      </c>
      <c r="BS70" s="1145">
        <f t="shared" si="270"/>
        <v>0</v>
      </c>
      <c r="BT70" s="1145">
        <f t="shared" si="271"/>
        <v>0</v>
      </c>
      <c r="BU70" s="1145">
        <f t="shared" si="272"/>
        <v>0</v>
      </c>
      <c r="BV70" s="1145"/>
      <c r="BW70" s="114">
        <v>17</v>
      </c>
      <c r="BX70" s="1145">
        <f t="shared" si="273"/>
        <v>0</v>
      </c>
      <c r="BY70" s="1145">
        <f t="shared" si="274"/>
        <v>0</v>
      </c>
      <c r="BZ70" s="1145">
        <f t="shared" si="275"/>
        <v>0</v>
      </c>
      <c r="CA70" s="1145">
        <f t="shared" si="276"/>
        <v>0</v>
      </c>
      <c r="CB70" s="1145">
        <f t="shared" si="277"/>
        <v>0</v>
      </c>
      <c r="CC70" s="1145">
        <f t="shared" si="278"/>
        <v>0</v>
      </c>
      <c r="CD70" s="1145">
        <f t="shared" si="279"/>
        <v>0</v>
      </c>
      <c r="CE70" s="1145">
        <f t="shared" si="280"/>
        <v>0</v>
      </c>
      <c r="CF70" s="1145">
        <f t="shared" si="281"/>
        <v>0</v>
      </c>
      <c r="CG70" s="1145">
        <f t="shared" si="282"/>
        <v>0</v>
      </c>
      <c r="CH70" s="1303"/>
      <c r="CM70" s="638"/>
      <c r="CN70" s="638"/>
      <c r="CO70" s="1860">
        <v>15</v>
      </c>
      <c r="CP70" s="1860"/>
      <c r="CQ70" s="1861"/>
      <c r="CR70" s="1141">
        <v>0</v>
      </c>
      <c r="CS70" s="638">
        <v>15</v>
      </c>
      <c r="CT70" s="638">
        <v>100</v>
      </c>
      <c r="CU70" s="451"/>
      <c r="CV70" s="451"/>
      <c r="CW70" s="451"/>
      <c r="CX70" s="451"/>
      <c r="CY70" s="451"/>
      <c r="CZ70" s="451"/>
      <c r="DA70" s="451"/>
      <c r="DB70" s="451"/>
      <c r="DC70" s="451"/>
      <c r="DD70" s="451"/>
      <c r="DE70" s="451"/>
      <c r="DF70" s="681"/>
      <c r="DG70" s="679">
        <v>15</v>
      </c>
      <c r="DH70" s="1864">
        <f t="shared" si="304"/>
        <v>0</v>
      </c>
      <c r="DI70" s="1864">
        <f t="shared" si="295"/>
        <v>0</v>
      </c>
      <c r="DJ70" s="1864">
        <f t="shared" si="296"/>
        <v>0</v>
      </c>
      <c r="DK70" s="1864">
        <f t="shared" si="297"/>
        <v>0</v>
      </c>
      <c r="DL70" s="1864">
        <f t="shared" si="298"/>
        <v>0</v>
      </c>
      <c r="DM70" s="1864">
        <f t="shared" si="299"/>
        <v>0</v>
      </c>
      <c r="DN70" s="1864">
        <f t="shared" si="300"/>
        <v>0</v>
      </c>
      <c r="DO70" s="1864">
        <f t="shared" si="301"/>
        <v>0</v>
      </c>
      <c r="DP70" s="1864">
        <f t="shared" si="302"/>
        <v>0</v>
      </c>
      <c r="DQ70" s="1864">
        <f t="shared" si="303"/>
        <v>0</v>
      </c>
      <c r="DR70" s="956">
        <v>0</v>
      </c>
      <c r="DS70" s="680">
        <f t="shared" si="305"/>
        <v>0</v>
      </c>
      <c r="DT70" s="192"/>
      <c r="DU70" s="192"/>
      <c r="DV70" s="192"/>
      <c r="DW70" s="192"/>
      <c r="DX70" s="192"/>
      <c r="DY70" s="192"/>
      <c r="DZ70" s="192"/>
      <c r="EA70" s="192"/>
      <c r="EB70" s="192"/>
      <c r="EC70" s="192"/>
      <c r="ED70" s="192"/>
      <c r="EE70" s="154"/>
      <c r="EF70" s="154"/>
    </row>
    <row r="71" spans="2:348" ht="14.4" thickTop="1" thickBot="1">
      <c r="B71" s="1147">
        <v>18</v>
      </c>
      <c r="C71" s="1147"/>
      <c r="D71" s="1154"/>
      <c r="E71" s="1843">
        <v>0</v>
      </c>
      <c r="F71" s="1">
        <v>18</v>
      </c>
      <c r="G71" s="1">
        <v>100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114">
        <v>18</v>
      </c>
      <c r="U71" s="1145">
        <f t="shared" si="283"/>
        <v>0</v>
      </c>
      <c r="V71" s="1145">
        <f t="shared" si="284"/>
        <v>0</v>
      </c>
      <c r="W71" s="1145">
        <f t="shared" si="285"/>
        <v>0</v>
      </c>
      <c r="X71" s="1145">
        <f t="shared" si="286"/>
        <v>0</v>
      </c>
      <c r="Y71" s="1145">
        <f t="shared" si="287"/>
        <v>0</v>
      </c>
      <c r="Z71" s="1145">
        <f t="shared" si="288"/>
        <v>0</v>
      </c>
      <c r="AA71" s="1145">
        <f t="shared" si="289"/>
        <v>0</v>
      </c>
      <c r="AB71" s="1145">
        <f t="shared" si="290"/>
        <v>0</v>
      </c>
      <c r="AC71" s="1145">
        <f t="shared" si="291"/>
        <v>0</v>
      </c>
      <c r="AD71" s="1145">
        <f t="shared" si="292"/>
        <v>0</v>
      </c>
      <c r="AE71" s="1145"/>
      <c r="AF71" s="114">
        <v>18</v>
      </c>
      <c r="AG71" s="1145">
        <f t="shared" si="254"/>
        <v>0</v>
      </c>
      <c r="AH71" s="1145">
        <f t="shared" si="255"/>
        <v>0</v>
      </c>
      <c r="AI71" s="1145">
        <f t="shared" si="256"/>
        <v>0</v>
      </c>
      <c r="AJ71" s="1145">
        <f t="shared" si="257"/>
        <v>0</v>
      </c>
      <c r="AK71" s="1145">
        <f t="shared" si="258"/>
        <v>0</v>
      </c>
      <c r="AL71" s="1145">
        <f t="shared" si="259"/>
        <v>0</v>
      </c>
      <c r="AM71" s="1145">
        <f t="shared" si="260"/>
        <v>0</v>
      </c>
      <c r="AN71" s="1145">
        <f t="shared" si="261"/>
        <v>0</v>
      </c>
      <c r="AO71" s="1145">
        <f t="shared" si="262"/>
        <v>0</v>
      </c>
      <c r="AP71" s="1145">
        <f t="shared" si="263"/>
        <v>0</v>
      </c>
      <c r="AQ71" s="1303"/>
      <c r="AR71" s="1"/>
      <c r="AS71" s="1147">
        <v>18</v>
      </c>
      <c r="AT71" s="1147"/>
      <c r="AU71" s="1154"/>
      <c r="AV71" s="1843">
        <v>0</v>
      </c>
      <c r="AW71" s="1">
        <v>18</v>
      </c>
      <c r="AX71" s="1">
        <v>100</v>
      </c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114">
        <v>18</v>
      </c>
      <c r="BL71" s="1145">
        <f t="shared" si="293"/>
        <v>0</v>
      </c>
      <c r="BM71" s="1145">
        <f t="shared" si="264"/>
        <v>0</v>
      </c>
      <c r="BN71" s="1145">
        <f t="shared" si="265"/>
        <v>0</v>
      </c>
      <c r="BO71" s="1145">
        <f t="shared" si="266"/>
        <v>0</v>
      </c>
      <c r="BP71" s="1145">
        <f t="shared" si="267"/>
        <v>0</v>
      </c>
      <c r="BQ71" s="1145">
        <f t="shared" si="268"/>
        <v>0</v>
      </c>
      <c r="BR71" s="1145">
        <f t="shared" si="269"/>
        <v>0</v>
      </c>
      <c r="BS71" s="1145">
        <f t="shared" si="270"/>
        <v>0</v>
      </c>
      <c r="BT71" s="1145">
        <f t="shared" si="271"/>
        <v>0</v>
      </c>
      <c r="BU71" s="1145">
        <f t="shared" si="272"/>
        <v>0</v>
      </c>
      <c r="BV71" s="1145"/>
      <c r="BW71" s="114">
        <v>18</v>
      </c>
      <c r="BX71" s="1145">
        <f t="shared" si="273"/>
        <v>0</v>
      </c>
      <c r="BY71" s="1145">
        <f t="shared" si="274"/>
        <v>0</v>
      </c>
      <c r="BZ71" s="1145">
        <f t="shared" si="275"/>
        <v>0</v>
      </c>
      <c r="CA71" s="1145">
        <f t="shared" si="276"/>
        <v>0</v>
      </c>
      <c r="CB71" s="1145">
        <f t="shared" si="277"/>
        <v>0</v>
      </c>
      <c r="CC71" s="1145">
        <f t="shared" si="278"/>
        <v>0</v>
      </c>
      <c r="CD71" s="1145">
        <f t="shared" si="279"/>
        <v>0</v>
      </c>
      <c r="CE71" s="1145">
        <f t="shared" si="280"/>
        <v>0</v>
      </c>
      <c r="CF71" s="1145">
        <f t="shared" si="281"/>
        <v>0</v>
      </c>
      <c r="CG71" s="1145">
        <f t="shared" si="282"/>
        <v>0</v>
      </c>
      <c r="CH71" s="1303"/>
      <c r="CM71" s="638"/>
      <c r="CN71" s="638"/>
      <c r="CO71" s="1860">
        <v>16</v>
      </c>
      <c r="CP71" s="1860"/>
      <c r="CQ71" s="1861"/>
      <c r="CR71" s="1141">
        <v>0</v>
      </c>
      <c r="CS71" s="638">
        <v>16</v>
      </c>
      <c r="CT71" s="638">
        <v>100</v>
      </c>
      <c r="CU71" s="451"/>
      <c r="CV71" s="451"/>
      <c r="CW71" s="451"/>
      <c r="CX71" s="451"/>
      <c r="CY71" s="451"/>
      <c r="CZ71" s="451"/>
      <c r="DA71" s="451"/>
      <c r="DB71" s="451"/>
      <c r="DC71" s="451"/>
      <c r="DD71" s="451"/>
      <c r="DE71" s="451"/>
      <c r="DF71" s="681"/>
      <c r="DG71" s="679">
        <v>16</v>
      </c>
      <c r="DH71" s="1864">
        <f t="shared" si="304"/>
        <v>0</v>
      </c>
      <c r="DI71" s="1864">
        <f t="shared" si="295"/>
        <v>0</v>
      </c>
      <c r="DJ71" s="1864">
        <f t="shared" si="296"/>
        <v>0</v>
      </c>
      <c r="DK71" s="1864">
        <f t="shared" si="297"/>
        <v>0</v>
      </c>
      <c r="DL71" s="1864">
        <f t="shared" si="298"/>
        <v>0</v>
      </c>
      <c r="DM71" s="1864">
        <f t="shared" si="299"/>
        <v>0</v>
      </c>
      <c r="DN71" s="1864">
        <f t="shared" si="300"/>
        <v>0</v>
      </c>
      <c r="DO71" s="1864">
        <f t="shared" si="301"/>
        <v>0</v>
      </c>
      <c r="DP71" s="1864">
        <f t="shared" si="302"/>
        <v>0</v>
      </c>
      <c r="DQ71" s="1864">
        <f t="shared" si="303"/>
        <v>0</v>
      </c>
      <c r="DR71" s="956">
        <v>0</v>
      </c>
      <c r="DS71" s="680">
        <f t="shared" si="305"/>
        <v>0</v>
      </c>
      <c r="DT71" s="192"/>
      <c r="DU71" s="192"/>
      <c r="DV71" s="192"/>
      <c r="DW71" s="192"/>
      <c r="DX71" s="192"/>
      <c r="DY71" s="192"/>
      <c r="DZ71" s="192"/>
      <c r="EA71" s="192"/>
      <c r="EB71" s="192"/>
      <c r="EC71" s="192"/>
      <c r="ED71" s="192"/>
      <c r="EE71" s="154"/>
      <c r="EF71" s="154"/>
    </row>
    <row r="72" spans="2:348" ht="14.4" thickTop="1" thickBot="1">
      <c r="B72" s="1147">
        <v>19</v>
      </c>
      <c r="C72" s="1147"/>
      <c r="D72" s="1154"/>
      <c r="E72" s="1865">
        <v>0</v>
      </c>
      <c r="F72" s="1">
        <v>19</v>
      </c>
      <c r="G72" s="1">
        <v>0</v>
      </c>
      <c r="H72" s="2">
        <v>99.494878646352475</v>
      </c>
      <c r="I72" s="2">
        <v>0.50512135364753019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/>
      <c r="R72" s="2"/>
      <c r="S72" s="2"/>
      <c r="T72" s="114">
        <v>19</v>
      </c>
      <c r="U72" s="1145">
        <f t="shared" si="283"/>
        <v>0</v>
      </c>
      <c r="V72" s="1145">
        <f t="shared" si="284"/>
        <v>0</v>
      </c>
      <c r="W72" s="1145">
        <f t="shared" si="285"/>
        <v>0</v>
      </c>
      <c r="X72" s="1145">
        <f t="shared" si="286"/>
        <v>0</v>
      </c>
      <c r="Y72" s="1145">
        <f t="shared" si="287"/>
        <v>0</v>
      </c>
      <c r="Z72" s="1145">
        <f t="shared" si="288"/>
        <v>0</v>
      </c>
      <c r="AA72" s="1145">
        <f t="shared" si="289"/>
        <v>0</v>
      </c>
      <c r="AB72" s="1145">
        <f t="shared" si="290"/>
        <v>0</v>
      </c>
      <c r="AC72" s="1145">
        <f t="shared" si="291"/>
        <v>0</v>
      </c>
      <c r="AD72" s="1145">
        <f t="shared" si="292"/>
        <v>0</v>
      </c>
      <c r="AE72" s="1145"/>
      <c r="AF72" s="114">
        <v>19</v>
      </c>
      <c r="AG72" s="1145">
        <f t="shared" si="254"/>
        <v>0</v>
      </c>
      <c r="AH72" s="1145">
        <f t="shared" si="255"/>
        <v>0</v>
      </c>
      <c r="AI72" s="1145">
        <f t="shared" si="256"/>
        <v>0</v>
      </c>
      <c r="AJ72" s="1145">
        <f t="shared" si="257"/>
        <v>0</v>
      </c>
      <c r="AK72" s="1145">
        <f t="shared" si="258"/>
        <v>0</v>
      </c>
      <c r="AL72" s="1145">
        <f t="shared" si="259"/>
        <v>0</v>
      </c>
      <c r="AM72" s="1145">
        <f t="shared" si="260"/>
        <v>0</v>
      </c>
      <c r="AN72" s="1145">
        <f t="shared" si="261"/>
        <v>0</v>
      </c>
      <c r="AO72" s="1145">
        <f t="shared" si="262"/>
        <v>0</v>
      </c>
      <c r="AP72" s="1145">
        <f t="shared" si="263"/>
        <v>0</v>
      </c>
      <c r="AQ72" s="1303"/>
      <c r="AR72" s="1"/>
      <c r="AS72" s="1147">
        <v>19</v>
      </c>
      <c r="AT72" s="1147"/>
      <c r="AU72" s="1154"/>
      <c r="AV72" s="1865">
        <v>439096.82013264054</v>
      </c>
      <c r="AW72" s="1">
        <v>19</v>
      </c>
      <c r="AX72" s="549"/>
      <c r="AY72" s="550">
        <v>40</v>
      </c>
      <c r="AZ72" s="551">
        <v>60</v>
      </c>
      <c r="BA72" s="552"/>
      <c r="BB72" s="552"/>
      <c r="BC72" s="552"/>
      <c r="BD72" s="552"/>
      <c r="BE72" s="552"/>
      <c r="BF72" s="552"/>
      <c r="BG72" s="552"/>
      <c r="BH72" s="2"/>
      <c r="BI72" s="2"/>
      <c r="BJ72" s="2"/>
      <c r="BK72" s="114">
        <v>19</v>
      </c>
      <c r="BL72" s="1145">
        <f t="shared" si="293"/>
        <v>0</v>
      </c>
      <c r="BM72" s="1145">
        <f>$AV72*AY72/100</f>
        <v>175638.72805305623</v>
      </c>
      <c r="BN72" s="1145">
        <f t="shared" ref="BN72:BU72" si="306">$AV72*AZ72/100</f>
        <v>263458.09207958431</v>
      </c>
      <c r="BO72" s="1145">
        <f t="shared" si="306"/>
        <v>0</v>
      </c>
      <c r="BP72" s="1145">
        <f t="shared" si="306"/>
        <v>0</v>
      </c>
      <c r="BQ72" s="1145">
        <f t="shared" si="306"/>
        <v>0</v>
      </c>
      <c r="BR72" s="1145">
        <f t="shared" si="306"/>
        <v>0</v>
      </c>
      <c r="BS72" s="1145">
        <f t="shared" si="306"/>
        <v>0</v>
      </c>
      <c r="BT72" s="1145">
        <f t="shared" si="306"/>
        <v>0</v>
      </c>
      <c r="BU72" s="1145">
        <f t="shared" si="306"/>
        <v>0</v>
      </c>
      <c r="BV72" s="1145"/>
      <c r="BW72" s="114">
        <v>19</v>
      </c>
      <c r="BX72" s="1145">
        <f t="shared" si="273"/>
        <v>0</v>
      </c>
      <c r="BY72" s="1145">
        <f t="shared" si="274"/>
        <v>3337135.8330080681</v>
      </c>
      <c r="BZ72" s="1145">
        <f t="shared" si="275"/>
        <v>5005703.7495121015</v>
      </c>
      <c r="CA72" s="1145">
        <f t="shared" si="276"/>
        <v>0</v>
      </c>
      <c r="CB72" s="1145">
        <f t="shared" si="277"/>
        <v>0</v>
      </c>
      <c r="CC72" s="1145">
        <f t="shared" si="278"/>
        <v>0</v>
      </c>
      <c r="CD72" s="1145">
        <f t="shared" si="279"/>
        <v>0</v>
      </c>
      <c r="CE72" s="1145">
        <f t="shared" si="280"/>
        <v>0</v>
      </c>
      <c r="CF72" s="1145">
        <f t="shared" si="281"/>
        <v>0</v>
      </c>
      <c r="CG72" s="1145">
        <f t="shared" si="282"/>
        <v>0</v>
      </c>
      <c r="CH72" s="1303"/>
      <c r="CM72" s="638"/>
      <c r="CN72" s="638"/>
      <c r="CO72" s="1860">
        <v>17</v>
      </c>
      <c r="CP72" s="1860"/>
      <c r="CQ72" s="1861"/>
      <c r="CR72" s="1141">
        <v>0</v>
      </c>
      <c r="CS72" s="638">
        <v>17</v>
      </c>
      <c r="CT72" s="638">
        <v>100</v>
      </c>
      <c r="CU72" s="451"/>
      <c r="CV72" s="451"/>
      <c r="CW72" s="451"/>
      <c r="CX72" s="451"/>
      <c r="CY72" s="451"/>
      <c r="CZ72" s="451"/>
      <c r="DA72" s="451"/>
      <c r="DB72" s="451"/>
      <c r="DC72" s="451"/>
      <c r="DD72" s="451"/>
      <c r="DE72" s="451"/>
      <c r="DF72" s="681"/>
      <c r="DG72" s="679">
        <v>17</v>
      </c>
      <c r="DH72" s="1864">
        <f t="shared" si="304"/>
        <v>0</v>
      </c>
      <c r="DI72" s="1864">
        <f t="shared" si="295"/>
        <v>0</v>
      </c>
      <c r="DJ72" s="1864">
        <f t="shared" si="296"/>
        <v>0</v>
      </c>
      <c r="DK72" s="1864">
        <f t="shared" si="297"/>
        <v>0</v>
      </c>
      <c r="DL72" s="1864">
        <f t="shared" si="298"/>
        <v>0</v>
      </c>
      <c r="DM72" s="1864">
        <f t="shared" si="299"/>
        <v>0</v>
      </c>
      <c r="DN72" s="1864">
        <f t="shared" si="300"/>
        <v>0</v>
      </c>
      <c r="DO72" s="1864">
        <f t="shared" si="301"/>
        <v>0</v>
      </c>
      <c r="DP72" s="1864">
        <f t="shared" si="302"/>
        <v>0</v>
      </c>
      <c r="DQ72" s="1864">
        <f t="shared" si="303"/>
        <v>0</v>
      </c>
      <c r="DR72" s="956">
        <v>0</v>
      </c>
      <c r="DS72" s="680">
        <f t="shared" si="305"/>
        <v>0</v>
      </c>
      <c r="DT72" s="192"/>
      <c r="DU72" s="192"/>
      <c r="DV72" s="192"/>
      <c r="DW72" s="192"/>
      <c r="DX72" s="192"/>
      <c r="DY72" s="192"/>
      <c r="DZ72" s="192"/>
      <c r="EA72" s="192"/>
      <c r="EB72" s="192"/>
      <c r="EC72" s="192"/>
      <c r="ED72" s="192"/>
      <c r="EE72" s="154"/>
      <c r="EF72" s="154"/>
    </row>
    <row r="73" spans="2:348" ht="14.4" thickTop="1" thickBot="1">
      <c r="B73" s="1147">
        <v>20</v>
      </c>
      <c r="C73" s="1147"/>
      <c r="D73" s="1154"/>
      <c r="E73" s="1865">
        <v>501390.91430010274</v>
      </c>
      <c r="F73" s="1">
        <v>20</v>
      </c>
      <c r="G73" s="1">
        <v>0</v>
      </c>
      <c r="H73" s="2">
        <v>100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/>
      <c r="R73" s="2"/>
      <c r="S73" s="2"/>
      <c r="T73" s="114">
        <v>20</v>
      </c>
      <c r="U73" s="1145">
        <f t="shared" si="283"/>
        <v>0</v>
      </c>
      <c r="V73" s="1145">
        <f t="shared" si="284"/>
        <v>501390.91430010274</v>
      </c>
      <c r="W73" s="1145">
        <f t="shared" si="285"/>
        <v>0</v>
      </c>
      <c r="X73" s="1145">
        <f t="shared" si="286"/>
        <v>0</v>
      </c>
      <c r="Y73" s="1145">
        <f t="shared" si="287"/>
        <v>0</v>
      </c>
      <c r="Z73" s="1145">
        <f t="shared" si="288"/>
        <v>0</v>
      </c>
      <c r="AA73" s="1145">
        <f t="shared" si="289"/>
        <v>0</v>
      </c>
      <c r="AB73" s="1145">
        <f t="shared" si="290"/>
        <v>0</v>
      </c>
      <c r="AC73" s="1145">
        <f t="shared" si="291"/>
        <v>0</v>
      </c>
      <c r="AD73" s="1145">
        <f t="shared" si="292"/>
        <v>0</v>
      </c>
      <c r="AE73" s="1145"/>
      <c r="AF73" s="114">
        <v>20</v>
      </c>
      <c r="AG73" s="1145">
        <f t="shared" si="254"/>
        <v>0</v>
      </c>
      <c r="AH73" s="1145">
        <f t="shared" si="255"/>
        <v>10027818.286002055</v>
      </c>
      <c r="AI73" s="1145">
        <f t="shared" si="256"/>
        <v>0</v>
      </c>
      <c r="AJ73" s="1145">
        <f t="shared" si="257"/>
        <v>0</v>
      </c>
      <c r="AK73" s="1145">
        <f t="shared" si="258"/>
        <v>0</v>
      </c>
      <c r="AL73" s="1145">
        <f t="shared" si="259"/>
        <v>0</v>
      </c>
      <c r="AM73" s="1145">
        <f t="shared" si="260"/>
        <v>0</v>
      </c>
      <c r="AN73" s="1145">
        <f t="shared" si="261"/>
        <v>0</v>
      </c>
      <c r="AO73" s="1145">
        <f t="shared" si="262"/>
        <v>0</v>
      </c>
      <c r="AP73" s="1145">
        <f t="shared" si="263"/>
        <v>0</v>
      </c>
      <c r="AQ73" s="1303"/>
      <c r="AR73" s="1"/>
      <c r="AS73" s="1147">
        <v>20</v>
      </c>
      <c r="AT73" s="1147"/>
      <c r="AU73" s="1154"/>
      <c r="AV73" s="1865">
        <v>3976331.7671152973</v>
      </c>
      <c r="AW73" s="1">
        <v>20</v>
      </c>
      <c r="AX73" s="553"/>
      <c r="AY73" s="554"/>
      <c r="AZ73" s="555">
        <v>100</v>
      </c>
      <c r="BA73" s="555"/>
      <c r="BB73" s="555"/>
      <c r="BC73" s="555"/>
      <c r="BD73" s="555"/>
      <c r="BE73" s="555"/>
      <c r="BF73" s="556"/>
      <c r="BG73" s="556"/>
      <c r="BH73" s="2"/>
      <c r="BI73" s="2"/>
      <c r="BJ73" s="2"/>
      <c r="BK73" s="114">
        <v>20</v>
      </c>
      <c r="BL73" s="1145">
        <f t="shared" si="293"/>
        <v>0</v>
      </c>
      <c r="BM73" s="1145">
        <f t="shared" ref="BM73:BM98" si="307">$AV73*AY73/100</f>
        <v>0</v>
      </c>
      <c r="BN73" s="1145">
        <f t="shared" ref="BN73:BN98" si="308">$AV73*AZ73/100</f>
        <v>3976331.7671152973</v>
      </c>
      <c r="BO73" s="1145">
        <f t="shared" ref="BO73:BO98" si="309">$AV73*BA73/100</f>
        <v>0</v>
      </c>
      <c r="BP73" s="1145">
        <f t="shared" ref="BP73:BP98" si="310">$AV73*BB73/100</f>
        <v>0</v>
      </c>
      <c r="BQ73" s="1145">
        <f t="shared" ref="BQ73:BQ98" si="311">$AV73*BC73/100</f>
        <v>0</v>
      </c>
      <c r="BR73" s="1145">
        <f t="shared" ref="BR73:BR98" si="312">$AV73*BD73/100</f>
        <v>0</v>
      </c>
      <c r="BS73" s="1145">
        <f t="shared" ref="BS73:BS98" si="313">$AV73*BE73/100</f>
        <v>0</v>
      </c>
      <c r="BT73" s="1145">
        <f t="shared" ref="BT73:BT98" si="314">$AV73*BF73/100</f>
        <v>0</v>
      </c>
      <c r="BU73" s="1145">
        <f t="shared" ref="BU73:BU98" si="315">$AV73*BG73/100</f>
        <v>0</v>
      </c>
      <c r="BV73" s="1145"/>
      <c r="BW73" s="114">
        <v>20</v>
      </c>
      <c r="BX73" s="1145">
        <f t="shared" si="273"/>
        <v>0</v>
      </c>
      <c r="BY73" s="1145">
        <f t="shared" ref="BY73:BY98" si="316">$T73*BM73</f>
        <v>0</v>
      </c>
      <c r="BZ73" s="1145">
        <f t="shared" ref="BZ73:BZ98" si="317">$T73*BN73</f>
        <v>79526635.342305943</v>
      </c>
      <c r="CA73" s="1145">
        <f t="shared" ref="CA73:CA98" si="318">$T73*BO73</f>
        <v>0</v>
      </c>
      <c r="CB73" s="1145">
        <f t="shared" ref="CB73:CB98" si="319">$T73*BP73</f>
        <v>0</v>
      </c>
      <c r="CC73" s="1145">
        <f t="shared" ref="CC73:CC98" si="320">$T73*BQ73</f>
        <v>0</v>
      </c>
      <c r="CD73" s="1145">
        <f t="shared" ref="CD73:CD98" si="321">$T73*BR73</f>
        <v>0</v>
      </c>
      <c r="CE73" s="1145">
        <f t="shared" ref="CE73:CE98" si="322">$T73*BS73</f>
        <v>0</v>
      </c>
      <c r="CF73" s="1145">
        <f t="shared" ref="CF73:CF98" si="323">$T73*BT73</f>
        <v>0</v>
      </c>
      <c r="CG73" s="1145">
        <f t="shared" ref="CG73:CG98" si="324">$T73*BU73</f>
        <v>0</v>
      </c>
      <c r="CH73" s="1303"/>
      <c r="CM73" s="638"/>
      <c r="CN73" s="638"/>
      <c r="CO73" s="1860">
        <v>18</v>
      </c>
      <c r="CP73" s="1860"/>
      <c r="CQ73" s="1861"/>
      <c r="CR73" s="1141">
        <v>0</v>
      </c>
      <c r="CS73" s="638">
        <v>18</v>
      </c>
      <c r="CT73" s="638">
        <v>100</v>
      </c>
      <c r="CU73" s="451"/>
      <c r="CV73" s="451"/>
      <c r="CW73" s="451"/>
      <c r="CX73" s="451"/>
      <c r="CY73" s="451"/>
      <c r="CZ73" s="451"/>
      <c r="DA73" s="451"/>
      <c r="DB73" s="451"/>
      <c r="DC73" s="451"/>
      <c r="DD73" s="451"/>
      <c r="DE73" s="451"/>
      <c r="DF73" s="681"/>
      <c r="DG73" s="679">
        <v>18</v>
      </c>
      <c r="DH73" s="1864" t="s">
        <v>18</v>
      </c>
      <c r="DI73" s="1864">
        <f t="shared" si="295"/>
        <v>0</v>
      </c>
      <c r="DJ73" s="1864">
        <f t="shared" si="296"/>
        <v>0</v>
      </c>
      <c r="DK73" s="1864">
        <f t="shared" si="297"/>
        <v>0</v>
      </c>
      <c r="DL73" s="1864">
        <f t="shared" si="298"/>
        <v>0</v>
      </c>
      <c r="DM73" s="1864">
        <f t="shared" si="299"/>
        <v>0</v>
      </c>
      <c r="DN73" s="1864">
        <f t="shared" si="300"/>
        <v>0</v>
      </c>
      <c r="DO73" s="1864">
        <f t="shared" si="301"/>
        <v>0</v>
      </c>
      <c r="DP73" s="1864">
        <f t="shared" si="302"/>
        <v>0</v>
      </c>
      <c r="DQ73" s="1864">
        <f t="shared" si="303"/>
        <v>0</v>
      </c>
      <c r="DR73" s="956">
        <v>0</v>
      </c>
      <c r="DS73" s="680">
        <f t="shared" si="305"/>
        <v>0</v>
      </c>
      <c r="DT73" s="192"/>
      <c r="DU73" s="192"/>
      <c r="DV73" s="192"/>
      <c r="DW73" s="192"/>
      <c r="DX73" s="192"/>
      <c r="DY73" s="192"/>
      <c r="DZ73" s="192"/>
      <c r="EA73" s="192"/>
      <c r="EB73" s="192"/>
      <c r="EC73" s="192"/>
      <c r="ED73" s="192"/>
      <c r="EE73" s="154"/>
      <c r="EF73" s="154"/>
    </row>
    <row r="74" spans="2:348" ht="14.4" thickTop="1" thickBot="1">
      <c r="B74" s="1147">
        <v>21</v>
      </c>
      <c r="C74" s="1147"/>
      <c r="D74" s="1154"/>
      <c r="E74" s="1865">
        <v>5207137.7225679448</v>
      </c>
      <c r="F74" s="1">
        <v>21</v>
      </c>
      <c r="G74" s="1">
        <v>0</v>
      </c>
      <c r="H74" s="2">
        <v>0</v>
      </c>
      <c r="I74" s="2">
        <v>100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/>
      <c r="R74" s="2"/>
      <c r="S74" s="2"/>
      <c r="T74" s="114">
        <v>21</v>
      </c>
      <c r="U74" s="1145">
        <f t="shared" si="283"/>
        <v>0</v>
      </c>
      <c r="V74" s="1145">
        <f t="shared" si="284"/>
        <v>0</v>
      </c>
      <c r="W74" s="1145">
        <f t="shared" si="285"/>
        <v>5207137.7225679448</v>
      </c>
      <c r="X74" s="1145">
        <f t="shared" si="286"/>
        <v>0</v>
      </c>
      <c r="Y74" s="1145">
        <f t="shared" si="287"/>
        <v>0</v>
      </c>
      <c r="Z74" s="1145">
        <f t="shared" si="288"/>
        <v>0</v>
      </c>
      <c r="AA74" s="1145">
        <f t="shared" si="289"/>
        <v>0</v>
      </c>
      <c r="AB74" s="1145">
        <f t="shared" si="290"/>
        <v>0</v>
      </c>
      <c r="AC74" s="1145">
        <f t="shared" si="291"/>
        <v>0</v>
      </c>
      <c r="AD74" s="1145">
        <f t="shared" si="292"/>
        <v>0</v>
      </c>
      <c r="AE74" s="1145"/>
      <c r="AF74" s="114">
        <v>21</v>
      </c>
      <c r="AG74" s="1145">
        <f t="shared" si="254"/>
        <v>0</v>
      </c>
      <c r="AH74" s="1145">
        <f t="shared" si="255"/>
        <v>0</v>
      </c>
      <c r="AI74" s="1145">
        <f t="shared" si="256"/>
        <v>109349892.17392685</v>
      </c>
      <c r="AJ74" s="1145">
        <f t="shared" si="257"/>
        <v>0</v>
      </c>
      <c r="AK74" s="1145">
        <f t="shared" si="258"/>
        <v>0</v>
      </c>
      <c r="AL74" s="1145">
        <f t="shared" si="259"/>
        <v>0</v>
      </c>
      <c r="AM74" s="1145">
        <f t="shared" si="260"/>
        <v>0</v>
      </c>
      <c r="AN74" s="1145">
        <f t="shared" si="261"/>
        <v>0</v>
      </c>
      <c r="AO74" s="1145">
        <f t="shared" si="262"/>
        <v>0</v>
      </c>
      <c r="AP74" s="1145">
        <f t="shared" si="263"/>
        <v>0</v>
      </c>
      <c r="AQ74" s="1303"/>
      <c r="AR74" s="1"/>
      <c r="AS74" s="1147">
        <v>21</v>
      </c>
      <c r="AT74" s="1147"/>
      <c r="AU74" s="1154"/>
      <c r="AV74" s="1865">
        <v>7310270.6613497995</v>
      </c>
      <c r="AW74" s="1">
        <v>21</v>
      </c>
      <c r="AX74" s="666"/>
      <c r="AY74" s="955"/>
      <c r="AZ74" s="1852">
        <v>100</v>
      </c>
      <c r="BA74" s="1852"/>
      <c r="BB74" s="1852"/>
      <c r="BC74" s="1852"/>
      <c r="BD74" s="1852"/>
      <c r="BE74" s="1852"/>
      <c r="BF74" s="1456"/>
      <c r="BG74" s="1456"/>
      <c r="BH74" s="2"/>
      <c r="BI74" s="2"/>
      <c r="BJ74" s="2"/>
      <c r="BK74" s="114">
        <v>21</v>
      </c>
      <c r="BL74" s="1145">
        <f t="shared" si="293"/>
        <v>0</v>
      </c>
      <c r="BM74" s="1145">
        <f t="shared" si="307"/>
        <v>0</v>
      </c>
      <c r="BN74" s="1145">
        <f t="shared" si="308"/>
        <v>7310270.6613497995</v>
      </c>
      <c r="BO74" s="1145">
        <f t="shared" si="309"/>
        <v>0</v>
      </c>
      <c r="BP74" s="1145">
        <f t="shared" si="310"/>
        <v>0</v>
      </c>
      <c r="BQ74" s="1145">
        <f t="shared" si="311"/>
        <v>0</v>
      </c>
      <c r="BR74" s="1145">
        <f t="shared" si="312"/>
        <v>0</v>
      </c>
      <c r="BS74" s="1145">
        <f t="shared" si="313"/>
        <v>0</v>
      </c>
      <c r="BT74" s="1145">
        <f t="shared" si="314"/>
        <v>0</v>
      </c>
      <c r="BU74" s="1145">
        <f t="shared" si="315"/>
        <v>0</v>
      </c>
      <c r="BV74" s="1145"/>
      <c r="BW74" s="114">
        <v>21</v>
      </c>
      <c r="BX74" s="1145">
        <f t="shared" si="273"/>
        <v>0</v>
      </c>
      <c r="BY74" s="1145">
        <f t="shared" si="316"/>
        <v>0</v>
      </c>
      <c r="BZ74" s="1145">
        <f t="shared" si="317"/>
        <v>153515683.88834578</v>
      </c>
      <c r="CA74" s="1145">
        <f t="shared" si="318"/>
        <v>0</v>
      </c>
      <c r="CB74" s="1145">
        <f t="shared" si="319"/>
        <v>0</v>
      </c>
      <c r="CC74" s="1145">
        <f t="shared" si="320"/>
        <v>0</v>
      </c>
      <c r="CD74" s="1145">
        <f t="shared" si="321"/>
        <v>0</v>
      </c>
      <c r="CE74" s="1145">
        <f t="shared" si="322"/>
        <v>0</v>
      </c>
      <c r="CF74" s="1145">
        <f t="shared" si="323"/>
        <v>0</v>
      </c>
      <c r="CG74" s="1145">
        <f t="shared" si="324"/>
        <v>0</v>
      </c>
      <c r="CH74" s="1303"/>
      <c r="CM74" s="638"/>
      <c r="CN74" s="638"/>
      <c r="CO74" s="1860">
        <v>19</v>
      </c>
      <c r="CP74" s="1860"/>
      <c r="CQ74" s="1861"/>
      <c r="CR74" s="1866">
        <v>0</v>
      </c>
      <c r="CS74" s="638">
        <v>19</v>
      </c>
      <c r="CT74" s="660">
        <v>100</v>
      </c>
      <c r="CU74" s="661">
        <v>0</v>
      </c>
      <c r="CV74" s="662">
        <v>0</v>
      </c>
      <c r="CW74" s="663">
        <v>0</v>
      </c>
      <c r="CX74" s="663">
        <v>0</v>
      </c>
      <c r="CY74" s="663">
        <v>0</v>
      </c>
      <c r="CZ74" s="663">
        <v>0</v>
      </c>
      <c r="DA74" s="663">
        <v>0</v>
      </c>
      <c r="DB74" s="663">
        <v>0</v>
      </c>
      <c r="DC74" s="663">
        <v>0</v>
      </c>
      <c r="DD74" s="451">
        <v>0</v>
      </c>
      <c r="DE74" s="451"/>
      <c r="DF74" s="681"/>
      <c r="DG74" s="679">
        <v>19</v>
      </c>
      <c r="DH74" s="1864">
        <f>$CR74*CT74/100</f>
        <v>0</v>
      </c>
      <c r="DI74" s="1864">
        <f t="shared" ref="DI74:DQ74" si="325">$CR74*CU74/100</f>
        <v>0</v>
      </c>
      <c r="DJ74" s="1864">
        <f t="shared" si="325"/>
        <v>0</v>
      </c>
      <c r="DK74" s="1864">
        <f t="shared" si="325"/>
        <v>0</v>
      </c>
      <c r="DL74" s="1864">
        <f t="shared" si="325"/>
        <v>0</v>
      </c>
      <c r="DM74" s="1864">
        <f t="shared" si="325"/>
        <v>0</v>
      </c>
      <c r="DN74" s="1864">
        <f t="shared" si="325"/>
        <v>0</v>
      </c>
      <c r="DO74" s="1864">
        <f t="shared" si="325"/>
        <v>0</v>
      </c>
      <c r="DP74" s="1864">
        <f t="shared" si="325"/>
        <v>0</v>
      </c>
      <c r="DQ74" s="1864">
        <f t="shared" si="325"/>
        <v>0</v>
      </c>
      <c r="DR74" s="956">
        <v>0</v>
      </c>
      <c r="DS74" s="680">
        <f t="shared" si="305"/>
        <v>0</v>
      </c>
      <c r="DT74" s="192"/>
      <c r="DU74" s="192"/>
      <c r="DV74" s="192"/>
      <c r="DW74" s="192"/>
      <c r="DX74" s="192"/>
      <c r="DY74" s="192"/>
      <c r="DZ74" s="192"/>
      <c r="EA74" s="192"/>
      <c r="EB74" s="192"/>
      <c r="EC74" s="192"/>
      <c r="ED74" s="192"/>
      <c r="EE74" s="154"/>
      <c r="EF74" s="154"/>
    </row>
    <row r="75" spans="2:348" ht="14.4" thickTop="1" thickBot="1">
      <c r="B75" s="1147">
        <v>22</v>
      </c>
      <c r="C75" s="1147"/>
      <c r="D75" s="1154"/>
      <c r="E75" s="1865">
        <v>30471148.40420831</v>
      </c>
      <c r="F75" s="1">
        <v>22</v>
      </c>
      <c r="G75" s="1">
        <v>0</v>
      </c>
      <c r="H75" s="2">
        <v>0</v>
      </c>
      <c r="I75" s="2">
        <v>75</v>
      </c>
      <c r="J75" s="2">
        <v>25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/>
      <c r="R75" s="2"/>
      <c r="S75" s="2"/>
      <c r="T75" s="114">
        <v>22</v>
      </c>
      <c r="U75" s="1145">
        <f t="shared" si="283"/>
        <v>0</v>
      </c>
      <c r="V75" s="1145">
        <f t="shared" si="284"/>
        <v>0</v>
      </c>
      <c r="W75" s="1145">
        <f t="shared" si="285"/>
        <v>22853361.303156234</v>
      </c>
      <c r="X75" s="1145">
        <f t="shared" si="286"/>
        <v>7617787.1010520784</v>
      </c>
      <c r="Y75" s="1145">
        <f t="shared" si="287"/>
        <v>0</v>
      </c>
      <c r="Z75" s="1145">
        <f t="shared" si="288"/>
        <v>0</v>
      </c>
      <c r="AA75" s="1145">
        <f t="shared" si="289"/>
        <v>0</v>
      </c>
      <c r="AB75" s="1145">
        <f t="shared" si="290"/>
        <v>0</v>
      </c>
      <c r="AC75" s="1145">
        <f t="shared" si="291"/>
        <v>0</v>
      </c>
      <c r="AD75" s="1145">
        <f t="shared" si="292"/>
        <v>0</v>
      </c>
      <c r="AE75" s="1145"/>
      <c r="AF75" s="114">
        <v>22</v>
      </c>
      <c r="AG75" s="1145">
        <f t="shared" si="254"/>
        <v>0</v>
      </c>
      <c r="AH75" s="1145">
        <f t="shared" si="255"/>
        <v>0</v>
      </c>
      <c r="AI75" s="1145">
        <f t="shared" si="256"/>
        <v>502773948.66943717</v>
      </c>
      <c r="AJ75" s="1145">
        <f t="shared" si="257"/>
        <v>167591316.22314572</v>
      </c>
      <c r="AK75" s="1145">
        <f t="shared" si="258"/>
        <v>0</v>
      </c>
      <c r="AL75" s="1145">
        <f t="shared" si="259"/>
        <v>0</v>
      </c>
      <c r="AM75" s="1145">
        <f t="shared" si="260"/>
        <v>0</v>
      </c>
      <c r="AN75" s="1145">
        <f t="shared" si="261"/>
        <v>0</v>
      </c>
      <c r="AO75" s="1145">
        <f t="shared" si="262"/>
        <v>0</v>
      </c>
      <c r="AP75" s="1145">
        <f t="shared" si="263"/>
        <v>0</v>
      </c>
      <c r="AQ75" s="1303"/>
      <c r="AR75" s="1"/>
      <c r="AS75" s="1147">
        <v>22</v>
      </c>
      <c r="AT75" s="1147"/>
      <c r="AU75" s="1154"/>
      <c r="AV75" s="1865">
        <v>21395173.986446019</v>
      </c>
      <c r="AW75" s="1">
        <v>22</v>
      </c>
      <c r="AX75" s="666"/>
      <c r="AY75" s="955"/>
      <c r="AZ75" s="1852">
        <v>88.888888888888886</v>
      </c>
      <c r="BA75" s="1852">
        <v>11.111111111111111</v>
      </c>
      <c r="BB75" s="1852"/>
      <c r="BC75" s="1852"/>
      <c r="BD75" s="1852"/>
      <c r="BE75" s="1852"/>
      <c r="BF75" s="1456"/>
      <c r="BG75" s="1456"/>
      <c r="BH75" s="2"/>
      <c r="BI75" s="2"/>
      <c r="BJ75" s="2"/>
      <c r="BK75" s="114">
        <v>22</v>
      </c>
      <c r="BL75" s="1145">
        <f t="shared" si="293"/>
        <v>0</v>
      </c>
      <c r="BM75" s="1145">
        <f t="shared" si="307"/>
        <v>0</v>
      </c>
      <c r="BN75" s="1145">
        <f t="shared" si="308"/>
        <v>19017932.43239646</v>
      </c>
      <c r="BO75" s="1145">
        <f t="shared" si="309"/>
        <v>2377241.5540495575</v>
      </c>
      <c r="BP75" s="1145">
        <f t="shared" si="310"/>
        <v>0</v>
      </c>
      <c r="BQ75" s="1145">
        <f t="shared" si="311"/>
        <v>0</v>
      </c>
      <c r="BR75" s="1145">
        <f t="shared" si="312"/>
        <v>0</v>
      </c>
      <c r="BS75" s="1145">
        <f t="shared" si="313"/>
        <v>0</v>
      </c>
      <c r="BT75" s="1145">
        <f t="shared" si="314"/>
        <v>0</v>
      </c>
      <c r="BU75" s="1145">
        <f t="shared" si="315"/>
        <v>0</v>
      </c>
      <c r="BV75" s="1145"/>
      <c r="BW75" s="114">
        <v>22</v>
      </c>
      <c r="BX75" s="1145">
        <f t="shared" si="273"/>
        <v>0</v>
      </c>
      <c r="BY75" s="1145">
        <f t="shared" si="316"/>
        <v>0</v>
      </c>
      <c r="BZ75" s="1145">
        <f t="shared" si="317"/>
        <v>418394513.51272213</v>
      </c>
      <c r="CA75" s="1145">
        <f t="shared" si="318"/>
        <v>52299314.189090267</v>
      </c>
      <c r="CB75" s="1145">
        <f t="shared" si="319"/>
        <v>0</v>
      </c>
      <c r="CC75" s="1145">
        <f t="shared" si="320"/>
        <v>0</v>
      </c>
      <c r="CD75" s="1145">
        <f t="shared" si="321"/>
        <v>0</v>
      </c>
      <c r="CE75" s="1145">
        <f t="shared" si="322"/>
        <v>0</v>
      </c>
      <c r="CF75" s="1145">
        <f t="shared" si="323"/>
        <v>0</v>
      </c>
      <c r="CG75" s="1145">
        <f t="shared" si="324"/>
        <v>0</v>
      </c>
      <c r="CH75" s="1303"/>
      <c r="CM75" s="638"/>
      <c r="CN75" s="638"/>
      <c r="CO75" s="1860">
        <v>20</v>
      </c>
      <c r="CP75" s="1860"/>
      <c r="CQ75" s="1861"/>
      <c r="CR75" s="1867">
        <v>57394.390457300411</v>
      </c>
      <c r="CS75" s="638">
        <v>20</v>
      </c>
      <c r="CT75" s="668"/>
      <c r="CU75" s="957">
        <v>40</v>
      </c>
      <c r="CV75" s="957">
        <v>60</v>
      </c>
      <c r="CW75" s="957"/>
      <c r="CX75" s="957"/>
      <c r="CY75" s="957"/>
      <c r="CZ75" s="957"/>
      <c r="DA75" s="957"/>
      <c r="DB75" s="957"/>
      <c r="DC75" s="957"/>
      <c r="DD75" s="957"/>
      <c r="DE75" s="451"/>
      <c r="DF75" s="681"/>
      <c r="DG75" s="679">
        <v>20</v>
      </c>
      <c r="DH75" s="1864">
        <f t="shared" ref="DH75:DH80" si="326">$CR75*CT75/100</f>
        <v>0</v>
      </c>
      <c r="DI75" s="1864">
        <f t="shared" ref="DI75:DI80" si="327">$CR75*CU75/100</f>
        <v>22957.756182920166</v>
      </c>
      <c r="DJ75" s="1864">
        <f t="shared" ref="DJ75:DJ80" si="328">$CR75*CV75/100</f>
        <v>34436.634274380245</v>
      </c>
      <c r="DK75" s="1864">
        <f t="shared" ref="DK75:DK80" si="329">$CR75*CW75/100</f>
        <v>0</v>
      </c>
      <c r="DL75" s="1864">
        <f t="shared" ref="DL75:DL80" si="330">$CR75*CX75/100</f>
        <v>0</v>
      </c>
      <c r="DM75" s="1864">
        <f t="shared" ref="DM75:DM80" si="331">$CR75*CY75/100</f>
        <v>0</v>
      </c>
      <c r="DN75" s="1864">
        <f t="shared" ref="DN75:DN80" si="332">$CR75*CZ75/100</f>
        <v>0</v>
      </c>
      <c r="DO75" s="1864">
        <f t="shared" ref="DO75:DO80" si="333">$CR75*DA75/100</f>
        <v>0</v>
      </c>
      <c r="DP75" s="1864">
        <f t="shared" ref="DP75:DP80" si="334">$CR75*DB75/100</f>
        <v>0</v>
      </c>
      <c r="DQ75" s="1864">
        <f t="shared" ref="DQ75:DQ80" si="335">$CR75*DC75/100</f>
        <v>0</v>
      </c>
      <c r="DR75" s="956">
        <v>0</v>
      </c>
      <c r="DS75" s="680">
        <f t="shared" si="305"/>
        <v>57394.390457300411</v>
      </c>
      <c r="DT75" s="192"/>
      <c r="DU75" s="192"/>
      <c r="DV75" s="192"/>
      <c r="DW75" s="192"/>
      <c r="DX75" s="192"/>
      <c r="DY75" s="192"/>
      <c r="DZ75" s="192"/>
      <c r="EA75" s="192"/>
      <c r="EB75" s="192"/>
      <c r="EC75" s="192"/>
      <c r="ED75" s="192"/>
      <c r="EE75" s="154"/>
      <c r="EF75" s="154"/>
    </row>
    <row r="76" spans="2:348" ht="14.4" thickTop="1" thickBot="1">
      <c r="B76" s="1147">
        <v>23</v>
      </c>
      <c r="C76" s="1147"/>
      <c r="D76" s="1154"/>
      <c r="E76" s="1865">
        <v>48444957.669361874</v>
      </c>
      <c r="F76" s="1">
        <v>23</v>
      </c>
      <c r="G76" s="1">
        <v>0</v>
      </c>
      <c r="H76" s="2">
        <v>0</v>
      </c>
      <c r="I76" s="2">
        <v>11.138809274090596</v>
      </c>
      <c r="J76" s="2">
        <v>88.861190725909395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/>
      <c r="R76" s="2"/>
      <c r="S76" s="2"/>
      <c r="T76" s="114">
        <v>23</v>
      </c>
      <c r="U76" s="1145">
        <f t="shared" si="283"/>
        <v>0</v>
      </c>
      <c r="V76" s="1145">
        <f t="shared" si="284"/>
        <v>0</v>
      </c>
      <c r="W76" s="1145">
        <f t="shared" si="285"/>
        <v>5396191.4377041431</v>
      </c>
      <c r="X76" s="1145">
        <f t="shared" si="286"/>
        <v>43048766.231657721</v>
      </c>
      <c r="Y76" s="1145">
        <f t="shared" si="287"/>
        <v>0</v>
      </c>
      <c r="Z76" s="1145">
        <f t="shared" si="288"/>
        <v>0</v>
      </c>
      <c r="AA76" s="1145">
        <f t="shared" si="289"/>
        <v>0</v>
      </c>
      <c r="AB76" s="1145">
        <f t="shared" si="290"/>
        <v>0</v>
      </c>
      <c r="AC76" s="1145">
        <f t="shared" si="291"/>
        <v>0</v>
      </c>
      <c r="AD76" s="1145">
        <f t="shared" si="292"/>
        <v>0</v>
      </c>
      <c r="AE76" s="1145"/>
      <c r="AF76" s="114">
        <v>23</v>
      </c>
      <c r="AG76" s="1145">
        <f t="shared" si="254"/>
        <v>0</v>
      </c>
      <c r="AH76" s="1145">
        <f t="shared" si="255"/>
        <v>0</v>
      </c>
      <c r="AI76" s="1145">
        <f t="shared" si="256"/>
        <v>124112403.0671953</v>
      </c>
      <c r="AJ76" s="1145">
        <f t="shared" si="257"/>
        <v>990121623.32812762</v>
      </c>
      <c r="AK76" s="1145">
        <f t="shared" si="258"/>
        <v>0</v>
      </c>
      <c r="AL76" s="1145">
        <f t="shared" si="259"/>
        <v>0</v>
      </c>
      <c r="AM76" s="1145">
        <f t="shared" si="260"/>
        <v>0</v>
      </c>
      <c r="AN76" s="1145">
        <f t="shared" si="261"/>
        <v>0</v>
      </c>
      <c r="AO76" s="1145">
        <f t="shared" si="262"/>
        <v>0</v>
      </c>
      <c r="AP76" s="1145">
        <f t="shared" si="263"/>
        <v>0</v>
      </c>
      <c r="AQ76" s="1303"/>
      <c r="AR76" s="1"/>
      <c r="AS76" s="1147">
        <v>23</v>
      </c>
      <c r="AT76" s="1147"/>
      <c r="AU76" s="1154"/>
      <c r="AV76" s="1865">
        <v>38549089.238390319</v>
      </c>
      <c r="AW76" s="1">
        <v>23</v>
      </c>
      <c r="AX76" s="557"/>
      <c r="AY76" s="558"/>
      <c r="AZ76" s="559">
        <v>60</v>
      </c>
      <c r="BA76" s="559">
        <v>40</v>
      </c>
      <c r="BB76" s="559"/>
      <c r="BC76" s="559"/>
      <c r="BD76" s="559"/>
      <c r="BE76" s="559"/>
      <c r="BF76" s="560"/>
      <c r="BG76" s="560"/>
      <c r="BH76" s="2"/>
      <c r="BI76" s="2"/>
      <c r="BJ76" s="2"/>
      <c r="BK76" s="114">
        <v>23</v>
      </c>
      <c r="BL76" s="1145">
        <f t="shared" si="293"/>
        <v>0</v>
      </c>
      <c r="BM76" s="1145">
        <f t="shared" si="307"/>
        <v>0</v>
      </c>
      <c r="BN76" s="1145">
        <f t="shared" si="308"/>
        <v>23129453.543034192</v>
      </c>
      <c r="BO76" s="1145">
        <f t="shared" si="309"/>
        <v>15419635.695356129</v>
      </c>
      <c r="BP76" s="1145">
        <f t="shared" si="310"/>
        <v>0</v>
      </c>
      <c r="BQ76" s="1145">
        <f t="shared" si="311"/>
        <v>0</v>
      </c>
      <c r="BR76" s="1145">
        <f t="shared" si="312"/>
        <v>0</v>
      </c>
      <c r="BS76" s="1145">
        <f t="shared" si="313"/>
        <v>0</v>
      </c>
      <c r="BT76" s="1145">
        <f t="shared" si="314"/>
        <v>0</v>
      </c>
      <c r="BU76" s="1145">
        <f t="shared" si="315"/>
        <v>0</v>
      </c>
      <c r="BV76" s="1145"/>
      <c r="BW76" s="114">
        <v>23</v>
      </c>
      <c r="BX76" s="1145">
        <f t="shared" si="273"/>
        <v>0</v>
      </c>
      <c r="BY76" s="1145">
        <f t="shared" si="316"/>
        <v>0</v>
      </c>
      <c r="BZ76" s="1145">
        <f t="shared" si="317"/>
        <v>531977431.48978645</v>
      </c>
      <c r="CA76" s="1145">
        <f t="shared" si="318"/>
        <v>354651620.99319094</v>
      </c>
      <c r="CB76" s="1145">
        <f t="shared" si="319"/>
        <v>0</v>
      </c>
      <c r="CC76" s="1145">
        <f t="shared" si="320"/>
        <v>0</v>
      </c>
      <c r="CD76" s="1145">
        <f t="shared" si="321"/>
        <v>0</v>
      </c>
      <c r="CE76" s="1145">
        <f t="shared" si="322"/>
        <v>0</v>
      </c>
      <c r="CF76" s="1145">
        <f t="shared" si="323"/>
        <v>0</v>
      </c>
      <c r="CG76" s="1145">
        <f t="shared" si="324"/>
        <v>0</v>
      </c>
      <c r="CH76" s="1303"/>
      <c r="CM76" s="638"/>
      <c r="CN76" s="638"/>
      <c r="CO76" s="1860">
        <v>21</v>
      </c>
      <c r="CP76" s="1860"/>
      <c r="CQ76" s="1861"/>
      <c r="CR76" s="1867">
        <v>1353769.5326984837</v>
      </c>
      <c r="CS76" s="638">
        <v>21</v>
      </c>
      <c r="CT76" s="669"/>
      <c r="CU76" s="670">
        <v>10</v>
      </c>
      <c r="CV76" s="670">
        <v>90</v>
      </c>
      <c r="CW76" s="670"/>
      <c r="CX76" s="670"/>
      <c r="CY76" s="670"/>
      <c r="CZ76" s="670"/>
      <c r="DA76" s="670"/>
      <c r="DB76" s="670"/>
      <c r="DC76" s="670"/>
      <c r="DD76" s="670"/>
      <c r="DE76" s="451"/>
      <c r="DF76" s="681"/>
      <c r="DG76" s="679">
        <v>21</v>
      </c>
      <c r="DH76" s="1864">
        <f t="shared" si="326"/>
        <v>0</v>
      </c>
      <c r="DI76" s="1864">
        <f t="shared" si="327"/>
        <v>135376.95326984837</v>
      </c>
      <c r="DJ76" s="1864">
        <f t="shared" si="328"/>
        <v>1218392.5794286353</v>
      </c>
      <c r="DK76" s="1864">
        <f t="shared" si="329"/>
        <v>0</v>
      </c>
      <c r="DL76" s="1864">
        <f t="shared" si="330"/>
        <v>0</v>
      </c>
      <c r="DM76" s="1864">
        <f t="shared" si="331"/>
        <v>0</v>
      </c>
      <c r="DN76" s="1864">
        <f t="shared" si="332"/>
        <v>0</v>
      </c>
      <c r="DO76" s="1864">
        <f t="shared" si="333"/>
        <v>0</v>
      </c>
      <c r="DP76" s="1864">
        <f t="shared" si="334"/>
        <v>0</v>
      </c>
      <c r="DQ76" s="1864">
        <f t="shared" si="335"/>
        <v>0</v>
      </c>
      <c r="DR76" s="956">
        <v>0</v>
      </c>
      <c r="DS76" s="680">
        <f t="shared" si="305"/>
        <v>1353769.5326984837</v>
      </c>
      <c r="DT76" s="192"/>
      <c r="DU76" s="192"/>
      <c r="DV76" s="192"/>
      <c r="DW76" s="192"/>
      <c r="DX76" s="192"/>
      <c r="DY76" s="192"/>
      <c r="DZ76" s="192"/>
      <c r="EA76" s="192"/>
      <c r="EB76" s="192"/>
      <c r="EC76" s="192"/>
      <c r="ED76" s="192"/>
      <c r="EE76" s="154"/>
      <c r="EF76" s="154"/>
    </row>
    <row r="77" spans="2:348" ht="14.4" thickTop="1" thickBot="1">
      <c r="B77" s="1147">
        <v>24</v>
      </c>
      <c r="C77" s="1147"/>
      <c r="D77" s="1821"/>
      <c r="E77" s="1865">
        <v>35264270.355415374</v>
      </c>
      <c r="F77" s="1">
        <v>24</v>
      </c>
      <c r="G77" s="1">
        <v>0</v>
      </c>
      <c r="H77" s="2">
        <v>0</v>
      </c>
      <c r="I77" s="2">
        <v>0</v>
      </c>
      <c r="J77" s="2">
        <v>88.621634678831512</v>
      </c>
      <c r="K77" s="2">
        <v>11.378365321168483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/>
      <c r="R77" s="2"/>
      <c r="S77" s="2"/>
      <c r="T77" s="114">
        <v>24</v>
      </c>
      <c r="U77" s="1145">
        <f t="shared" si="283"/>
        <v>0</v>
      </c>
      <c r="V77" s="1145">
        <f t="shared" si="284"/>
        <v>0</v>
      </c>
      <c r="W77" s="1145">
        <f t="shared" si="285"/>
        <v>0</v>
      </c>
      <c r="X77" s="1145">
        <f t="shared" si="286"/>
        <v>31251772.846531693</v>
      </c>
      <c r="Y77" s="1145">
        <f t="shared" si="287"/>
        <v>4012497.5088836807</v>
      </c>
      <c r="Z77" s="1145">
        <f t="shared" si="288"/>
        <v>0</v>
      </c>
      <c r="AA77" s="1145">
        <f t="shared" si="289"/>
        <v>0</v>
      </c>
      <c r="AB77" s="1145">
        <f t="shared" si="290"/>
        <v>0</v>
      </c>
      <c r="AC77" s="1145">
        <f t="shared" si="291"/>
        <v>0</v>
      </c>
      <c r="AD77" s="1145">
        <f t="shared" si="292"/>
        <v>0</v>
      </c>
      <c r="AE77" s="1145"/>
      <c r="AF77" s="114">
        <v>24</v>
      </c>
      <c r="AG77" s="1145">
        <f t="shared" si="254"/>
        <v>0</v>
      </c>
      <c r="AH77" s="1145">
        <f t="shared" si="255"/>
        <v>0</v>
      </c>
      <c r="AI77" s="1145">
        <f t="shared" si="256"/>
        <v>0</v>
      </c>
      <c r="AJ77" s="1145">
        <f t="shared" si="257"/>
        <v>750042548.31676066</v>
      </c>
      <c r="AK77" s="1145">
        <f t="shared" si="258"/>
        <v>96299940.213208333</v>
      </c>
      <c r="AL77" s="1145">
        <f t="shared" si="259"/>
        <v>0</v>
      </c>
      <c r="AM77" s="1145">
        <f t="shared" si="260"/>
        <v>0</v>
      </c>
      <c r="AN77" s="1145">
        <f t="shared" si="261"/>
        <v>0</v>
      </c>
      <c r="AO77" s="1145">
        <f t="shared" si="262"/>
        <v>0</v>
      </c>
      <c r="AP77" s="1145">
        <f t="shared" si="263"/>
        <v>0</v>
      </c>
      <c r="AQ77" s="1303"/>
      <c r="AR77" s="1"/>
      <c r="AS77" s="1147">
        <v>24</v>
      </c>
      <c r="AT77" s="1147"/>
      <c r="AU77" s="1821"/>
      <c r="AV77" s="1865">
        <v>33715608.410701014</v>
      </c>
      <c r="AW77" s="1">
        <v>24</v>
      </c>
      <c r="AX77" s="553"/>
      <c r="AY77" s="554"/>
      <c r="AZ77" s="555">
        <v>8.3333333333333339</v>
      </c>
      <c r="BA77" s="555">
        <v>91.666666666666671</v>
      </c>
      <c r="BB77" s="555"/>
      <c r="BC77" s="555"/>
      <c r="BD77" s="555"/>
      <c r="BE77" s="555"/>
      <c r="BF77" s="556"/>
      <c r="BG77" s="556"/>
      <c r="BH77" s="2"/>
      <c r="BI77" s="2"/>
      <c r="BJ77" s="2"/>
      <c r="BK77" s="114">
        <v>24</v>
      </c>
      <c r="BL77" s="1145">
        <f t="shared" si="293"/>
        <v>0</v>
      </c>
      <c r="BM77" s="1145">
        <f t="shared" si="307"/>
        <v>0</v>
      </c>
      <c r="BN77" s="1145">
        <f t="shared" si="308"/>
        <v>2809634.0342250848</v>
      </c>
      <c r="BO77" s="1145">
        <f t="shared" si="309"/>
        <v>30905974.37647593</v>
      </c>
      <c r="BP77" s="1145">
        <f t="shared" si="310"/>
        <v>0</v>
      </c>
      <c r="BQ77" s="1145">
        <f t="shared" si="311"/>
        <v>0</v>
      </c>
      <c r="BR77" s="1145">
        <f t="shared" si="312"/>
        <v>0</v>
      </c>
      <c r="BS77" s="1145">
        <f t="shared" si="313"/>
        <v>0</v>
      </c>
      <c r="BT77" s="1145">
        <f t="shared" si="314"/>
        <v>0</v>
      </c>
      <c r="BU77" s="1145">
        <f t="shared" si="315"/>
        <v>0</v>
      </c>
      <c r="BV77" s="1145"/>
      <c r="BW77" s="114">
        <v>24</v>
      </c>
      <c r="BX77" s="1145">
        <f t="shared" si="273"/>
        <v>0</v>
      </c>
      <c r="BY77" s="1145">
        <f t="shared" si="316"/>
        <v>0</v>
      </c>
      <c r="BZ77" s="1145">
        <f t="shared" si="317"/>
        <v>67431216.821402043</v>
      </c>
      <c r="CA77" s="1145">
        <f t="shared" si="318"/>
        <v>741743385.03542233</v>
      </c>
      <c r="CB77" s="1145">
        <f t="shared" si="319"/>
        <v>0</v>
      </c>
      <c r="CC77" s="1145">
        <f t="shared" si="320"/>
        <v>0</v>
      </c>
      <c r="CD77" s="1145">
        <f t="shared" si="321"/>
        <v>0</v>
      </c>
      <c r="CE77" s="1145">
        <f t="shared" si="322"/>
        <v>0</v>
      </c>
      <c r="CF77" s="1145">
        <f t="shared" si="323"/>
        <v>0</v>
      </c>
      <c r="CG77" s="1145">
        <f t="shared" si="324"/>
        <v>0</v>
      </c>
      <c r="CH77" s="1303"/>
      <c r="CM77" s="638"/>
      <c r="CN77" s="638"/>
      <c r="CO77" s="1860">
        <v>22</v>
      </c>
      <c r="CP77" s="1860"/>
      <c r="CQ77" s="1861"/>
      <c r="CR77" s="1867">
        <v>4264990.8471096708</v>
      </c>
      <c r="CS77" s="638">
        <v>22</v>
      </c>
      <c r="CT77" s="668"/>
      <c r="CU77" s="957"/>
      <c r="CV77" s="957">
        <v>83.333333333333329</v>
      </c>
      <c r="CW77" s="957">
        <v>16.666666666666668</v>
      </c>
      <c r="CX77" s="957"/>
      <c r="CY77" s="957"/>
      <c r="CZ77" s="957"/>
      <c r="DA77" s="957"/>
      <c r="DB77" s="957"/>
      <c r="DC77" s="957"/>
      <c r="DD77" s="957"/>
      <c r="DE77" s="451"/>
      <c r="DF77" s="681"/>
      <c r="DG77" s="679">
        <v>22</v>
      </c>
      <c r="DH77" s="1864">
        <f t="shared" si="326"/>
        <v>0</v>
      </c>
      <c r="DI77" s="1864">
        <f t="shared" si="327"/>
        <v>0</v>
      </c>
      <c r="DJ77" s="1864">
        <f t="shared" si="328"/>
        <v>3554159.0392580586</v>
      </c>
      <c r="DK77" s="1864">
        <f t="shared" si="329"/>
        <v>710831.80785161187</v>
      </c>
      <c r="DL77" s="1864">
        <f t="shared" si="330"/>
        <v>0</v>
      </c>
      <c r="DM77" s="1864">
        <f t="shared" si="331"/>
        <v>0</v>
      </c>
      <c r="DN77" s="1864">
        <f t="shared" si="332"/>
        <v>0</v>
      </c>
      <c r="DO77" s="1864">
        <f t="shared" si="333"/>
        <v>0</v>
      </c>
      <c r="DP77" s="1864">
        <f t="shared" si="334"/>
        <v>0</v>
      </c>
      <c r="DQ77" s="1864">
        <f t="shared" si="335"/>
        <v>0</v>
      </c>
      <c r="DR77" s="956">
        <v>0</v>
      </c>
      <c r="DS77" s="680">
        <f t="shared" si="305"/>
        <v>4264990.8471096708</v>
      </c>
      <c r="DT77" s="192"/>
      <c r="DU77" s="192"/>
      <c r="DV77" s="192"/>
      <c r="DW77" s="192"/>
      <c r="DX77" s="192"/>
      <c r="DY77" s="192"/>
      <c r="DZ77" s="192"/>
      <c r="EA77" s="192"/>
      <c r="EB77" s="192"/>
      <c r="EC77" s="192"/>
      <c r="ED77" s="192"/>
      <c r="EE77" s="154"/>
      <c r="EF77" s="154"/>
    </row>
    <row r="78" spans="2:348" ht="14.4" thickTop="1" thickBot="1">
      <c r="B78" s="1147">
        <v>25</v>
      </c>
      <c r="C78" s="1147"/>
      <c r="D78" s="1821"/>
      <c r="E78" s="1865">
        <v>30754432.615471974</v>
      </c>
      <c r="F78" s="1">
        <v>25</v>
      </c>
      <c r="G78" s="1">
        <v>0</v>
      </c>
      <c r="H78" s="2">
        <v>0</v>
      </c>
      <c r="I78" s="2">
        <v>0</v>
      </c>
      <c r="J78" s="2">
        <v>50.474919506951665</v>
      </c>
      <c r="K78" s="2">
        <v>49.525080493048328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/>
      <c r="R78" s="2"/>
      <c r="S78" s="2"/>
      <c r="T78" s="114">
        <v>25</v>
      </c>
      <c r="U78" s="1145">
        <f t="shared" si="283"/>
        <v>0</v>
      </c>
      <c r="V78" s="1145">
        <f t="shared" si="284"/>
        <v>0</v>
      </c>
      <c r="W78" s="1145">
        <f t="shared" si="285"/>
        <v>0</v>
      </c>
      <c r="X78" s="1145">
        <f t="shared" si="286"/>
        <v>15523275.10747917</v>
      </c>
      <c r="Y78" s="1145">
        <f t="shared" si="287"/>
        <v>15231157.507992804</v>
      </c>
      <c r="Z78" s="1145">
        <f t="shared" si="288"/>
        <v>0</v>
      </c>
      <c r="AA78" s="1145">
        <f t="shared" si="289"/>
        <v>0</v>
      </c>
      <c r="AB78" s="1145">
        <f t="shared" si="290"/>
        <v>0</v>
      </c>
      <c r="AC78" s="1145">
        <f t="shared" si="291"/>
        <v>0</v>
      </c>
      <c r="AD78" s="1145">
        <f t="shared" si="292"/>
        <v>0</v>
      </c>
      <c r="AE78" s="1145"/>
      <c r="AF78" s="114">
        <v>25</v>
      </c>
      <c r="AG78" s="1145">
        <f t="shared" si="254"/>
        <v>0</v>
      </c>
      <c r="AH78" s="1145">
        <f t="shared" si="255"/>
        <v>0</v>
      </c>
      <c r="AI78" s="1145">
        <f t="shared" si="256"/>
        <v>0</v>
      </c>
      <c r="AJ78" s="1145">
        <f t="shared" si="257"/>
        <v>388081877.68697923</v>
      </c>
      <c r="AK78" s="1145">
        <f t="shared" si="258"/>
        <v>380778937.6998201</v>
      </c>
      <c r="AL78" s="1145">
        <f t="shared" si="259"/>
        <v>0</v>
      </c>
      <c r="AM78" s="1145">
        <f t="shared" si="260"/>
        <v>0</v>
      </c>
      <c r="AN78" s="1145">
        <f t="shared" si="261"/>
        <v>0</v>
      </c>
      <c r="AO78" s="1145">
        <f t="shared" si="262"/>
        <v>0</v>
      </c>
      <c r="AP78" s="1145">
        <f t="shared" si="263"/>
        <v>0</v>
      </c>
      <c r="AQ78" s="1303"/>
      <c r="AR78" s="1"/>
      <c r="AS78" s="1147">
        <v>25</v>
      </c>
      <c r="AT78" s="1147"/>
      <c r="AU78" s="1821"/>
      <c r="AV78" s="1865">
        <v>26595199.085405573</v>
      </c>
      <c r="AW78" s="1">
        <v>25</v>
      </c>
      <c r="AX78" s="666"/>
      <c r="AY78" s="955"/>
      <c r="AZ78" s="1852"/>
      <c r="BA78" s="1852">
        <v>80</v>
      </c>
      <c r="BB78" s="1852">
        <v>20</v>
      </c>
      <c r="BC78" s="1852"/>
      <c r="BD78" s="1852"/>
      <c r="BE78" s="1852"/>
      <c r="BF78" s="1456"/>
      <c r="BG78" s="1456"/>
      <c r="BH78" s="2"/>
      <c r="BI78" s="2"/>
      <c r="BJ78" s="2"/>
      <c r="BK78" s="114">
        <v>25</v>
      </c>
      <c r="BL78" s="1145">
        <f t="shared" si="293"/>
        <v>0</v>
      </c>
      <c r="BM78" s="1145">
        <f t="shared" si="307"/>
        <v>0</v>
      </c>
      <c r="BN78" s="1145">
        <f t="shared" si="308"/>
        <v>0</v>
      </c>
      <c r="BO78" s="1145">
        <f t="shared" si="309"/>
        <v>21276159.268324457</v>
      </c>
      <c r="BP78" s="1145">
        <f t="shared" si="310"/>
        <v>5319039.8170811143</v>
      </c>
      <c r="BQ78" s="1145">
        <f t="shared" si="311"/>
        <v>0</v>
      </c>
      <c r="BR78" s="1145">
        <f t="shared" si="312"/>
        <v>0</v>
      </c>
      <c r="BS78" s="1145">
        <f t="shared" si="313"/>
        <v>0</v>
      </c>
      <c r="BT78" s="1145">
        <f t="shared" si="314"/>
        <v>0</v>
      </c>
      <c r="BU78" s="1145">
        <f t="shared" si="315"/>
        <v>0</v>
      </c>
      <c r="BV78" s="1145"/>
      <c r="BW78" s="114">
        <v>25</v>
      </c>
      <c r="BX78" s="1145">
        <f t="shared" si="273"/>
        <v>0</v>
      </c>
      <c r="BY78" s="1145">
        <f t="shared" si="316"/>
        <v>0</v>
      </c>
      <c r="BZ78" s="1145">
        <f t="shared" si="317"/>
        <v>0</v>
      </c>
      <c r="CA78" s="1145">
        <f t="shared" si="318"/>
        <v>531903981.70811141</v>
      </c>
      <c r="CB78" s="1145">
        <f t="shared" si="319"/>
        <v>132975995.42702785</v>
      </c>
      <c r="CC78" s="1145">
        <f t="shared" si="320"/>
        <v>0</v>
      </c>
      <c r="CD78" s="1145">
        <f t="shared" si="321"/>
        <v>0</v>
      </c>
      <c r="CE78" s="1145">
        <f t="shared" si="322"/>
        <v>0</v>
      </c>
      <c r="CF78" s="1145">
        <f t="shared" si="323"/>
        <v>0</v>
      </c>
      <c r="CG78" s="1145">
        <f t="shared" si="324"/>
        <v>0</v>
      </c>
      <c r="CH78" s="1303"/>
      <c r="CM78" s="638"/>
      <c r="CN78" s="638"/>
      <c r="CO78" s="1860">
        <v>23</v>
      </c>
      <c r="CP78" s="1860"/>
      <c r="CQ78" s="1861"/>
      <c r="CR78" s="1867">
        <v>4284045.1582458094</v>
      </c>
      <c r="CS78" s="638">
        <v>23</v>
      </c>
      <c r="CT78" s="668"/>
      <c r="CU78" s="957"/>
      <c r="CV78" s="957">
        <v>50</v>
      </c>
      <c r="CW78" s="957">
        <v>50</v>
      </c>
      <c r="CX78" s="957"/>
      <c r="CY78" s="957"/>
      <c r="CZ78" s="957"/>
      <c r="DA78" s="957"/>
      <c r="DB78" s="957"/>
      <c r="DC78" s="957"/>
      <c r="DD78" s="671"/>
      <c r="DE78" s="451"/>
      <c r="DF78" s="681"/>
      <c r="DG78" s="679">
        <v>23</v>
      </c>
      <c r="DH78" s="1864">
        <f t="shared" si="326"/>
        <v>0</v>
      </c>
      <c r="DI78" s="1864">
        <f t="shared" si="327"/>
        <v>0</v>
      </c>
      <c r="DJ78" s="1864">
        <f t="shared" si="328"/>
        <v>2142022.5791229047</v>
      </c>
      <c r="DK78" s="1864">
        <f t="shared" si="329"/>
        <v>2142022.5791229047</v>
      </c>
      <c r="DL78" s="1864">
        <f t="shared" si="330"/>
        <v>0</v>
      </c>
      <c r="DM78" s="1864">
        <f t="shared" si="331"/>
        <v>0</v>
      </c>
      <c r="DN78" s="1864">
        <f t="shared" si="332"/>
        <v>0</v>
      </c>
      <c r="DO78" s="1864">
        <f t="shared" si="333"/>
        <v>0</v>
      </c>
      <c r="DP78" s="1864">
        <f t="shared" si="334"/>
        <v>0</v>
      </c>
      <c r="DQ78" s="1864">
        <f t="shared" si="335"/>
        <v>0</v>
      </c>
      <c r="DR78" s="956">
        <v>0</v>
      </c>
      <c r="DS78" s="680">
        <f t="shared" si="305"/>
        <v>4284045.1582458094</v>
      </c>
      <c r="DT78" s="192"/>
      <c r="DU78" s="192"/>
      <c r="DV78" s="192"/>
      <c r="DW78" s="192"/>
      <c r="DX78" s="192"/>
      <c r="DY78" s="192"/>
      <c r="DZ78" s="192"/>
      <c r="EA78" s="192"/>
      <c r="EB78" s="192"/>
      <c r="EC78" s="192"/>
      <c r="ED78" s="192"/>
      <c r="EE78" s="154"/>
      <c r="EF78" s="154"/>
    </row>
    <row r="79" spans="2:348" ht="14.4" thickTop="1" thickBot="1">
      <c r="B79" s="1147">
        <v>26</v>
      </c>
      <c r="C79" s="1147"/>
      <c r="D79" s="1821"/>
      <c r="E79" s="1865">
        <v>29570261.071666982</v>
      </c>
      <c r="F79" s="1">
        <v>26</v>
      </c>
      <c r="G79" s="1">
        <v>0</v>
      </c>
      <c r="H79" s="2">
        <v>0</v>
      </c>
      <c r="I79" s="2">
        <v>0</v>
      </c>
      <c r="J79" s="2">
        <v>31.307109625934299</v>
      </c>
      <c r="K79" s="2">
        <v>63.03933556109854</v>
      </c>
      <c r="L79" s="2">
        <v>5.6535548129671511</v>
      </c>
      <c r="M79" s="2">
        <v>0</v>
      </c>
      <c r="N79" s="2">
        <v>0</v>
      </c>
      <c r="O79" s="2">
        <v>0</v>
      </c>
      <c r="P79" s="2">
        <v>0</v>
      </c>
      <c r="Q79" s="2"/>
      <c r="R79" s="2"/>
      <c r="S79" s="2"/>
      <c r="T79" s="114">
        <v>26</v>
      </c>
      <c r="U79" s="1145">
        <f t="shared" si="283"/>
        <v>0</v>
      </c>
      <c r="V79" s="1145">
        <f t="shared" si="284"/>
        <v>0</v>
      </c>
      <c r="W79" s="1145">
        <f t="shared" si="285"/>
        <v>0</v>
      </c>
      <c r="X79" s="1145">
        <f t="shared" si="286"/>
        <v>9257594.0503817573</v>
      </c>
      <c r="Y79" s="1145">
        <f t="shared" si="287"/>
        <v>18640896.103261042</v>
      </c>
      <c r="Z79" s="1145">
        <f t="shared" si="288"/>
        <v>1671770.9180241805</v>
      </c>
      <c r="AA79" s="1145">
        <f t="shared" si="289"/>
        <v>0</v>
      </c>
      <c r="AB79" s="1145">
        <f t="shared" si="290"/>
        <v>0</v>
      </c>
      <c r="AC79" s="1145">
        <f t="shared" si="291"/>
        <v>0</v>
      </c>
      <c r="AD79" s="1145">
        <f t="shared" si="292"/>
        <v>0</v>
      </c>
      <c r="AE79" s="1145"/>
      <c r="AF79" s="114">
        <v>26</v>
      </c>
      <c r="AG79" s="1145">
        <f t="shared" si="254"/>
        <v>0</v>
      </c>
      <c r="AH79" s="1145">
        <f t="shared" si="255"/>
        <v>0</v>
      </c>
      <c r="AI79" s="1145">
        <f t="shared" si="256"/>
        <v>0</v>
      </c>
      <c r="AJ79" s="1145">
        <f t="shared" si="257"/>
        <v>240697445.30992568</v>
      </c>
      <c r="AK79" s="1145">
        <f t="shared" si="258"/>
        <v>484663298.68478709</v>
      </c>
      <c r="AL79" s="1145">
        <f t="shared" si="259"/>
        <v>43466043.868628696</v>
      </c>
      <c r="AM79" s="1145">
        <f t="shared" si="260"/>
        <v>0</v>
      </c>
      <c r="AN79" s="1145">
        <f t="shared" si="261"/>
        <v>0</v>
      </c>
      <c r="AO79" s="1145">
        <f t="shared" si="262"/>
        <v>0</v>
      </c>
      <c r="AP79" s="1145">
        <f t="shared" si="263"/>
        <v>0</v>
      </c>
      <c r="AQ79" s="1303"/>
      <c r="AR79" s="1"/>
      <c r="AS79" s="1147">
        <v>26</v>
      </c>
      <c r="AT79" s="1147"/>
      <c r="AU79" s="1821"/>
      <c r="AV79" s="1865">
        <v>30104894.672992155</v>
      </c>
      <c r="AW79" s="1">
        <v>26</v>
      </c>
      <c r="AX79" s="553"/>
      <c r="AY79" s="554"/>
      <c r="AZ79" s="555"/>
      <c r="BA79" s="555">
        <v>50</v>
      </c>
      <c r="BB79" s="555">
        <v>50</v>
      </c>
      <c r="BC79" s="555"/>
      <c r="BD79" s="555"/>
      <c r="BE79" s="555"/>
      <c r="BF79" s="556"/>
      <c r="BG79" s="556"/>
      <c r="BH79" s="2"/>
      <c r="BI79" s="2"/>
      <c r="BJ79" s="2"/>
      <c r="BK79" s="114">
        <v>26</v>
      </c>
      <c r="BL79" s="1145">
        <f t="shared" si="293"/>
        <v>0</v>
      </c>
      <c r="BM79" s="1145">
        <f t="shared" si="307"/>
        <v>0</v>
      </c>
      <c r="BN79" s="1145">
        <f t="shared" si="308"/>
        <v>0</v>
      </c>
      <c r="BO79" s="1145">
        <f t="shared" si="309"/>
        <v>15052447.336496077</v>
      </c>
      <c r="BP79" s="1145">
        <f t="shared" si="310"/>
        <v>15052447.336496077</v>
      </c>
      <c r="BQ79" s="1145">
        <f t="shared" si="311"/>
        <v>0</v>
      </c>
      <c r="BR79" s="1145">
        <f t="shared" si="312"/>
        <v>0</v>
      </c>
      <c r="BS79" s="1145">
        <f t="shared" si="313"/>
        <v>0</v>
      </c>
      <c r="BT79" s="1145">
        <f t="shared" si="314"/>
        <v>0</v>
      </c>
      <c r="BU79" s="1145">
        <f t="shared" si="315"/>
        <v>0</v>
      </c>
      <c r="BV79" s="1145"/>
      <c r="BW79" s="114">
        <v>26</v>
      </c>
      <c r="BX79" s="1145">
        <f t="shared" si="273"/>
        <v>0</v>
      </c>
      <c r="BY79" s="1145">
        <f t="shared" si="316"/>
        <v>0</v>
      </c>
      <c r="BZ79" s="1145">
        <f t="shared" si="317"/>
        <v>0</v>
      </c>
      <c r="CA79" s="1145">
        <f t="shared" si="318"/>
        <v>391363630.74889803</v>
      </c>
      <c r="CB79" s="1145">
        <f t="shared" si="319"/>
        <v>391363630.74889803</v>
      </c>
      <c r="CC79" s="1145">
        <f t="shared" si="320"/>
        <v>0</v>
      </c>
      <c r="CD79" s="1145">
        <f t="shared" si="321"/>
        <v>0</v>
      </c>
      <c r="CE79" s="1145">
        <f t="shared" si="322"/>
        <v>0</v>
      </c>
      <c r="CF79" s="1145">
        <f t="shared" si="323"/>
        <v>0</v>
      </c>
      <c r="CG79" s="1145">
        <f t="shared" si="324"/>
        <v>0</v>
      </c>
      <c r="CH79" s="1303"/>
      <c r="CM79" s="638"/>
      <c r="CN79" s="638"/>
      <c r="CO79" s="1860">
        <v>24</v>
      </c>
      <c r="CP79" s="1860"/>
      <c r="CQ79" s="1868"/>
      <c r="CR79" s="1867">
        <v>3382717.9407437714</v>
      </c>
      <c r="CS79" s="638">
        <v>24</v>
      </c>
      <c r="CT79" s="669"/>
      <c r="CU79" s="670"/>
      <c r="CV79" s="670">
        <v>10</v>
      </c>
      <c r="CW79" s="670">
        <v>60</v>
      </c>
      <c r="CX79" s="670">
        <v>30</v>
      </c>
      <c r="CY79" s="670"/>
      <c r="CZ79" s="670"/>
      <c r="DA79" s="670"/>
      <c r="DB79" s="670"/>
      <c r="DC79" s="670"/>
      <c r="DD79" s="670"/>
      <c r="DE79" s="451"/>
      <c r="DF79" s="681"/>
      <c r="DG79" s="679">
        <v>24</v>
      </c>
      <c r="DH79" s="1864">
        <f t="shared" si="326"/>
        <v>0</v>
      </c>
      <c r="DI79" s="1864">
        <f t="shared" si="327"/>
        <v>0</v>
      </c>
      <c r="DJ79" s="1864">
        <f t="shared" si="328"/>
        <v>338271.7940743771</v>
      </c>
      <c r="DK79" s="1864">
        <f t="shared" si="329"/>
        <v>2029630.7644462627</v>
      </c>
      <c r="DL79" s="1864">
        <f t="shared" si="330"/>
        <v>1014815.3822231314</v>
      </c>
      <c r="DM79" s="1864">
        <f t="shared" si="331"/>
        <v>0</v>
      </c>
      <c r="DN79" s="1864">
        <f t="shared" si="332"/>
        <v>0</v>
      </c>
      <c r="DO79" s="1864">
        <f t="shared" si="333"/>
        <v>0</v>
      </c>
      <c r="DP79" s="1864">
        <f t="shared" si="334"/>
        <v>0</v>
      </c>
      <c r="DQ79" s="1864">
        <f t="shared" si="335"/>
        <v>0</v>
      </c>
      <c r="DR79" s="956">
        <v>0</v>
      </c>
      <c r="DS79" s="680">
        <f t="shared" si="305"/>
        <v>3382717.9407437714</v>
      </c>
      <c r="DT79" s="192"/>
      <c r="DU79" s="192"/>
      <c r="DV79" s="192"/>
      <c r="DW79" s="192"/>
      <c r="DX79" s="192"/>
      <c r="DY79" s="192"/>
      <c r="DZ79" s="192"/>
      <c r="EA79" s="192"/>
      <c r="EB79" s="192"/>
      <c r="EC79" s="192"/>
      <c r="ED79" s="192"/>
      <c r="EE79" s="154"/>
      <c r="EF79" s="154"/>
    </row>
    <row r="80" spans="2:348" ht="14.4" thickTop="1" thickBot="1">
      <c r="B80" s="1147">
        <v>27</v>
      </c>
      <c r="C80" s="1147"/>
      <c r="D80" s="1821"/>
      <c r="E80" s="1865">
        <v>40561375.895711496</v>
      </c>
      <c r="F80" s="1">
        <v>27</v>
      </c>
      <c r="G80" s="1">
        <v>0</v>
      </c>
      <c r="H80" s="2">
        <v>0</v>
      </c>
      <c r="I80" s="2">
        <v>0</v>
      </c>
      <c r="J80" s="2">
        <v>5.9014597544862593</v>
      </c>
      <c r="K80" s="2">
        <v>75.118816128420946</v>
      </c>
      <c r="L80" s="2">
        <v>18.979724117092793</v>
      </c>
      <c r="M80" s="2">
        <v>0</v>
      </c>
      <c r="N80" s="2">
        <v>0</v>
      </c>
      <c r="O80" s="2">
        <v>0</v>
      </c>
      <c r="P80" s="2">
        <v>0</v>
      </c>
      <c r="Q80" s="2"/>
      <c r="R80" s="2"/>
      <c r="S80" s="2"/>
      <c r="T80" s="114">
        <v>27</v>
      </c>
      <c r="U80" s="1145">
        <f t="shared" si="283"/>
        <v>0</v>
      </c>
      <c r="V80" s="1145">
        <f t="shared" si="284"/>
        <v>0</v>
      </c>
      <c r="W80" s="1145">
        <f t="shared" si="285"/>
        <v>0</v>
      </c>
      <c r="X80" s="1145">
        <f t="shared" si="286"/>
        <v>2393713.2743513044</v>
      </c>
      <c r="Y80" s="1145">
        <f t="shared" si="287"/>
        <v>30469225.378257174</v>
      </c>
      <c r="Z80" s="1145">
        <f t="shared" si="288"/>
        <v>7698437.243103018</v>
      </c>
      <c r="AA80" s="1145">
        <f t="shared" si="289"/>
        <v>0</v>
      </c>
      <c r="AB80" s="1145">
        <f t="shared" si="290"/>
        <v>0</v>
      </c>
      <c r="AC80" s="1145">
        <f t="shared" si="291"/>
        <v>0</v>
      </c>
      <c r="AD80" s="1145">
        <f t="shared" si="292"/>
        <v>0</v>
      </c>
      <c r="AE80" s="1145"/>
      <c r="AF80" s="114">
        <v>27</v>
      </c>
      <c r="AG80" s="1145">
        <f t="shared" si="254"/>
        <v>0</v>
      </c>
      <c r="AH80" s="1145">
        <f t="shared" si="255"/>
        <v>0</v>
      </c>
      <c r="AI80" s="1145">
        <f t="shared" si="256"/>
        <v>0</v>
      </c>
      <c r="AJ80" s="1145">
        <f t="shared" si="257"/>
        <v>64630258.407485217</v>
      </c>
      <c r="AK80" s="1145">
        <f t="shared" si="258"/>
        <v>822669085.21294367</v>
      </c>
      <c r="AL80" s="1145">
        <f t="shared" si="259"/>
        <v>207857805.5637815</v>
      </c>
      <c r="AM80" s="1145">
        <f t="shared" si="260"/>
        <v>0</v>
      </c>
      <c r="AN80" s="1145">
        <f t="shared" si="261"/>
        <v>0</v>
      </c>
      <c r="AO80" s="1145">
        <f t="shared" si="262"/>
        <v>0</v>
      </c>
      <c r="AP80" s="1145">
        <f t="shared" si="263"/>
        <v>0</v>
      </c>
      <c r="AQ80" s="1303"/>
      <c r="AR80" s="1"/>
      <c r="AS80" s="1147">
        <v>27</v>
      </c>
      <c r="AT80" s="1147"/>
      <c r="AU80" s="1821"/>
      <c r="AV80" s="1865">
        <v>38720424.911562867</v>
      </c>
      <c r="AW80" s="1">
        <v>27</v>
      </c>
      <c r="AX80" s="666"/>
      <c r="AY80" s="955"/>
      <c r="AZ80" s="1852"/>
      <c r="BA80" s="1852"/>
      <c r="BB80" s="1852">
        <v>100</v>
      </c>
      <c r="BC80" s="1852"/>
      <c r="BD80" s="1852"/>
      <c r="BE80" s="1852"/>
      <c r="BF80" s="1456"/>
      <c r="BG80" s="1456"/>
      <c r="BH80" s="2"/>
      <c r="BI80" s="2"/>
      <c r="BJ80" s="2"/>
      <c r="BK80" s="114">
        <v>27</v>
      </c>
      <c r="BL80" s="1145">
        <f t="shared" si="293"/>
        <v>0</v>
      </c>
      <c r="BM80" s="1145">
        <f t="shared" si="307"/>
        <v>0</v>
      </c>
      <c r="BN80" s="1145">
        <f t="shared" si="308"/>
        <v>0</v>
      </c>
      <c r="BO80" s="1145">
        <f t="shared" si="309"/>
        <v>0</v>
      </c>
      <c r="BP80" s="1145">
        <f t="shared" si="310"/>
        <v>38720424.911562867</v>
      </c>
      <c r="BQ80" s="1145">
        <f t="shared" si="311"/>
        <v>0</v>
      </c>
      <c r="BR80" s="1145">
        <f t="shared" si="312"/>
        <v>0</v>
      </c>
      <c r="BS80" s="1145">
        <f t="shared" si="313"/>
        <v>0</v>
      </c>
      <c r="BT80" s="1145">
        <f t="shared" si="314"/>
        <v>0</v>
      </c>
      <c r="BU80" s="1145">
        <f t="shared" si="315"/>
        <v>0</v>
      </c>
      <c r="BV80" s="1145"/>
      <c r="BW80" s="114">
        <v>27</v>
      </c>
      <c r="BX80" s="1145">
        <f t="shared" si="273"/>
        <v>0</v>
      </c>
      <c r="BY80" s="1145">
        <f t="shared" si="316"/>
        <v>0</v>
      </c>
      <c r="BZ80" s="1145">
        <f t="shared" si="317"/>
        <v>0</v>
      </c>
      <c r="CA80" s="1145">
        <f t="shared" si="318"/>
        <v>0</v>
      </c>
      <c r="CB80" s="1145">
        <f t="shared" si="319"/>
        <v>1045451472.6121974</v>
      </c>
      <c r="CC80" s="1145">
        <f t="shared" si="320"/>
        <v>0</v>
      </c>
      <c r="CD80" s="1145">
        <f t="shared" si="321"/>
        <v>0</v>
      </c>
      <c r="CE80" s="1145">
        <f t="shared" si="322"/>
        <v>0</v>
      </c>
      <c r="CF80" s="1145">
        <f t="shared" si="323"/>
        <v>0</v>
      </c>
      <c r="CG80" s="1145">
        <f t="shared" si="324"/>
        <v>0</v>
      </c>
      <c r="CH80" s="1303"/>
      <c r="CM80" s="638"/>
      <c r="CN80" s="638"/>
      <c r="CO80" s="1860">
        <v>25</v>
      </c>
      <c r="CP80" s="1860"/>
      <c r="CQ80" s="1868"/>
      <c r="CR80" s="1867">
        <v>3185795.0188690424</v>
      </c>
      <c r="CS80" s="638">
        <v>25</v>
      </c>
      <c r="CT80" s="672"/>
      <c r="CU80" s="957"/>
      <c r="CV80" s="957"/>
      <c r="CW80" s="957">
        <v>50</v>
      </c>
      <c r="CX80" s="957">
        <v>50</v>
      </c>
      <c r="CY80" s="957"/>
      <c r="CZ80" s="957"/>
      <c r="DA80" s="957"/>
      <c r="DB80" s="957"/>
      <c r="DC80" s="957"/>
      <c r="DD80" s="957"/>
      <c r="DE80" s="451"/>
      <c r="DF80" s="681"/>
      <c r="DG80" s="679">
        <v>25</v>
      </c>
      <c r="DH80" s="1864">
        <f t="shared" si="326"/>
        <v>0</v>
      </c>
      <c r="DI80" s="1864">
        <f t="shared" si="327"/>
        <v>0</v>
      </c>
      <c r="DJ80" s="1864">
        <f t="shared" si="328"/>
        <v>0</v>
      </c>
      <c r="DK80" s="1864">
        <f t="shared" si="329"/>
        <v>1592897.5094345212</v>
      </c>
      <c r="DL80" s="1864">
        <f t="shared" si="330"/>
        <v>1592897.5094345212</v>
      </c>
      <c r="DM80" s="1864">
        <f t="shared" si="331"/>
        <v>0</v>
      </c>
      <c r="DN80" s="1864">
        <f t="shared" si="332"/>
        <v>0</v>
      </c>
      <c r="DO80" s="1864">
        <f t="shared" si="333"/>
        <v>0</v>
      </c>
      <c r="DP80" s="1864">
        <f t="shared" si="334"/>
        <v>0</v>
      </c>
      <c r="DQ80" s="1864">
        <f t="shared" si="335"/>
        <v>0</v>
      </c>
      <c r="DR80" s="956">
        <v>0</v>
      </c>
      <c r="DS80" s="680">
        <f t="shared" si="305"/>
        <v>3185795.0188690424</v>
      </c>
      <c r="DT80" s="192"/>
      <c r="DU80" s="192"/>
      <c r="DV80" s="192"/>
      <c r="DW80" s="192"/>
      <c r="DX80" s="192"/>
      <c r="DY80" s="192"/>
      <c r="DZ80" s="192"/>
      <c r="EA80" s="192"/>
      <c r="EB80" s="192"/>
      <c r="EC80" s="192"/>
      <c r="ED80" s="192"/>
      <c r="EE80" s="154"/>
      <c r="EF80" s="154"/>
    </row>
    <row r="81" spans="2:136" ht="14.4" thickTop="1" thickBot="1">
      <c r="B81" s="1147">
        <v>28</v>
      </c>
      <c r="C81" s="1147"/>
      <c r="D81" s="1821"/>
      <c r="E81" s="1865">
        <v>34751176.179162934</v>
      </c>
      <c r="F81" s="1">
        <v>28</v>
      </c>
      <c r="G81" s="1">
        <v>0</v>
      </c>
      <c r="H81" s="2">
        <v>0</v>
      </c>
      <c r="I81" s="2">
        <v>0</v>
      </c>
      <c r="J81" s="2">
        <v>5.641800833166668</v>
      </c>
      <c r="K81" s="2">
        <v>40.507394167833326</v>
      </c>
      <c r="L81" s="2">
        <v>53.850804999000012</v>
      </c>
      <c r="M81" s="2">
        <v>0</v>
      </c>
      <c r="N81" s="2">
        <v>0</v>
      </c>
      <c r="O81" s="2">
        <v>0</v>
      </c>
      <c r="P81" s="2">
        <v>0</v>
      </c>
      <c r="Q81" s="2"/>
      <c r="R81" s="2"/>
      <c r="S81" s="2"/>
      <c r="T81" s="114">
        <v>28</v>
      </c>
      <c r="U81" s="1145">
        <f t="shared" si="283"/>
        <v>0</v>
      </c>
      <c r="V81" s="1145">
        <f t="shared" si="284"/>
        <v>0</v>
      </c>
      <c r="W81" s="1145">
        <f t="shared" si="285"/>
        <v>0</v>
      </c>
      <c r="X81" s="1145">
        <f t="shared" si="286"/>
        <v>1960592.1472112311</v>
      </c>
      <c r="Y81" s="1145">
        <f t="shared" si="287"/>
        <v>14076795.912851728</v>
      </c>
      <c r="Z81" s="1145">
        <f t="shared" si="288"/>
        <v>18713788.119099975</v>
      </c>
      <c r="AA81" s="1145">
        <f t="shared" si="289"/>
        <v>0</v>
      </c>
      <c r="AB81" s="1145">
        <f t="shared" si="290"/>
        <v>0</v>
      </c>
      <c r="AC81" s="1145">
        <f t="shared" si="291"/>
        <v>0</v>
      </c>
      <c r="AD81" s="1145">
        <f t="shared" si="292"/>
        <v>0</v>
      </c>
      <c r="AE81" s="1145"/>
      <c r="AF81" s="114">
        <v>28</v>
      </c>
      <c r="AG81" s="1145">
        <f t="shared" si="254"/>
        <v>0</v>
      </c>
      <c r="AH81" s="1145">
        <f t="shared" si="255"/>
        <v>0</v>
      </c>
      <c r="AI81" s="1145">
        <f t="shared" si="256"/>
        <v>0</v>
      </c>
      <c r="AJ81" s="1145">
        <f t="shared" si="257"/>
        <v>54896580.121914469</v>
      </c>
      <c r="AK81" s="1145">
        <f t="shared" si="258"/>
        <v>394150285.55984843</v>
      </c>
      <c r="AL81" s="1145">
        <f t="shared" si="259"/>
        <v>523986067.33479929</v>
      </c>
      <c r="AM81" s="1145">
        <f t="shared" si="260"/>
        <v>0</v>
      </c>
      <c r="AN81" s="1145">
        <f t="shared" si="261"/>
        <v>0</v>
      </c>
      <c r="AO81" s="1145">
        <f t="shared" si="262"/>
        <v>0</v>
      </c>
      <c r="AP81" s="1145">
        <f t="shared" si="263"/>
        <v>0</v>
      </c>
      <c r="AQ81" s="1303"/>
      <c r="AR81" s="1"/>
      <c r="AS81" s="1147">
        <v>28</v>
      </c>
      <c r="AT81" s="1147"/>
      <c r="AU81" s="1821"/>
      <c r="AV81" s="1865">
        <v>24383517.51139646</v>
      </c>
      <c r="AW81" s="1">
        <v>28</v>
      </c>
      <c r="AX81" s="666"/>
      <c r="AY81" s="955"/>
      <c r="AZ81" s="1852"/>
      <c r="BA81" s="1852"/>
      <c r="BB81" s="1852">
        <v>75</v>
      </c>
      <c r="BC81" s="1852">
        <v>25</v>
      </c>
      <c r="BD81" s="1852"/>
      <c r="BE81" s="1852"/>
      <c r="BF81" s="1456"/>
      <c r="BG81" s="1456"/>
      <c r="BH81" s="2"/>
      <c r="BI81" s="2"/>
      <c r="BJ81" s="2"/>
      <c r="BK81" s="114">
        <v>28</v>
      </c>
      <c r="BL81" s="1145">
        <f t="shared" si="293"/>
        <v>0</v>
      </c>
      <c r="BM81" s="1145">
        <f t="shared" si="307"/>
        <v>0</v>
      </c>
      <c r="BN81" s="1145">
        <f t="shared" si="308"/>
        <v>0</v>
      </c>
      <c r="BO81" s="1145">
        <f t="shared" si="309"/>
        <v>0</v>
      </c>
      <c r="BP81" s="1145">
        <f t="shared" si="310"/>
        <v>18287638.133547343</v>
      </c>
      <c r="BQ81" s="1145">
        <f t="shared" si="311"/>
        <v>6095879.3778491151</v>
      </c>
      <c r="BR81" s="1145">
        <f t="shared" si="312"/>
        <v>0</v>
      </c>
      <c r="BS81" s="1145">
        <f t="shared" si="313"/>
        <v>0</v>
      </c>
      <c r="BT81" s="1145">
        <f t="shared" si="314"/>
        <v>0</v>
      </c>
      <c r="BU81" s="1145">
        <f t="shared" si="315"/>
        <v>0</v>
      </c>
      <c r="BV81" s="1145"/>
      <c r="BW81" s="114">
        <v>28</v>
      </c>
      <c r="BX81" s="1145">
        <f t="shared" si="273"/>
        <v>0</v>
      </c>
      <c r="BY81" s="1145">
        <f t="shared" si="316"/>
        <v>0</v>
      </c>
      <c r="BZ81" s="1145">
        <f t="shared" si="317"/>
        <v>0</v>
      </c>
      <c r="CA81" s="1145">
        <f t="shared" si="318"/>
        <v>0</v>
      </c>
      <c r="CB81" s="1145">
        <f t="shared" si="319"/>
        <v>512053867.73932564</v>
      </c>
      <c r="CC81" s="1145">
        <f t="shared" si="320"/>
        <v>170684622.57977521</v>
      </c>
      <c r="CD81" s="1145">
        <f t="shared" si="321"/>
        <v>0</v>
      </c>
      <c r="CE81" s="1145">
        <f t="shared" si="322"/>
        <v>0</v>
      </c>
      <c r="CF81" s="1145">
        <f t="shared" si="323"/>
        <v>0</v>
      </c>
      <c r="CG81" s="1145">
        <f t="shared" si="324"/>
        <v>0</v>
      </c>
      <c r="CH81" s="1303"/>
      <c r="CM81" s="638"/>
      <c r="CN81" s="638"/>
      <c r="CO81" s="1860">
        <v>26</v>
      </c>
      <c r="CP81" s="1860"/>
      <c r="CQ81" s="1868"/>
      <c r="CR81" s="1867">
        <v>2902905.0725809066</v>
      </c>
      <c r="CS81" s="638">
        <v>26</v>
      </c>
      <c r="CT81" s="672"/>
      <c r="CU81" s="957"/>
      <c r="CV81" s="957"/>
      <c r="CW81" s="957">
        <v>30</v>
      </c>
      <c r="CX81" s="957">
        <v>70</v>
      </c>
      <c r="CY81" s="957"/>
      <c r="CZ81" s="957"/>
      <c r="DA81" s="957"/>
      <c r="DB81" s="957"/>
      <c r="DC81" s="957"/>
      <c r="DD81" s="957"/>
      <c r="DE81" s="451"/>
      <c r="DF81" s="681"/>
      <c r="DG81" s="679">
        <v>26</v>
      </c>
      <c r="DH81" s="1864">
        <f t="shared" ref="DH81:DH89" si="336">$CR81*CT81/100</f>
        <v>0</v>
      </c>
      <c r="DI81" s="1864">
        <f t="shared" ref="DI81:DI96" si="337">$CR81*CU81/100</f>
        <v>0</v>
      </c>
      <c r="DJ81" s="1864">
        <f t="shared" ref="DJ81:DJ96" si="338">$CR81*CV81/100</f>
        <v>0</v>
      </c>
      <c r="DK81" s="1864">
        <f t="shared" ref="DK81:DK96" si="339">$CR81*CW81/100</f>
        <v>870871.52177427197</v>
      </c>
      <c r="DL81" s="1864">
        <f t="shared" ref="DL81:DL96" si="340">$CR81*CX81/100</f>
        <v>2032033.5508066348</v>
      </c>
      <c r="DM81" s="1864">
        <f t="shared" ref="DM81:DM96" si="341">$CR81*CY81/100</f>
        <v>0</v>
      </c>
      <c r="DN81" s="1864">
        <f t="shared" ref="DN81:DN96" si="342">$CR81*CZ81/100</f>
        <v>0</v>
      </c>
      <c r="DO81" s="1864">
        <f t="shared" ref="DO81:DO96" si="343">$CR81*DA81/100</f>
        <v>0</v>
      </c>
      <c r="DP81" s="1864">
        <f t="shared" ref="DP81:DP96" si="344">$CR81*DB81/100</f>
        <v>0</v>
      </c>
      <c r="DQ81" s="1864">
        <f t="shared" ref="DQ81:DQ96" si="345">$CR81*DC81/100</f>
        <v>0</v>
      </c>
      <c r="DR81" s="956">
        <v>0</v>
      </c>
      <c r="DS81" s="680">
        <f t="shared" si="305"/>
        <v>2902905.0725809066</v>
      </c>
      <c r="DT81" s="192"/>
      <c r="DU81" s="192"/>
      <c r="DV81" s="192"/>
      <c r="DW81" s="192"/>
      <c r="DX81" s="192"/>
      <c r="DY81" s="192"/>
      <c r="DZ81" s="192"/>
      <c r="EA81" s="192"/>
      <c r="EB81" s="192"/>
      <c r="EC81" s="192"/>
      <c r="ED81" s="192"/>
      <c r="EE81" s="154"/>
      <c r="EF81" s="154"/>
    </row>
    <row r="82" spans="2:136" ht="14.4" thickTop="1" thickBot="1">
      <c r="B82" s="1147">
        <v>29</v>
      </c>
      <c r="C82" s="1147"/>
      <c r="D82" s="1821"/>
      <c r="E82" s="1865">
        <v>25249609.263808437</v>
      </c>
      <c r="F82" s="1">
        <v>29</v>
      </c>
      <c r="G82" s="1">
        <v>0</v>
      </c>
      <c r="H82" s="2">
        <v>0</v>
      </c>
      <c r="I82" s="2">
        <v>0</v>
      </c>
      <c r="J82" s="2">
        <v>6.236704577545412</v>
      </c>
      <c r="K82" s="2">
        <v>13.961739463587474</v>
      </c>
      <c r="L82" s="2">
        <v>73.068741278489497</v>
      </c>
      <c r="M82" s="2">
        <v>6.7328146803776283</v>
      </c>
      <c r="N82" s="2">
        <v>0</v>
      </c>
      <c r="O82" s="2">
        <v>0</v>
      </c>
      <c r="P82" s="2">
        <v>0</v>
      </c>
      <c r="Q82" s="2"/>
      <c r="R82" s="2"/>
      <c r="S82" s="2"/>
      <c r="T82" s="114">
        <v>29</v>
      </c>
      <c r="U82" s="1145">
        <f t="shared" si="283"/>
        <v>0</v>
      </c>
      <c r="V82" s="1145">
        <f t="shared" si="284"/>
        <v>0</v>
      </c>
      <c r="W82" s="1145">
        <f t="shared" si="285"/>
        <v>0</v>
      </c>
      <c r="X82" s="1145">
        <f t="shared" si="286"/>
        <v>1574743.5367682711</v>
      </c>
      <c r="Y82" s="1145">
        <f t="shared" si="287"/>
        <v>3525284.6609867811</v>
      </c>
      <c r="Z82" s="1145">
        <f t="shared" si="288"/>
        <v>18449571.666801702</v>
      </c>
      <c r="AA82" s="1145">
        <f t="shared" si="289"/>
        <v>1700009.3992516838</v>
      </c>
      <c r="AB82" s="1145">
        <f t="shared" si="290"/>
        <v>0</v>
      </c>
      <c r="AC82" s="1145">
        <f t="shared" si="291"/>
        <v>0</v>
      </c>
      <c r="AD82" s="1145">
        <f t="shared" si="292"/>
        <v>0</v>
      </c>
      <c r="AE82" s="1145"/>
      <c r="AF82" s="114">
        <v>29</v>
      </c>
      <c r="AG82" s="1145">
        <f t="shared" si="254"/>
        <v>0</v>
      </c>
      <c r="AH82" s="1145">
        <f t="shared" si="255"/>
        <v>0</v>
      </c>
      <c r="AI82" s="1145">
        <f t="shared" si="256"/>
        <v>0</v>
      </c>
      <c r="AJ82" s="1145">
        <f t="shared" si="257"/>
        <v>45667562.566279866</v>
      </c>
      <c r="AK82" s="1145">
        <f t="shared" si="258"/>
        <v>102233255.16861665</v>
      </c>
      <c r="AL82" s="1145">
        <f t="shared" si="259"/>
        <v>535037578.33724934</v>
      </c>
      <c r="AM82" s="1145">
        <f t="shared" si="260"/>
        <v>49300272.578298829</v>
      </c>
      <c r="AN82" s="1145">
        <f t="shared" si="261"/>
        <v>0</v>
      </c>
      <c r="AO82" s="1145">
        <f t="shared" si="262"/>
        <v>0</v>
      </c>
      <c r="AP82" s="1145">
        <f t="shared" si="263"/>
        <v>0</v>
      </c>
      <c r="AQ82" s="1303"/>
      <c r="AR82" s="1"/>
      <c r="AS82" s="1147">
        <v>29</v>
      </c>
      <c r="AT82" s="1147"/>
      <c r="AU82" s="1821"/>
      <c r="AV82" s="1865">
        <v>18690148.457124524</v>
      </c>
      <c r="AW82" s="1">
        <v>29</v>
      </c>
      <c r="AX82" s="557"/>
      <c r="AY82" s="558"/>
      <c r="AZ82" s="559"/>
      <c r="BA82" s="559"/>
      <c r="BB82" s="559">
        <v>50</v>
      </c>
      <c r="BC82" s="559">
        <v>50</v>
      </c>
      <c r="BD82" s="559"/>
      <c r="BE82" s="559"/>
      <c r="BF82" s="560"/>
      <c r="BG82" s="560"/>
      <c r="BH82" s="2"/>
      <c r="BI82" s="2"/>
      <c r="BJ82" s="2"/>
      <c r="BK82" s="114">
        <v>29</v>
      </c>
      <c r="BL82" s="1145">
        <f t="shared" si="293"/>
        <v>0</v>
      </c>
      <c r="BM82" s="1145">
        <f t="shared" si="307"/>
        <v>0</v>
      </c>
      <c r="BN82" s="1145">
        <f t="shared" si="308"/>
        <v>0</v>
      </c>
      <c r="BO82" s="1145">
        <f t="shared" si="309"/>
        <v>0</v>
      </c>
      <c r="BP82" s="1145">
        <f t="shared" si="310"/>
        <v>9345074.2285622619</v>
      </c>
      <c r="BQ82" s="1145">
        <f t="shared" si="311"/>
        <v>9345074.2285622619</v>
      </c>
      <c r="BR82" s="1145">
        <f t="shared" si="312"/>
        <v>0</v>
      </c>
      <c r="BS82" s="1145">
        <f t="shared" si="313"/>
        <v>0</v>
      </c>
      <c r="BT82" s="1145">
        <f t="shared" si="314"/>
        <v>0</v>
      </c>
      <c r="BU82" s="1145">
        <f t="shared" si="315"/>
        <v>0</v>
      </c>
      <c r="BV82" s="1145"/>
      <c r="BW82" s="114">
        <v>29</v>
      </c>
      <c r="BX82" s="1145">
        <f t="shared" si="273"/>
        <v>0</v>
      </c>
      <c r="BY82" s="1145">
        <f t="shared" si="316"/>
        <v>0</v>
      </c>
      <c r="BZ82" s="1145">
        <f t="shared" si="317"/>
        <v>0</v>
      </c>
      <c r="CA82" s="1145">
        <f t="shared" si="318"/>
        <v>0</v>
      </c>
      <c r="CB82" s="1145">
        <f t="shared" si="319"/>
        <v>271007152.62830561</v>
      </c>
      <c r="CC82" s="1145">
        <f t="shared" si="320"/>
        <v>271007152.62830561</v>
      </c>
      <c r="CD82" s="1145">
        <f t="shared" si="321"/>
        <v>0</v>
      </c>
      <c r="CE82" s="1145">
        <f t="shared" si="322"/>
        <v>0</v>
      </c>
      <c r="CF82" s="1145">
        <f t="shared" si="323"/>
        <v>0</v>
      </c>
      <c r="CG82" s="1145">
        <f t="shared" si="324"/>
        <v>0</v>
      </c>
      <c r="CH82" s="1303"/>
      <c r="CM82" s="638"/>
      <c r="CN82" s="638"/>
      <c r="CO82" s="1860">
        <v>27</v>
      </c>
      <c r="CP82" s="1860"/>
      <c r="CQ82" s="1868"/>
      <c r="CR82" s="1867">
        <v>1537956.1090796487</v>
      </c>
      <c r="CS82" s="638">
        <v>27</v>
      </c>
      <c r="CT82" s="672"/>
      <c r="CU82" s="957"/>
      <c r="CV82" s="957"/>
      <c r="CW82" s="957">
        <v>40</v>
      </c>
      <c r="CX82" s="957">
        <v>40</v>
      </c>
      <c r="CY82" s="673">
        <v>20</v>
      </c>
      <c r="CZ82" s="957"/>
      <c r="DA82" s="957"/>
      <c r="DB82" s="957"/>
      <c r="DC82" s="957"/>
      <c r="DD82" s="957"/>
      <c r="DE82" s="451"/>
      <c r="DF82" s="681"/>
      <c r="DG82" s="679">
        <v>27</v>
      </c>
      <c r="DH82" s="1864">
        <f t="shared" si="336"/>
        <v>0</v>
      </c>
      <c r="DI82" s="1864">
        <f t="shared" si="337"/>
        <v>0</v>
      </c>
      <c r="DJ82" s="1864">
        <f t="shared" si="338"/>
        <v>0</v>
      </c>
      <c r="DK82" s="1864">
        <f t="shared" si="339"/>
        <v>615182.4436318595</v>
      </c>
      <c r="DL82" s="1864">
        <f t="shared" si="340"/>
        <v>615182.4436318595</v>
      </c>
      <c r="DM82" s="1864">
        <f t="shared" si="341"/>
        <v>307591.22181592975</v>
      </c>
      <c r="DN82" s="1864">
        <f t="shared" si="342"/>
        <v>0</v>
      </c>
      <c r="DO82" s="1864">
        <f t="shared" si="343"/>
        <v>0</v>
      </c>
      <c r="DP82" s="1864">
        <f t="shared" si="344"/>
        <v>0</v>
      </c>
      <c r="DQ82" s="1864">
        <f t="shared" si="345"/>
        <v>0</v>
      </c>
      <c r="DR82" s="956">
        <v>0</v>
      </c>
      <c r="DS82" s="680">
        <f t="shared" si="305"/>
        <v>1537956.1090796487</v>
      </c>
      <c r="DT82" s="192"/>
      <c r="DU82" s="192"/>
      <c r="DV82" s="192"/>
      <c r="DW82" s="192"/>
      <c r="DX82" s="192"/>
      <c r="DY82" s="192"/>
      <c r="DZ82" s="192"/>
      <c r="EA82" s="192"/>
      <c r="EB82" s="192"/>
      <c r="EC82" s="192"/>
      <c r="ED82" s="192"/>
      <c r="EE82" s="154"/>
      <c r="EF82" s="154"/>
    </row>
    <row r="83" spans="2:136" ht="14.4" thickTop="1" thickBot="1">
      <c r="B83" s="1147">
        <v>30</v>
      </c>
      <c r="C83" s="1147"/>
      <c r="D83" s="1821"/>
      <c r="E83" s="1865">
        <v>19025501.353174206</v>
      </c>
      <c r="F83" s="1">
        <v>30</v>
      </c>
      <c r="G83" s="1">
        <v>0</v>
      </c>
      <c r="H83" s="2">
        <v>0</v>
      </c>
      <c r="I83" s="2">
        <v>0</v>
      </c>
      <c r="J83" s="2">
        <v>0</v>
      </c>
      <c r="K83" s="2">
        <v>7.0606048864309701</v>
      </c>
      <c r="L83" s="2">
        <v>65.848507157811596</v>
      </c>
      <c r="M83" s="2">
        <v>27.090887955757442</v>
      </c>
      <c r="N83" s="2">
        <v>0</v>
      </c>
      <c r="O83" s="2">
        <v>0</v>
      </c>
      <c r="P83" s="2">
        <v>0</v>
      </c>
      <c r="Q83" s="2"/>
      <c r="R83" s="2"/>
      <c r="S83" s="2"/>
      <c r="T83" s="114">
        <v>30</v>
      </c>
      <c r="U83" s="1145">
        <f t="shared" si="283"/>
        <v>0</v>
      </c>
      <c r="V83" s="1145">
        <f t="shared" si="284"/>
        <v>0</v>
      </c>
      <c r="W83" s="1145">
        <f t="shared" si="285"/>
        <v>0</v>
      </c>
      <c r="X83" s="1145">
        <f t="shared" si="286"/>
        <v>0</v>
      </c>
      <c r="Y83" s="1145">
        <f t="shared" si="287"/>
        <v>1343315.4782102085</v>
      </c>
      <c r="Z83" s="1145">
        <f t="shared" si="288"/>
        <v>12528008.620354459</v>
      </c>
      <c r="AA83" s="1145">
        <f t="shared" si="289"/>
        <v>5154177.2546095401</v>
      </c>
      <c r="AB83" s="1145">
        <f t="shared" si="290"/>
        <v>0</v>
      </c>
      <c r="AC83" s="1145">
        <f t="shared" si="291"/>
        <v>0</v>
      </c>
      <c r="AD83" s="1145">
        <f t="shared" si="292"/>
        <v>0</v>
      </c>
      <c r="AE83" s="1145"/>
      <c r="AF83" s="114">
        <v>30</v>
      </c>
      <c r="AG83" s="1145">
        <f t="shared" si="254"/>
        <v>0</v>
      </c>
      <c r="AH83" s="1145">
        <f t="shared" si="255"/>
        <v>0</v>
      </c>
      <c r="AI83" s="1145">
        <f t="shared" si="256"/>
        <v>0</v>
      </c>
      <c r="AJ83" s="1145">
        <f t="shared" si="257"/>
        <v>0</v>
      </c>
      <c r="AK83" s="1145">
        <f t="shared" si="258"/>
        <v>40299464.346306257</v>
      </c>
      <c r="AL83" s="1145">
        <f t="shared" si="259"/>
        <v>375840258.61063373</v>
      </c>
      <c r="AM83" s="1145">
        <f t="shared" si="260"/>
        <v>154625317.6382862</v>
      </c>
      <c r="AN83" s="1145">
        <f t="shared" si="261"/>
        <v>0</v>
      </c>
      <c r="AO83" s="1145">
        <f t="shared" si="262"/>
        <v>0</v>
      </c>
      <c r="AP83" s="1145">
        <f t="shared" si="263"/>
        <v>0</v>
      </c>
      <c r="AQ83" s="1303"/>
      <c r="AR83" s="1"/>
      <c r="AS83" s="1147">
        <v>30</v>
      </c>
      <c r="AT83" s="1147"/>
      <c r="AU83" s="1821"/>
      <c r="AV83" s="1865">
        <v>17063573.337919146</v>
      </c>
      <c r="AW83" s="1">
        <v>30</v>
      </c>
      <c r="AX83" s="666"/>
      <c r="AY83" s="955"/>
      <c r="AZ83" s="1852"/>
      <c r="BA83" s="1852"/>
      <c r="BB83" s="1852"/>
      <c r="BC83" s="1852">
        <v>60</v>
      </c>
      <c r="BD83" s="1852">
        <v>40</v>
      </c>
      <c r="BE83" s="1852"/>
      <c r="BF83" s="1456"/>
      <c r="BG83" s="1456"/>
      <c r="BH83" s="2"/>
      <c r="BI83" s="2"/>
      <c r="BJ83" s="2"/>
      <c r="BK83" s="114">
        <v>30</v>
      </c>
      <c r="BL83" s="1145">
        <f t="shared" si="293"/>
        <v>0</v>
      </c>
      <c r="BM83" s="1145">
        <f t="shared" si="307"/>
        <v>0</v>
      </c>
      <c r="BN83" s="1145">
        <f t="shared" si="308"/>
        <v>0</v>
      </c>
      <c r="BO83" s="1145">
        <f t="shared" si="309"/>
        <v>0</v>
      </c>
      <c r="BP83" s="1145">
        <f t="shared" si="310"/>
        <v>0</v>
      </c>
      <c r="BQ83" s="1145">
        <f t="shared" si="311"/>
        <v>10238144.002751488</v>
      </c>
      <c r="BR83" s="1145">
        <f t="shared" si="312"/>
        <v>6825429.3351676585</v>
      </c>
      <c r="BS83" s="1145">
        <f t="shared" si="313"/>
        <v>0</v>
      </c>
      <c r="BT83" s="1145">
        <f t="shared" si="314"/>
        <v>0</v>
      </c>
      <c r="BU83" s="1145">
        <f t="shared" si="315"/>
        <v>0</v>
      </c>
      <c r="BV83" s="1145"/>
      <c r="BW83" s="114">
        <v>30</v>
      </c>
      <c r="BX83" s="1145">
        <f t="shared" si="273"/>
        <v>0</v>
      </c>
      <c r="BY83" s="1145">
        <f t="shared" si="316"/>
        <v>0</v>
      </c>
      <c r="BZ83" s="1145">
        <f t="shared" si="317"/>
        <v>0</v>
      </c>
      <c r="CA83" s="1145">
        <f t="shared" si="318"/>
        <v>0</v>
      </c>
      <c r="CB83" s="1145">
        <f t="shared" si="319"/>
        <v>0</v>
      </c>
      <c r="CC83" s="1145">
        <f t="shared" si="320"/>
        <v>307144320.08254462</v>
      </c>
      <c r="CD83" s="1145">
        <f t="shared" si="321"/>
        <v>204762880.05502975</v>
      </c>
      <c r="CE83" s="1145">
        <f t="shared" si="322"/>
        <v>0</v>
      </c>
      <c r="CF83" s="1145">
        <f t="shared" si="323"/>
        <v>0</v>
      </c>
      <c r="CG83" s="1145">
        <f t="shared" si="324"/>
        <v>0</v>
      </c>
      <c r="CH83" s="1303"/>
      <c r="CM83" s="638"/>
      <c r="CN83" s="638"/>
      <c r="CO83" s="1860">
        <v>28</v>
      </c>
      <c r="CP83" s="1860"/>
      <c r="CQ83" s="1868"/>
      <c r="CR83" s="1867">
        <v>1010733.7801246283</v>
      </c>
      <c r="CS83" s="638">
        <v>28</v>
      </c>
      <c r="CT83" s="672"/>
      <c r="CU83" s="957"/>
      <c r="CV83" s="957"/>
      <c r="CW83" s="957">
        <v>20</v>
      </c>
      <c r="CX83" s="957">
        <v>50</v>
      </c>
      <c r="CY83" s="673">
        <v>30</v>
      </c>
      <c r="CZ83" s="957"/>
      <c r="DA83" s="957"/>
      <c r="DB83" s="957"/>
      <c r="DC83" s="957"/>
      <c r="DD83" s="957"/>
      <c r="DE83" s="451"/>
      <c r="DF83" s="681"/>
      <c r="DG83" s="679">
        <v>28</v>
      </c>
      <c r="DH83" s="1864">
        <f t="shared" si="336"/>
        <v>0</v>
      </c>
      <c r="DI83" s="1864">
        <f t="shared" si="337"/>
        <v>0</v>
      </c>
      <c r="DJ83" s="1864">
        <f t="shared" si="338"/>
        <v>0</v>
      </c>
      <c r="DK83" s="1864">
        <f t="shared" si="339"/>
        <v>202146.75602492568</v>
      </c>
      <c r="DL83" s="1864">
        <f t="shared" si="340"/>
        <v>505366.89006231423</v>
      </c>
      <c r="DM83" s="1864">
        <f t="shared" si="341"/>
        <v>303220.13403738849</v>
      </c>
      <c r="DN83" s="1864">
        <f t="shared" si="342"/>
        <v>0</v>
      </c>
      <c r="DO83" s="1864">
        <f t="shared" si="343"/>
        <v>0</v>
      </c>
      <c r="DP83" s="1864">
        <f t="shared" si="344"/>
        <v>0</v>
      </c>
      <c r="DQ83" s="1864">
        <f t="shared" si="345"/>
        <v>0</v>
      </c>
      <c r="DR83" s="956">
        <v>0</v>
      </c>
      <c r="DS83" s="680">
        <f t="shared" si="305"/>
        <v>1010733.7801246285</v>
      </c>
      <c r="DT83" s="192"/>
      <c r="DU83" s="192"/>
      <c r="DV83" s="192"/>
      <c r="DW83" s="192"/>
      <c r="DX83" s="192"/>
      <c r="DY83" s="192"/>
      <c r="DZ83" s="192"/>
      <c r="EA83" s="192"/>
      <c r="EB83" s="192"/>
      <c r="EC83" s="192"/>
      <c r="ED83" s="192"/>
      <c r="EE83" s="154"/>
      <c r="EF83" s="154"/>
    </row>
    <row r="84" spans="2:136" ht="14.4" thickTop="1" thickBot="1">
      <c r="B84" s="1147">
        <v>31</v>
      </c>
      <c r="C84" s="1147"/>
      <c r="D84" s="1821"/>
      <c r="E84" s="1865">
        <v>15311409.862436814</v>
      </c>
      <c r="F84" s="1">
        <v>31</v>
      </c>
      <c r="G84" s="1">
        <v>0</v>
      </c>
      <c r="H84" s="2">
        <v>0</v>
      </c>
      <c r="I84" s="2">
        <v>0</v>
      </c>
      <c r="J84" s="2">
        <v>0</v>
      </c>
      <c r="K84" s="2">
        <v>0</v>
      </c>
      <c r="L84" s="2">
        <v>62.847993380349941</v>
      </c>
      <c r="M84" s="2">
        <v>37.152006619650045</v>
      </c>
      <c r="N84" s="2">
        <v>0</v>
      </c>
      <c r="O84" s="2">
        <v>0</v>
      </c>
      <c r="P84" s="2">
        <v>0</v>
      </c>
      <c r="Q84" s="2"/>
      <c r="R84" s="2"/>
      <c r="S84" s="2"/>
      <c r="T84" s="114">
        <v>31</v>
      </c>
      <c r="U84" s="1145">
        <f t="shared" si="283"/>
        <v>0</v>
      </c>
      <c r="V84" s="1145">
        <f t="shared" si="284"/>
        <v>0</v>
      </c>
      <c r="W84" s="1145">
        <f t="shared" si="285"/>
        <v>0</v>
      </c>
      <c r="X84" s="1145">
        <f t="shared" si="286"/>
        <v>0</v>
      </c>
      <c r="Y84" s="1145">
        <f t="shared" si="287"/>
        <v>0</v>
      </c>
      <c r="Z84" s="1145">
        <f t="shared" si="288"/>
        <v>9622913.856782537</v>
      </c>
      <c r="AA84" s="1145">
        <f t="shared" si="289"/>
        <v>5688496.0056542754</v>
      </c>
      <c r="AB84" s="1145">
        <f t="shared" si="290"/>
        <v>0</v>
      </c>
      <c r="AC84" s="1145">
        <f t="shared" si="291"/>
        <v>0</v>
      </c>
      <c r="AD84" s="1145">
        <f t="shared" si="292"/>
        <v>0</v>
      </c>
      <c r="AE84" s="1145"/>
      <c r="AF84" s="114">
        <v>31</v>
      </c>
      <c r="AG84" s="1145">
        <f t="shared" si="254"/>
        <v>0</v>
      </c>
      <c r="AH84" s="1145">
        <f t="shared" si="255"/>
        <v>0</v>
      </c>
      <c r="AI84" s="1145">
        <f t="shared" si="256"/>
        <v>0</v>
      </c>
      <c r="AJ84" s="1145">
        <f t="shared" si="257"/>
        <v>0</v>
      </c>
      <c r="AK84" s="1145">
        <f t="shared" si="258"/>
        <v>0</v>
      </c>
      <c r="AL84" s="1145">
        <f t="shared" si="259"/>
        <v>298310329.56025863</v>
      </c>
      <c r="AM84" s="1145">
        <f t="shared" si="260"/>
        <v>176343376.17528254</v>
      </c>
      <c r="AN84" s="1145">
        <f t="shared" si="261"/>
        <v>0</v>
      </c>
      <c r="AO84" s="1145">
        <f t="shared" si="262"/>
        <v>0</v>
      </c>
      <c r="AP84" s="1145">
        <f t="shared" si="263"/>
        <v>0</v>
      </c>
      <c r="AQ84" s="1303"/>
      <c r="AR84" s="1"/>
      <c r="AS84" s="1147">
        <v>31</v>
      </c>
      <c r="AT84" s="1147"/>
      <c r="AU84" s="1821"/>
      <c r="AV84" s="1865">
        <v>17687524.667487357</v>
      </c>
      <c r="AW84" s="1">
        <v>31</v>
      </c>
      <c r="AX84" s="666"/>
      <c r="AY84" s="955"/>
      <c r="AZ84" s="1852"/>
      <c r="BA84" s="1852"/>
      <c r="BB84" s="1852"/>
      <c r="BC84" s="1852">
        <v>16.666666666666668</v>
      </c>
      <c r="BD84" s="1852">
        <v>83.333333333333329</v>
      </c>
      <c r="BE84" s="1852"/>
      <c r="BF84" s="1456"/>
      <c r="BG84" s="1456"/>
      <c r="BH84" s="2"/>
      <c r="BI84" s="2"/>
      <c r="BJ84" s="2"/>
      <c r="BK84" s="114">
        <v>31</v>
      </c>
      <c r="BL84" s="1145">
        <f t="shared" si="293"/>
        <v>0</v>
      </c>
      <c r="BM84" s="1145">
        <f t="shared" si="307"/>
        <v>0</v>
      </c>
      <c r="BN84" s="1145">
        <f t="shared" si="308"/>
        <v>0</v>
      </c>
      <c r="BO84" s="1145">
        <f t="shared" si="309"/>
        <v>0</v>
      </c>
      <c r="BP84" s="1145">
        <f t="shared" si="310"/>
        <v>0</v>
      </c>
      <c r="BQ84" s="1145">
        <f t="shared" si="311"/>
        <v>2947920.7779145599</v>
      </c>
      <c r="BR84" s="1145">
        <f t="shared" si="312"/>
        <v>14739603.889572797</v>
      </c>
      <c r="BS84" s="1145">
        <f t="shared" si="313"/>
        <v>0</v>
      </c>
      <c r="BT84" s="1145">
        <f t="shared" si="314"/>
        <v>0</v>
      </c>
      <c r="BU84" s="1145">
        <f t="shared" si="315"/>
        <v>0</v>
      </c>
      <c r="BV84" s="1145"/>
      <c r="BW84" s="114">
        <v>31</v>
      </c>
      <c r="BX84" s="1145">
        <f t="shared" si="273"/>
        <v>0</v>
      </c>
      <c r="BY84" s="1145">
        <f t="shared" si="316"/>
        <v>0</v>
      </c>
      <c r="BZ84" s="1145">
        <f t="shared" si="317"/>
        <v>0</v>
      </c>
      <c r="CA84" s="1145">
        <f t="shared" si="318"/>
        <v>0</v>
      </c>
      <c r="CB84" s="1145">
        <f t="shared" si="319"/>
        <v>0</v>
      </c>
      <c r="CC84" s="1145">
        <f t="shared" si="320"/>
        <v>91385544.115351364</v>
      </c>
      <c r="CD84" s="1145">
        <f t="shared" si="321"/>
        <v>456927720.57675672</v>
      </c>
      <c r="CE84" s="1145">
        <f t="shared" si="322"/>
        <v>0</v>
      </c>
      <c r="CF84" s="1145">
        <f t="shared" si="323"/>
        <v>0</v>
      </c>
      <c r="CG84" s="1145">
        <f t="shared" si="324"/>
        <v>0</v>
      </c>
      <c r="CH84" s="1303"/>
      <c r="CM84" s="638"/>
      <c r="CN84" s="638"/>
      <c r="CO84" s="1860">
        <v>29</v>
      </c>
      <c r="CP84" s="1860"/>
      <c r="CQ84" s="1868"/>
      <c r="CR84" s="1867">
        <v>788300.43707953172</v>
      </c>
      <c r="CS84" s="638">
        <v>29</v>
      </c>
      <c r="CT84" s="672"/>
      <c r="CU84" s="957"/>
      <c r="CV84" s="957"/>
      <c r="CW84" s="957">
        <v>10</v>
      </c>
      <c r="CX84" s="957">
        <v>60</v>
      </c>
      <c r="CY84" s="673">
        <v>30</v>
      </c>
      <c r="CZ84" s="957"/>
      <c r="DA84" s="957"/>
      <c r="DB84" s="957"/>
      <c r="DC84" s="957"/>
      <c r="DD84" s="957"/>
      <c r="DE84" s="451"/>
      <c r="DF84" s="681"/>
      <c r="DG84" s="679">
        <v>29</v>
      </c>
      <c r="DH84" s="1864">
        <f t="shared" si="336"/>
        <v>0</v>
      </c>
      <c r="DI84" s="1864">
        <f t="shared" si="337"/>
        <v>0</v>
      </c>
      <c r="DJ84" s="1864">
        <f t="shared" si="338"/>
        <v>0</v>
      </c>
      <c r="DK84" s="1864">
        <f t="shared" si="339"/>
        <v>78830.043707953169</v>
      </c>
      <c r="DL84" s="1864">
        <f t="shared" si="340"/>
        <v>472980.26224771905</v>
      </c>
      <c r="DM84" s="1864">
        <f t="shared" si="341"/>
        <v>236490.13112385952</v>
      </c>
      <c r="DN84" s="1864">
        <f t="shared" si="342"/>
        <v>0</v>
      </c>
      <c r="DO84" s="1864">
        <f t="shared" si="343"/>
        <v>0</v>
      </c>
      <c r="DP84" s="1864">
        <f t="shared" si="344"/>
        <v>0</v>
      </c>
      <c r="DQ84" s="1864">
        <f t="shared" si="345"/>
        <v>0</v>
      </c>
      <c r="DR84" s="956">
        <v>0</v>
      </c>
      <c r="DS84" s="680">
        <f t="shared" si="305"/>
        <v>788300.43707953172</v>
      </c>
      <c r="DT84" s="192"/>
      <c r="DU84" s="192"/>
      <c r="DV84" s="192"/>
      <c r="DW84" s="192"/>
      <c r="DX84" s="192"/>
      <c r="DY84" s="192"/>
      <c r="DZ84" s="192"/>
      <c r="EA84" s="192"/>
      <c r="EB84" s="192"/>
      <c r="EC84" s="192"/>
      <c r="ED84" s="192"/>
      <c r="EE84" s="154"/>
      <c r="EF84" s="154"/>
    </row>
    <row r="85" spans="2:136" ht="14.4" thickTop="1" thickBot="1">
      <c r="B85" s="1147">
        <v>32</v>
      </c>
      <c r="C85" s="1147"/>
      <c r="D85" s="1821"/>
      <c r="E85" s="1865">
        <v>6534700.716385507</v>
      </c>
      <c r="F85" s="1">
        <v>32</v>
      </c>
      <c r="G85" s="1">
        <v>0</v>
      </c>
      <c r="H85" s="2">
        <v>0</v>
      </c>
      <c r="I85" s="2">
        <v>0</v>
      </c>
      <c r="J85" s="2">
        <v>0</v>
      </c>
      <c r="K85" s="2">
        <v>0</v>
      </c>
      <c r="L85" s="2">
        <v>43.707301577116077</v>
      </c>
      <c r="M85" s="2">
        <v>56.292698422883923</v>
      </c>
      <c r="N85" s="2">
        <v>0</v>
      </c>
      <c r="O85" s="2">
        <v>0</v>
      </c>
      <c r="P85" s="2">
        <v>0</v>
      </c>
      <c r="Q85" s="2"/>
      <c r="R85" s="2"/>
      <c r="S85" s="2"/>
      <c r="T85" s="114">
        <v>32</v>
      </c>
      <c r="U85" s="1145">
        <f t="shared" si="283"/>
        <v>0</v>
      </c>
      <c r="V85" s="1145">
        <f t="shared" si="284"/>
        <v>0</v>
      </c>
      <c r="W85" s="1145">
        <f t="shared" si="285"/>
        <v>0</v>
      </c>
      <c r="X85" s="1145">
        <f t="shared" si="286"/>
        <v>0</v>
      </c>
      <c r="Y85" s="1145">
        <f t="shared" si="287"/>
        <v>0</v>
      </c>
      <c r="Z85" s="1145">
        <f t="shared" si="288"/>
        <v>2856141.3492725785</v>
      </c>
      <c r="AA85" s="1145">
        <f t="shared" si="289"/>
        <v>3678559.3671129285</v>
      </c>
      <c r="AB85" s="1145">
        <f t="shared" si="290"/>
        <v>0</v>
      </c>
      <c r="AC85" s="1145">
        <f t="shared" si="291"/>
        <v>0</v>
      </c>
      <c r="AD85" s="1145">
        <f t="shared" si="292"/>
        <v>0</v>
      </c>
      <c r="AE85" s="1145"/>
      <c r="AF85" s="114">
        <v>32</v>
      </c>
      <c r="AG85" s="1145">
        <f t="shared" si="254"/>
        <v>0</v>
      </c>
      <c r="AH85" s="1145">
        <f t="shared" si="255"/>
        <v>0</v>
      </c>
      <c r="AI85" s="1145">
        <f t="shared" si="256"/>
        <v>0</v>
      </c>
      <c r="AJ85" s="1145">
        <f t="shared" si="257"/>
        <v>0</v>
      </c>
      <c r="AK85" s="1145">
        <f t="shared" si="258"/>
        <v>0</v>
      </c>
      <c r="AL85" s="1145">
        <f t="shared" si="259"/>
        <v>91396523.176722512</v>
      </c>
      <c r="AM85" s="1145">
        <f t="shared" si="260"/>
        <v>117713899.74761371</v>
      </c>
      <c r="AN85" s="1145">
        <f t="shared" si="261"/>
        <v>0</v>
      </c>
      <c r="AO85" s="1145">
        <f t="shared" si="262"/>
        <v>0</v>
      </c>
      <c r="AP85" s="1145">
        <f t="shared" si="263"/>
        <v>0</v>
      </c>
      <c r="AQ85" s="1303"/>
      <c r="AR85" s="1"/>
      <c r="AS85" s="1147">
        <v>32</v>
      </c>
      <c r="AT85" s="1147"/>
      <c r="AU85" s="1821"/>
      <c r="AV85" s="1865">
        <v>16977313.853868667</v>
      </c>
      <c r="AW85" s="1">
        <v>32</v>
      </c>
      <c r="AX85" s="666"/>
      <c r="AY85" s="955"/>
      <c r="AZ85" s="1852"/>
      <c r="BA85" s="1852"/>
      <c r="BB85" s="1852"/>
      <c r="BC85" s="1852">
        <v>16.666666666666668</v>
      </c>
      <c r="BD85" s="1852">
        <v>66.67</v>
      </c>
      <c r="BE85" s="1852">
        <v>16.666666666666668</v>
      </c>
      <c r="BF85" s="1456"/>
      <c r="BG85" s="1456"/>
      <c r="BH85" s="2"/>
      <c r="BI85" s="2"/>
      <c r="BJ85" s="2"/>
      <c r="BK85" s="114">
        <v>32</v>
      </c>
      <c r="BL85" s="1145">
        <f t="shared" si="293"/>
        <v>0</v>
      </c>
      <c r="BM85" s="1145">
        <f t="shared" si="307"/>
        <v>0</v>
      </c>
      <c r="BN85" s="1145">
        <f t="shared" si="308"/>
        <v>0</v>
      </c>
      <c r="BO85" s="1145">
        <f t="shared" si="309"/>
        <v>0</v>
      </c>
      <c r="BP85" s="1145">
        <f t="shared" si="310"/>
        <v>0</v>
      </c>
      <c r="BQ85" s="1145">
        <f t="shared" si="311"/>
        <v>2829552.308978111</v>
      </c>
      <c r="BR85" s="1145">
        <f t="shared" si="312"/>
        <v>11318775.146374241</v>
      </c>
      <c r="BS85" s="1145">
        <f t="shared" si="313"/>
        <v>2829552.308978111</v>
      </c>
      <c r="BT85" s="1145">
        <f t="shared" si="314"/>
        <v>0</v>
      </c>
      <c r="BU85" s="1145">
        <f t="shared" si="315"/>
        <v>0</v>
      </c>
      <c r="BV85" s="1145"/>
      <c r="BW85" s="114">
        <v>32</v>
      </c>
      <c r="BX85" s="1145">
        <f t="shared" si="273"/>
        <v>0</v>
      </c>
      <c r="BY85" s="1145">
        <f t="shared" si="316"/>
        <v>0</v>
      </c>
      <c r="BZ85" s="1145">
        <f t="shared" si="317"/>
        <v>0</v>
      </c>
      <c r="CA85" s="1145">
        <f t="shared" si="318"/>
        <v>0</v>
      </c>
      <c r="CB85" s="1145">
        <f t="shared" si="319"/>
        <v>0</v>
      </c>
      <c r="CC85" s="1145">
        <f t="shared" si="320"/>
        <v>90545673.887299553</v>
      </c>
      <c r="CD85" s="1145">
        <f t="shared" si="321"/>
        <v>362200804.6839757</v>
      </c>
      <c r="CE85" s="1145">
        <f t="shared" si="322"/>
        <v>90545673.887299553</v>
      </c>
      <c r="CF85" s="1145">
        <f t="shared" si="323"/>
        <v>0</v>
      </c>
      <c r="CG85" s="1145">
        <f t="shared" si="324"/>
        <v>0</v>
      </c>
      <c r="CH85" s="1303"/>
      <c r="CM85" s="638"/>
      <c r="CN85" s="638"/>
      <c r="CO85" s="1860">
        <v>30</v>
      </c>
      <c r="CP85" s="1860"/>
      <c r="CQ85" s="1868"/>
      <c r="CR85" s="1867">
        <v>266415.24325205595</v>
      </c>
      <c r="CS85" s="638">
        <v>30</v>
      </c>
      <c r="CT85" s="672"/>
      <c r="CU85" s="957"/>
      <c r="CV85" s="957"/>
      <c r="CW85" s="957"/>
      <c r="CX85" s="957">
        <v>20</v>
      </c>
      <c r="CY85" s="673">
        <v>60</v>
      </c>
      <c r="CZ85" s="957">
        <v>20</v>
      </c>
      <c r="DA85" s="957"/>
      <c r="DB85" s="957"/>
      <c r="DC85" s="957"/>
      <c r="DD85" s="957"/>
      <c r="DE85" s="451"/>
      <c r="DF85" s="681"/>
      <c r="DG85" s="679">
        <v>30</v>
      </c>
      <c r="DH85" s="1864">
        <f t="shared" si="336"/>
        <v>0</v>
      </c>
      <c r="DI85" s="1864">
        <f t="shared" si="337"/>
        <v>0</v>
      </c>
      <c r="DJ85" s="1864">
        <f t="shared" si="338"/>
        <v>0</v>
      </c>
      <c r="DK85" s="1864">
        <f t="shared" si="339"/>
        <v>0</v>
      </c>
      <c r="DL85" s="1864">
        <f t="shared" si="340"/>
        <v>53283.04865041119</v>
      </c>
      <c r="DM85" s="1864">
        <f t="shared" si="341"/>
        <v>159849.14595123357</v>
      </c>
      <c r="DN85" s="1864">
        <f t="shared" si="342"/>
        <v>53283.04865041119</v>
      </c>
      <c r="DO85" s="1864">
        <f t="shared" si="343"/>
        <v>0</v>
      </c>
      <c r="DP85" s="1864">
        <f t="shared" si="344"/>
        <v>0</v>
      </c>
      <c r="DQ85" s="1864">
        <f t="shared" si="345"/>
        <v>0</v>
      </c>
      <c r="DR85" s="956">
        <v>0</v>
      </c>
      <c r="DS85" s="680">
        <f t="shared" si="305"/>
        <v>266415.24325205595</v>
      </c>
      <c r="DT85" s="192"/>
      <c r="DU85" s="192"/>
      <c r="DV85" s="192"/>
      <c r="DW85" s="192"/>
      <c r="DX85" s="192"/>
      <c r="DY85" s="192"/>
      <c r="DZ85" s="192"/>
      <c r="EA85" s="192"/>
      <c r="EB85" s="192"/>
      <c r="EC85" s="192"/>
      <c r="ED85" s="192"/>
      <c r="EE85" s="154"/>
      <c r="EF85" s="154"/>
    </row>
    <row r="86" spans="2:136" ht="14.4" thickTop="1" thickBot="1">
      <c r="B86" s="1147">
        <v>33</v>
      </c>
      <c r="C86" s="1147"/>
      <c r="D86" s="1821"/>
      <c r="E86" s="1865">
        <v>3447665.8151822244</v>
      </c>
      <c r="F86" s="1">
        <v>33</v>
      </c>
      <c r="G86" s="1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100</v>
      </c>
      <c r="N86" s="2">
        <v>0</v>
      </c>
      <c r="O86" s="2">
        <v>0</v>
      </c>
      <c r="P86" s="2">
        <v>0</v>
      </c>
      <c r="Q86" s="2"/>
      <c r="R86" s="2"/>
      <c r="S86" s="2"/>
      <c r="T86" s="114">
        <v>33</v>
      </c>
      <c r="U86" s="1145">
        <f t="shared" si="283"/>
        <v>0</v>
      </c>
      <c r="V86" s="1145">
        <f t="shared" si="284"/>
        <v>0</v>
      </c>
      <c r="W86" s="1145">
        <f t="shared" si="285"/>
        <v>0</v>
      </c>
      <c r="X86" s="1145">
        <f t="shared" si="286"/>
        <v>0</v>
      </c>
      <c r="Y86" s="1145">
        <f t="shared" si="287"/>
        <v>0</v>
      </c>
      <c r="Z86" s="1145">
        <f t="shared" si="288"/>
        <v>0</v>
      </c>
      <c r="AA86" s="1145">
        <f t="shared" si="289"/>
        <v>3447665.8151822244</v>
      </c>
      <c r="AB86" s="1145">
        <f t="shared" si="290"/>
        <v>0</v>
      </c>
      <c r="AC86" s="1145">
        <f t="shared" si="291"/>
        <v>0</v>
      </c>
      <c r="AD86" s="1145">
        <f t="shared" si="292"/>
        <v>0</v>
      </c>
      <c r="AE86" s="1145"/>
      <c r="AF86" s="114">
        <v>33</v>
      </c>
      <c r="AG86" s="1145">
        <f t="shared" si="254"/>
        <v>0</v>
      </c>
      <c r="AH86" s="1145">
        <f t="shared" si="255"/>
        <v>0</v>
      </c>
      <c r="AI86" s="1145">
        <f t="shared" si="256"/>
        <v>0</v>
      </c>
      <c r="AJ86" s="1145">
        <f t="shared" si="257"/>
        <v>0</v>
      </c>
      <c r="AK86" s="1145">
        <f t="shared" si="258"/>
        <v>0</v>
      </c>
      <c r="AL86" s="1145">
        <f t="shared" si="259"/>
        <v>0</v>
      </c>
      <c r="AM86" s="1145">
        <f t="shared" si="260"/>
        <v>113772971.9010134</v>
      </c>
      <c r="AN86" s="1145">
        <f t="shared" si="261"/>
        <v>0</v>
      </c>
      <c r="AO86" s="1145">
        <f t="shared" si="262"/>
        <v>0</v>
      </c>
      <c r="AP86" s="1145">
        <f t="shared" si="263"/>
        <v>0</v>
      </c>
      <c r="AQ86" s="1303"/>
      <c r="AR86" s="1"/>
      <c r="AS86" s="1147">
        <v>33</v>
      </c>
      <c r="AT86" s="1147"/>
      <c r="AU86" s="1821"/>
      <c r="AV86" s="1865">
        <v>15469357.033883518</v>
      </c>
      <c r="AW86" s="1">
        <v>33</v>
      </c>
      <c r="AX86" s="666"/>
      <c r="AY86" s="955"/>
      <c r="AZ86" s="1852"/>
      <c r="BA86" s="1852"/>
      <c r="BB86" s="1852"/>
      <c r="BC86" s="1852"/>
      <c r="BD86" s="1852">
        <v>33.333333333333336</v>
      </c>
      <c r="BE86" s="1852">
        <v>66.666666666666671</v>
      </c>
      <c r="BF86" s="1456"/>
      <c r="BG86" s="1456"/>
      <c r="BH86" s="2"/>
      <c r="BI86" s="2"/>
      <c r="BJ86" s="2"/>
      <c r="BK86" s="114">
        <v>33</v>
      </c>
      <c r="BL86" s="1145">
        <f t="shared" si="293"/>
        <v>0</v>
      </c>
      <c r="BM86" s="1145">
        <f t="shared" si="307"/>
        <v>0</v>
      </c>
      <c r="BN86" s="1145">
        <f t="shared" si="308"/>
        <v>0</v>
      </c>
      <c r="BO86" s="1145">
        <f t="shared" si="309"/>
        <v>0</v>
      </c>
      <c r="BP86" s="1145">
        <f t="shared" si="310"/>
        <v>0</v>
      </c>
      <c r="BQ86" s="1145">
        <f t="shared" si="311"/>
        <v>0</v>
      </c>
      <c r="BR86" s="1145">
        <f t="shared" si="312"/>
        <v>5156452.3446278395</v>
      </c>
      <c r="BS86" s="1145">
        <f t="shared" si="313"/>
        <v>10312904.689255679</v>
      </c>
      <c r="BT86" s="1145">
        <f t="shared" si="314"/>
        <v>0</v>
      </c>
      <c r="BU86" s="1145">
        <f t="shared" si="315"/>
        <v>0</v>
      </c>
      <c r="BV86" s="1145"/>
      <c r="BW86" s="114">
        <v>33</v>
      </c>
      <c r="BX86" s="1145">
        <f t="shared" si="273"/>
        <v>0</v>
      </c>
      <c r="BY86" s="1145">
        <f t="shared" si="316"/>
        <v>0</v>
      </c>
      <c r="BZ86" s="1145">
        <f t="shared" si="317"/>
        <v>0</v>
      </c>
      <c r="CA86" s="1145">
        <f t="shared" si="318"/>
        <v>0</v>
      </c>
      <c r="CB86" s="1145">
        <f t="shared" si="319"/>
        <v>0</v>
      </c>
      <c r="CC86" s="1145">
        <f t="shared" si="320"/>
        <v>0</v>
      </c>
      <c r="CD86" s="1145">
        <f t="shared" si="321"/>
        <v>170162927.37271869</v>
      </c>
      <c r="CE86" s="1145">
        <f t="shared" si="322"/>
        <v>340325854.74543738</v>
      </c>
      <c r="CF86" s="1145">
        <f t="shared" si="323"/>
        <v>0</v>
      </c>
      <c r="CG86" s="1145">
        <f t="shared" si="324"/>
        <v>0</v>
      </c>
      <c r="CH86" s="1303"/>
      <c r="CM86" s="638"/>
      <c r="CN86" s="638"/>
      <c r="CO86" s="1860">
        <v>31</v>
      </c>
      <c r="CP86" s="1860"/>
      <c r="CQ86" s="1868"/>
      <c r="CR86" s="1867">
        <v>106984.67364580093</v>
      </c>
      <c r="CS86" s="638">
        <v>31</v>
      </c>
      <c r="CT86" s="672"/>
      <c r="CU86" s="957"/>
      <c r="CV86" s="957"/>
      <c r="CW86" s="957"/>
      <c r="CX86" s="957">
        <v>16.666666666666668</v>
      </c>
      <c r="CY86" s="673">
        <v>33.333333333333336</v>
      </c>
      <c r="CZ86" s="957">
        <v>33.333333333333336</v>
      </c>
      <c r="DA86" s="957">
        <v>16.666666666666668</v>
      </c>
      <c r="DB86" s="957"/>
      <c r="DC86" s="957"/>
      <c r="DD86" s="957"/>
      <c r="DE86" s="451"/>
      <c r="DF86" s="681"/>
      <c r="DG86" s="679">
        <v>31</v>
      </c>
      <c r="DH86" s="1864">
        <f t="shared" si="336"/>
        <v>0</v>
      </c>
      <c r="DI86" s="1864">
        <f t="shared" si="337"/>
        <v>0</v>
      </c>
      <c r="DJ86" s="1864">
        <f t="shared" si="338"/>
        <v>0</v>
      </c>
      <c r="DK86" s="1864">
        <f t="shared" si="339"/>
        <v>0</v>
      </c>
      <c r="DL86" s="1864">
        <f t="shared" si="340"/>
        <v>17830.778940966822</v>
      </c>
      <c r="DM86" s="1864">
        <f t="shared" si="341"/>
        <v>35661.557881933644</v>
      </c>
      <c r="DN86" s="1864">
        <f t="shared" si="342"/>
        <v>35661.557881933644</v>
      </c>
      <c r="DO86" s="1864">
        <f t="shared" si="343"/>
        <v>17830.778940966822</v>
      </c>
      <c r="DP86" s="1864">
        <f t="shared" si="344"/>
        <v>0</v>
      </c>
      <c r="DQ86" s="1864">
        <f t="shared" si="345"/>
        <v>0</v>
      </c>
      <c r="DR86" s="956">
        <v>0</v>
      </c>
      <c r="DS86" s="680">
        <f t="shared" si="305"/>
        <v>106984.67364580094</v>
      </c>
      <c r="DT86" s="192"/>
      <c r="DU86" s="192"/>
      <c r="DV86" s="192"/>
      <c r="DW86" s="192"/>
      <c r="DX86" s="192"/>
      <c r="DY86" s="192"/>
      <c r="DZ86" s="192"/>
      <c r="EA86" s="192"/>
      <c r="EB86" s="192"/>
      <c r="EC86" s="192"/>
      <c r="ED86" s="192"/>
      <c r="EE86" s="154"/>
      <c r="EF86" s="154"/>
    </row>
    <row r="87" spans="2:136" ht="14.4" thickTop="1" thickBot="1">
      <c r="B87" s="1147">
        <v>34</v>
      </c>
      <c r="C87" s="1147"/>
      <c r="D87" s="1821"/>
      <c r="E87" s="1865">
        <v>1121279.8277802255</v>
      </c>
      <c r="F87" s="1">
        <v>34</v>
      </c>
      <c r="G87" s="1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100</v>
      </c>
      <c r="O87" s="2">
        <v>0</v>
      </c>
      <c r="P87" s="2">
        <v>0</v>
      </c>
      <c r="Q87" s="2"/>
      <c r="R87" s="2"/>
      <c r="S87" s="2"/>
      <c r="T87" s="114">
        <v>34</v>
      </c>
      <c r="U87" s="1145">
        <f t="shared" si="283"/>
        <v>0</v>
      </c>
      <c r="V87" s="1145">
        <f t="shared" si="284"/>
        <v>0</v>
      </c>
      <c r="W87" s="1145">
        <f t="shared" si="285"/>
        <v>0</v>
      </c>
      <c r="X87" s="1145">
        <f t="shared" si="286"/>
        <v>0</v>
      </c>
      <c r="Y87" s="1145">
        <f t="shared" si="287"/>
        <v>0</v>
      </c>
      <c r="Z87" s="1145">
        <f t="shared" si="288"/>
        <v>0</v>
      </c>
      <c r="AA87" s="1145">
        <f t="shared" si="289"/>
        <v>0</v>
      </c>
      <c r="AB87" s="1145">
        <f t="shared" si="290"/>
        <v>1121279.8277802255</v>
      </c>
      <c r="AC87" s="1145">
        <f t="shared" si="291"/>
        <v>0</v>
      </c>
      <c r="AD87" s="1145">
        <f t="shared" si="292"/>
        <v>0</v>
      </c>
      <c r="AE87" s="1145"/>
      <c r="AF87" s="114">
        <v>34</v>
      </c>
      <c r="AG87" s="1145">
        <f t="shared" si="254"/>
        <v>0</v>
      </c>
      <c r="AH87" s="1145">
        <f t="shared" si="255"/>
        <v>0</v>
      </c>
      <c r="AI87" s="1145">
        <f t="shared" si="256"/>
        <v>0</v>
      </c>
      <c r="AJ87" s="1145">
        <f t="shared" si="257"/>
        <v>0</v>
      </c>
      <c r="AK87" s="1145">
        <f t="shared" si="258"/>
        <v>0</v>
      </c>
      <c r="AL87" s="1145">
        <f t="shared" si="259"/>
        <v>0</v>
      </c>
      <c r="AM87" s="1145">
        <f t="shared" si="260"/>
        <v>0</v>
      </c>
      <c r="AN87" s="1145">
        <f t="shared" si="261"/>
        <v>38123514.144527666</v>
      </c>
      <c r="AO87" s="1145">
        <f t="shared" si="262"/>
        <v>0</v>
      </c>
      <c r="AP87" s="1145">
        <f t="shared" si="263"/>
        <v>0</v>
      </c>
      <c r="AQ87" s="1303"/>
      <c r="AR87" s="1"/>
      <c r="AS87" s="1147">
        <v>34</v>
      </c>
      <c r="AT87" s="1147"/>
      <c r="AU87" s="1821"/>
      <c r="AV87" s="1865">
        <v>8299955.8112794803</v>
      </c>
      <c r="AW87" s="1">
        <v>34</v>
      </c>
      <c r="AX87" s="666"/>
      <c r="AY87" s="955"/>
      <c r="AZ87" s="1852"/>
      <c r="BA87" s="1852"/>
      <c r="BB87" s="1852"/>
      <c r="BC87" s="1852"/>
      <c r="BD87" s="1852">
        <v>20</v>
      </c>
      <c r="BE87" s="1852">
        <v>80</v>
      </c>
      <c r="BF87" s="1456"/>
      <c r="BG87" s="1456"/>
      <c r="BH87" s="2"/>
      <c r="BI87" s="2"/>
      <c r="BJ87" s="2"/>
      <c r="BK87" s="114">
        <v>34</v>
      </c>
      <c r="BL87" s="1145">
        <f t="shared" si="293"/>
        <v>0</v>
      </c>
      <c r="BM87" s="1145">
        <f t="shared" si="307"/>
        <v>0</v>
      </c>
      <c r="BN87" s="1145">
        <f t="shared" si="308"/>
        <v>0</v>
      </c>
      <c r="BO87" s="1145">
        <f t="shared" si="309"/>
        <v>0</v>
      </c>
      <c r="BP87" s="1145">
        <f t="shared" si="310"/>
        <v>0</v>
      </c>
      <c r="BQ87" s="1145">
        <f t="shared" si="311"/>
        <v>0</v>
      </c>
      <c r="BR87" s="1145">
        <f t="shared" si="312"/>
        <v>1659991.162255896</v>
      </c>
      <c r="BS87" s="1145">
        <f t="shared" si="313"/>
        <v>6639964.6490235841</v>
      </c>
      <c r="BT87" s="1145">
        <f t="shared" si="314"/>
        <v>0</v>
      </c>
      <c r="BU87" s="1145">
        <f t="shared" si="315"/>
        <v>0</v>
      </c>
      <c r="BV87" s="1145"/>
      <c r="BW87" s="114">
        <v>34</v>
      </c>
      <c r="BX87" s="1145">
        <f t="shared" si="273"/>
        <v>0</v>
      </c>
      <c r="BY87" s="1145">
        <f t="shared" si="316"/>
        <v>0</v>
      </c>
      <c r="BZ87" s="1145">
        <f t="shared" si="317"/>
        <v>0</v>
      </c>
      <c r="CA87" s="1145">
        <f t="shared" si="318"/>
        <v>0</v>
      </c>
      <c r="CB87" s="1145">
        <f t="shared" si="319"/>
        <v>0</v>
      </c>
      <c r="CC87" s="1145">
        <f t="shared" si="320"/>
        <v>0</v>
      </c>
      <c r="CD87" s="1145">
        <f t="shared" si="321"/>
        <v>56439699.516700462</v>
      </c>
      <c r="CE87" s="1145">
        <f t="shared" si="322"/>
        <v>225758798.06680185</v>
      </c>
      <c r="CF87" s="1145">
        <f t="shared" si="323"/>
        <v>0</v>
      </c>
      <c r="CG87" s="1145">
        <f t="shared" si="324"/>
        <v>0</v>
      </c>
      <c r="CH87" s="1303"/>
      <c r="CM87" s="638"/>
      <c r="CN87" s="638"/>
      <c r="CO87" s="1860">
        <v>32</v>
      </c>
      <c r="CP87" s="1860"/>
      <c r="CQ87" s="1868"/>
      <c r="CR87" s="1867">
        <v>88692.062650495529</v>
      </c>
      <c r="CS87" s="638">
        <v>32</v>
      </c>
      <c r="CT87" s="672"/>
      <c r="CU87" s="957"/>
      <c r="CV87" s="957"/>
      <c r="CW87" s="957"/>
      <c r="CX87" s="957"/>
      <c r="CY87" s="673"/>
      <c r="CZ87" s="957">
        <v>50</v>
      </c>
      <c r="DA87" s="957">
        <v>50</v>
      </c>
      <c r="DB87" s="957"/>
      <c r="DC87" s="957"/>
      <c r="DD87" s="957"/>
      <c r="DE87" s="451"/>
      <c r="DF87" s="681"/>
      <c r="DG87" s="679">
        <v>32</v>
      </c>
      <c r="DH87" s="1864">
        <f t="shared" si="336"/>
        <v>0</v>
      </c>
      <c r="DI87" s="1864">
        <f t="shared" si="337"/>
        <v>0</v>
      </c>
      <c r="DJ87" s="1864">
        <f t="shared" si="338"/>
        <v>0</v>
      </c>
      <c r="DK87" s="1864">
        <f t="shared" si="339"/>
        <v>0</v>
      </c>
      <c r="DL87" s="1864">
        <f t="shared" si="340"/>
        <v>0</v>
      </c>
      <c r="DM87" s="1864">
        <f t="shared" si="341"/>
        <v>0</v>
      </c>
      <c r="DN87" s="1864">
        <f t="shared" si="342"/>
        <v>44346.031325247764</v>
      </c>
      <c r="DO87" s="1864">
        <f t="shared" si="343"/>
        <v>44346.031325247764</v>
      </c>
      <c r="DP87" s="1864">
        <f t="shared" si="344"/>
        <v>0</v>
      </c>
      <c r="DQ87" s="1864">
        <f t="shared" si="345"/>
        <v>0</v>
      </c>
      <c r="DR87" s="956">
        <v>0</v>
      </c>
      <c r="DS87" s="680">
        <f t="shared" si="305"/>
        <v>88692.062650495529</v>
      </c>
      <c r="DT87" s="192"/>
      <c r="DU87" s="192"/>
      <c r="DV87" s="192"/>
      <c r="DW87" s="192"/>
      <c r="DX87" s="192"/>
      <c r="DY87" s="192"/>
      <c r="DZ87" s="192"/>
      <c r="EA87" s="192"/>
      <c r="EB87" s="192"/>
      <c r="EC87" s="192"/>
      <c r="ED87" s="192"/>
      <c r="EE87" s="154"/>
      <c r="EF87" s="154"/>
    </row>
    <row r="88" spans="2:136" ht="14.4" thickTop="1" thickBot="1">
      <c r="B88" s="1147">
        <v>35</v>
      </c>
      <c r="C88" s="1147"/>
      <c r="D88" s="1821"/>
      <c r="E88" s="1865">
        <v>459376.40835717891</v>
      </c>
      <c r="F88" s="1">
        <v>35</v>
      </c>
      <c r="G88" s="1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33.333333333333336</v>
      </c>
      <c r="N88" s="2">
        <v>66.666666666666671</v>
      </c>
      <c r="O88" s="2">
        <v>0</v>
      </c>
      <c r="P88" s="2">
        <v>0</v>
      </c>
      <c r="Q88" s="2"/>
      <c r="R88" s="2"/>
      <c r="S88" s="2"/>
      <c r="T88" s="114">
        <v>35</v>
      </c>
      <c r="U88" s="1145">
        <f t="shared" si="283"/>
        <v>0</v>
      </c>
      <c r="V88" s="1145">
        <f t="shared" si="284"/>
        <v>0</v>
      </c>
      <c r="W88" s="1145">
        <f t="shared" si="285"/>
        <v>0</v>
      </c>
      <c r="X88" s="1145">
        <f t="shared" si="286"/>
        <v>0</v>
      </c>
      <c r="Y88" s="1145">
        <f t="shared" si="287"/>
        <v>0</v>
      </c>
      <c r="Z88" s="1145">
        <f t="shared" si="288"/>
        <v>0</v>
      </c>
      <c r="AA88" s="1145">
        <f t="shared" si="289"/>
        <v>153125.46945239298</v>
      </c>
      <c r="AB88" s="1145">
        <f t="shared" si="290"/>
        <v>306250.93890478596</v>
      </c>
      <c r="AC88" s="1145">
        <f t="shared" si="291"/>
        <v>0</v>
      </c>
      <c r="AD88" s="1145">
        <f t="shared" si="292"/>
        <v>0</v>
      </c>
      <c r="AE88" s="1145"/>
      <c r="AF88" s="114">
        <v>35</v>
      </c>
      <c r="AG88" s="1145">
        <f t="shared" si="254"/>
        <v>0</v>
      </c>
      <c r="AH88" s="1145">
        <f t="shared" si="255"/>
        <v>0</v>
      </c>
      <c r="AI88" s="1145">
        <f t="shared" si="256"/>
        <v>0</v>
      </c>
      <c r="AJ88" s="1145">
        <f t="shared" si="257"/>
        <v>0</v>
      </c>
      <c r="AK88" s="1145">
        <f t="shared" si="258"/>
        <v>0</v>
      </c>
      <c r="AL88" s="1145">
        <f t="shared" si="259"/>
        <v>0</v>
      </c>
      <c r="AM88" s="1145">
        <f t="shared" si="260"/>
        <v>5359391.4308337541</v>
      </c>
      <c r="AN88" s="1145">
        <f t="shared" si="261"/>
        <v>10718782.861667508</v>
      </c>
      <c r="AO88" s="1145">
        <f t="shared" si="262"/>
        <v>0</v>
      </c>
      <c r="AP88" s="1145">
        <f t="shared" si="263"/>
        <v>0</v>
      </c>
      <c r="AQ88" s="1303"/>
      <c r="AR88" s="1"/>
      <c r="AS88" s="1147">
        <v>35</v>
      </c>
      <c r="AT88" s="1147"/>
      <c r="AU88" s="1821"/>
      <c r="AV88" s="1865">
        <v>3096323.1985554262</v>
      </c>
      <c r="AW88" s="1">
        <v>35</v>
      </c>
      <c r="AX88" s="553"/>
      <c r="AY88" s="554"/>
      <c r="AZ88" s="555"/>
      <c r="BA88" s="555"/>
      <c r="BB88" s="555"/>
      <c r="BC88" s="555"/>
      <c r="BD88" s="555"/>
      <c r="BE88" s="555">
        <v>66.666666666666671</v>
      </c>
      <c r="BF88" s="561">
        <v>33.333333333333336</v>
      </c>
      <c r="BG88" s="561"/>
      <c r="BH88" s="2"/>
      <c r="BI88" s="2"/>
      <c r="BJ88" s="2"/>
      <c r="BK88" s="114">
        <v>35</v>
      </c>
      <c r="BL88" s="1145">
        <f t="shared" si="293"/>
        <v>0</v>
      </c>
      <c r="BM88" s="1145">
        <f t="shared" si="307"/>
        <v>0</v>
      </c>
      <c r="BN88" s="1145">
        <f t="shared" si="308"/>
        <v>0</v>
      </c>
      <c r="BO88" s="1145">
        <f t="shared" si="309"/>
        <v>0</v>
      </c>
      <c r="BP88" s="1145">
        <f t="shared" si="310"/>
        <v>0</v>
      </c>
      <c r="BQ88" s="1145">
        <f t="shared" si="311"/>
        <v>0</v>
      </c>
      <c r="BR88" s="1145">
        <f t="shared" si="312"/>
        <v>0</v>
      </c>
      <c r="BS88" s="1145">
        <f t="shared" si="313"/>
        <v>2064215.4657036175</v>
      </c>
      <c r="BT88" s="1145">
        <f t="shared" si="314"/>
        <v>1032107.7328518088</v>
      </c>
      <c r="BU88" s="1145">
        <f t="shared" si="315"/>
        <v>0</v>
      </c>
      <c r="BV88" s="1145"/>
      <c r="BW88" s="114">
        <v>35</v>
      </c>
      <c r="BX88" s="1145">
        <f t="shared" si="273"/>
        <v>0</v>
      </c>
      <c r="BY88" s="1145">
        <f t="shared" si="316"/>
        <v>0</v>
      </c>
      <c r="BZ88" s="1145">
        <f t="shared" si="317"/>
        <v>0</v>
      </c>
      <c r="CA88" s="1145">
        <f t="shared" si="318"/>
        <v>0</v>
      </c>
      <c r="CB88" s="1145">
        <f t="shared" si="319"/>
        <v>0</v>
      </c>
      <c r="CC88" s="1145">
        <f t="shared" si="320"/>
        <v>0</v>
      </c>
      <c r="CD88" s="1145">
        <f t="shared" si="321"/>
        <v>0</v>
      </c>
      <c r="CE88" s="1145">
        <f t="shared" si="322"/>
        <v>72247541.299626619</v>
      </c>
      <c r="CF88" s="1145">
        <f t="shared" si="323"/>
        <v>36123770.649813309</v>
      </c>
      <c r="CG88" s="1145">
        <f t="shared" si="324"/>
        <v>0</v>
      </c>
      <c r="CH88" s="1303"/>
      <c r="CM88" s="638"/>
      <c r="CN88" s="638"/>
      <c r="CO88" s="1860">
        <v>33</v>
      </c>
      <c r="CP88" s="1860"/>
      <c r="CQ88" s="1868"/>
      <c r="CR88" s="1867">
        <v>41637.941136677553</v>
      </c>
      <c r="CS88" s="638">
        <v>33</v>
      </c>
      <c r="CT88" s="672"/>
      <c r="CU88" s="957"/>
      <c r="CV88" s="957"/>
      <c r="CW88" s="957"/>
      <c r="CX88" s="957"/>
      <c r="CY88" s="673"/>
      <c r="CZ88" s="957">
        <v>25</v>
      </c>
      <c r="DA88" s="957">
        <v>75</v>
      </c>
      <c r="DB88" s="957"/>
      <c r="DC88" s="957"/>
      <c r="DD88" s="957"/>
      <c r="DE88" s="451"/>
      <c r="DF88" s="681"/>
      <c r="DG88" s="679">
        <v>33</v>
      </c>
      <c r="DH88" s="1864">
        <f t="shared" si="336"/>
        <v>0</v>
      </c>
      <c r="DI88" s="1864">
        <f t="shared" si="337"/>
        <v>0</v>
      </c>
      <c r="DJ88" s="1864">
        <f t="shared" si="338"/>
        <v>0</v>
      </c>
      <c r="DK88" s="1864">
        <f t="shared" si="339"/>
        <v>0</v>
      </c>
      <c r="DL88" s="1864">
        <f t="shared" si="340"/>
        <v>0</v>
      </c>
      <c r="DM88" s="1864">
        <f t="shared" si="341"/>
        <v>0</v>
      </c>
      <c r="DN88" s="1864">
        <f t="shared" si="342"/>
        <v>10409.485284169388</v>
      </c>
      <c r="DO88" s="1864">
        <f t="shared" si="343"/>
        <v>31228.455852508163</v>
      </c>
      <c r="DP88" s="1864">
        <f t="shared" si="344"/>
        <v>0</v>
      </c>
      <c r="DQ88" s="1864">
        <f t="shared" si="345"/>
        <v>0</v>
      </c>
      <c r="DR88" s="956">
        <v>0</v>
      </c>
      <c r="DS88" s="680">
        <f t="shared" si="305"/>
        <v>41637.941136677553</v>
      </c>
      <c r="DT88" s="192"/>
      <c r="DU88" s="192"/>
      <c r="DV88" s="192"/>
      <c r="DW88" s="192"/>
      <c r="DX88" s="192"/>
      <c r="DY88" s="192"/>
      <c r="DZ88" s="192"/>
      <c r="EA88" s="192"/>
      <c r="EB88" s="192"/>
      <c r="EC88" s="192"/>
      <c r="ED88" s="192"/>
      <c r="EE88" s="154"/>
      <c r="EF88" s="154"/>
    </row>
    <row r="89" spans="2:136" ht="14.4" thickTop="1" thickBot="1">
      <c r="B89" s="1147">
        <v>36</v>
      </c>
      <c r="C89" s="1147"/>
      <c r="D89" s="1821"/>
      <c r="E89" s="1865">
        <v>0</v>
      </c>
      <c r="F89" s="1">
        <v>36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114">
        <v>36</v>
      </c>
      <c r="U89" s="1145">
        <f t="shared" si="283"/>
        <v>0</v>
      </c>
      <c r="V89" s="1145">
        <f t="shared" si="284"/>
        <v>0</v>
      </c>
      <c r="W89" s="1145">
        <f t="shared" si="285"/>
        <v>0</v>
      </c>
      <c r="X89" s="1145">
        <f t="shared" si="286"/>
        <v>0</v>
      </c>
      <c r="Y89" s="1145">
        <f t="shared" si="287"/>
        <v>0</v>
      </c>
      <c r="Z89" s="1145">
        <f t="shared" si="288"/>
        <v>0</v>
      </c>
      <c r="AA89" s="1145">
        <f t="shared" si="289"/>
        <v>0</v>
      </c>
      <c r="AB89" s="1145">
        <f t="shared" si="290"/>
        <v>0</v>
      </c>
      <c r="AC89" s="1145">
        <f t="shared" si="291"/>
        <v>0</v>
      </c>
      <c r="AD89" s="1145">
        <f t="shared" si="292"/>
        <v>0</v>
      </c>
      <c r="AE89" s="1145"/>
      <c r="AF89" s="114">
        <v>36</v>
      </c>
      <c r="AG89" s="1145">
        <f t="shared" si="254"/>
        <v>0</v>
      </c>
      <c r="AH89" s="1145">
        <f t="shared" si="255"/>
        <v>0</v>
      </c>
      <c r="AI89" s="1145">
        <f t="shared" si="256"/>
        <v>0</v>
      </c>
      <c r="AJ89" s="1145">
        <f t="shared" si="257"/>
        <v>0</v>
      </c>
      <c r="AK89" s="1145">
        <f t="shared" si="258"/>
        <v>0</v>
      </c>
      <c r="AL89" s="1145">
        <f t="shared" si="259"/>
        <v>0</v>
      </c>
      <c r="AM89" s="1145">
        <f t="shared" si="260"/>
        <v>0</v>
      </c>
      <c r="AN89" s="1145">
        <f t="shared" si="261"/>
        <v>0</v>
      </c>
      <c r="AO89" s="1145">
        <f t="shared" si="262"/>
        <v>0</v>
      </c>
      <c r="AP89" s="1145">
        <f t="shared" si="263"/>
        <v>0</v>
      </c>
      <c r="AQ89" s="1303"/>
      <c r="AR89" s="1"/>
      <c r="AS89" s="1147">
        <v>36</v>
      </c>
      <c r="AT89" s="1147"/>
      <c r="AU89" s="1821"/>
      <c r="AV89" s="1865">
        <v>1646588.6956057819</v>
      </c>
      <c r="AW89" s="1">
        <v>36</v>
      </c>
      <c r="AX89" s="666"/>
      <c r="AY89" s="955"/>
      <c r="AZ89" s="1852"/>
      <c r="BA89" s="1852"/>
      <c r="BB89" s="1852"/>
      <c r="BC89" s="1852"/>
      <c r="BD89" s="1852"/>
      <c r="BE89" s="1852">
        <v>50</v>
      </c>
      <c r="BF89" s="1263">
        <v>50</v>
      </c>
      <c r="BG89" s="1263"/>
      <c r="BH89" s="2"/>
      <c r="BI89" s="2"/>
      <c r="BJ89" s="2"/>
      <c r="BK89" s="114">
        <v>36</v>
      </c>
      <c r="BL89" s="1145">
        <f t="shared" si="293"/>
        <v>0</v>
      </c>
      <c r="BM89" s="1145">
        <f t="shared" si="307"/>
        <v>0</v>
      </c>
      <c r="BN89" s="1145">
        <f t="shared" si="308"/>
        <v>0</v>
      </c>
      <c r="BO89" s="1145">
        <f t="shared" si="309"/>
        <v>0</v>
      </c>
      <c r="BP89" s="1145">
        <f t="shared" si="310"/>
        <v>0</v>
      </c>
      <c r="BQ89" s="1145">
        <f t="shared" si="311"/>
        <v>0</v>
      </c>
      <c r="BR89" s="1145">
        <f t="shared" si="312"/>
        <v>0</v>
      </c>
      <c r="BS89" s="1145">
        <f t="shared" si="313"/>
        <v>823294.34780289093</v>
      </c>
      <c r="BT89" s="1145">
        <f t="shared" si="314"/>
        <v>823294.34780289093</v>
      </c>
      <c r="BU89" s="1145">
        <f t="shared" si="315"/>
        <v>0</v>
      </c>
      <c r="BV89" s="1145"/>
      <c r="BW89" s="114">
        <v>36</v>
      </c>
      <c r="BX89" s="1145">
        <f t="shared" si="273"/>
        <v>0</v>
      </c>
      <c r="BY89" s="1145">
        <f t="shared" si="316"/>
        <v>0</v>
      </c>
      <c r="BZ89" s="1145">
        <f t="shared" si="317"/>
        <v>0</v>
      </c>
      <c r="CA89" s="1145">
        <f t="shared" si="318"/>
        <v>0</v>
      </c>
      <c r="CB89" s="1145">
        <f t="shared" si="319"/>
        <v>0</v>
      </c>
      <c r="CC89" s="1145">
        <f t="shared" si="320"/>
        <v>0</v>
      </c>
      <c r="CD89" s="1145">
        <f t="shared" si="321"/>
        <v>0</v>
      </c>
      <c r="CE89" s="1145">
        <f t="shared" si="322"/>
        <v>29638596.520904072</v>
      </c>
      <c r="CF89" s="1145">
        <f t="shared" si="323"/>
        <v>29638596.520904072</v>
      </c>
      <c r="CG89" s="1145">
        <f t="shared" si="324"/>
        <v>0</v>
      </c>
      <c r="CH89" s="1303"/>
      <c r="CM89" s="638"/>
      <c r="CN89" s="638"/>
      <c r="CO89" s="1860">
        <v>34</v>
      </c>
      <c r="CP89" s="1860"/>
      <c r="CQ89" s="1868"/>
      <c r="CR89" s="1867">
        <v>18718.527906361465</v>
      </c>
      <c r="CS89" s="638">
        <v>34</v>
      </c>
      <c r="CT89" s="672"/>
      <c r="CU89" s="957"/>
      <c r="CV89" s="957"/>
      <c r="CW89" s="957"/>
      <c r="CX89" s="957"/>
      <c r="CY89" s="957"/>
      <c r="CZ89" s="957"/>
      <c r="DA89" s="957">
        <v>100</v>
      </c>
      <c r="DB89" s="957"/>
      <c r="DC89" s="957"/>
      <c r="DD89" s="957"/>
      <c r="DE89" s="451"/>
      <c r="DF89" s="681"/>
      <c r="DG89" s="679">
        <v>34</v>
      </c>
      <c r="DH89" s="1864">
        <f t="shared" si="336"/>
        <v>0</v>
      </c>
      <c r="DI89" s="1864">
        <f t="shared" si="337"/>
        <v>0</v>
      </c>
      <c r="DJ89" s="1864">
        <f t="shared" si="338"/>
        <v>0</v>
      </c>
      <c r="DK89" s="1864">
        <f t="shared" si="339"/>
        <v>0</v>
      </c>
      <c r="DL89" s="1864">
        <f t="shared" si="340"/>
        <v>0</v>
      </c>
      <c r="DM89" s="1864">
        <f t="shared" si="341"/>
        <v>0</v>
      </c>
      <c r="DN89" s="1864">
        <f t="shared" si="342"/>
        <v>0</v>
      </c>
      <c r="DO89" s="1864">
        <f t="shared" si="343"/>
        <v>18718.527906361465</v>
      </c>
      <c r="DP89" s="1864">
        <f t="shared" si="344"/>
        <v>0</v>
      </c>
      <c r="DQ89" s="1864">
        <f t="shared" si="345"/>
        <v>0</v>
      </c>
      <c r="DR89" s="956">
        <v>0</v>
      </c>
      <c r="DS89" s="680">
        <f t="shared" si="305"/>
        <v>18718.527906361465</v>
      </c>
      <c r="DT89" s="192"/>
      <c r="DU89" s="192"/>
      <c r="DV89" s="192"/>
      <c r="DW89" s="192"/>
      <c r="DX89" s="192"/>
      <c r="DY89" s="192"/>
      <c r="DZ89" s="192"/>
      <c r="EA89" s="192"/>
      <c r="EB89" s="192"/>
      <c r="EC89" s="192"/>
      <c r="ED89" s="192"/>
      <c r="EE89" s="154"/>
      <c r="EF89" s="154"/>
    </row>
    <row r="90" spans="2:136" ht="14.4" thickTop="1" thickBot="1">
      <c r="B90" s="1147">
        <v>37</v>
      </c>
      <c r="C90" s="1147"/>
      <c r="D90" s="1821"/>
      <c r="E90" s="1865">
        <v>0</v>
      </c>
      <c r="F90" s="1">
        <v>37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114">
        <v>37</v>
      </c>
      <c r="U90" s="1145">
        <f t="shared" si="283"/>
        <v>0</v>
      </c>
      <c r="V90" s="1145">
        <f t="shared" si="284"/>
        <v>0</v>
      </c>
      <c r="W90" s="1145">
        <f t="shared" si="285"/>
        <v>0</v>
      </c>
      <c r="X90" s="1145">
        <f t="shared" si="286"/>
        <v>0</v>
      </c>
      <c r="Y90" s="1145">
        <f t="shared" si="287"/>
        <v>0</v>
      </c>
      <c r="Z90" s="1145">
        <f t="shared" si="288"/>
        <v>0</v>
      </c>
      <c r="AA90" s="1145">
        <f t="shared" si="289"/>
        <v>0</v>
      </c>
      <c r="AB90" s="1145">
        <f t="shared" si="290"/>
        <v>0</v>
      </c>
      <c r="AC90" s="1145">
        <f t="shared" si="291"/>
        <v>0</v>
      </c>
      <c r="AD90" s="1145">
        <f t="shared" si="292"/>
        <v>0</v>
      </c>
      <c r="AE90" s="1145"/>
      <c r="AF90" s="114">
        <v>37</v>
      </c>
      <c r="AG90" s="1145">
        <f t="shared" si="254"/>
        <v>0</v>
      </c>
      <c r="AH90" s="1145">
        <f t="shared" si="255"/>
        <v>0</v>
      </c>
      <c r="AI90" s="1145">
        <f t="shared" si="256"/>
        <v>0</v>
      </c>
      <c r="AJ90" s="1145">
        <f t="shared" si="257"/>
        <v>0</v>
      </c>
      <c r="AK90" s="1145">
        <f t="shared" si="258"/>
        <v>0</v>
      </c>
      <c r="AL90" s="1145">
        <f t="shared" si="259"/>
        <v>0</v>
      </c>
      <c r="AM90" s="1145">
        <f t="shared" si="260"/>
        <v>0</v>
      </c>
      <c r="AN90" s="1145">
        <f t="shared" si="261"/>
        <v>0</v>
      </c>
      <c r="AO90" s="1145">
        <f t="shared" si="262"/>
        <v>0</v>
      </c>
      <c r="AP90" s="1145">
        <f t="shared" si="263"/>
        <v>0</v>
      </c>
      <c r="AQ90" s="1303"/>
      <c r="AR90" s="1"/>
      <c r="AS90" s="1147">
        <v>37</v>
      </c>
      <c r="AT90" s="1147"/>
      <c r="AU90" s="1821"/>
      <c r="AV90" s="1865">
        <v>1048142.3600047913</v>
      </c>
      <c r="AW90" s="1">
        <v>37</v>
      </c>
      <c r="AX90" s="553"/>
      <c r="AY90" s="554"/>
      <c r="AZ90" s="555"/>
      <c r="BA90" s="555"/>
      <c r="BB90" s="555"/>
      <c r="BC90" s="555"/>
      <c r="BD90" s="555"/>
      <c r="BE90" s="555"/>
      <c r="BF90" s="561"/>
      <c r="BG90" s="561">
        <v>100</v>
      </c>
      <c r="BH90" s="2"/>
      <c r="BI90" s="2"/>
      <c r="BJ90" s="2"/>
      <c r="BK90" s="114">
        <v>37</v>
      </c>
      <c r="BL90" s="1145">
        <f t="shared" si="293"/>
        <v>0</v>
      </c>
      <c r="BM90" s="1145">
        <f t="shared" si="307"/>
        <v>0</v>
      </c>
      <c r="BN90" s="1145">
        <f t="shared" si="308"/>
        <v>0</v>
      </c>
      <c r="BO90" s="1145">
        <f t="shared" si="309"/>
        <v>0</v>
      </c>
      <c r="BP90" s="1145">
        <f t="shared" si="310"/>
        <v>0</v>
      </c>
      <c r="BQ90" s="1145">
        <f t="shared" si="311"/>
        <v>0</v>
      </c>
      <c r="BR90" s="1145">
        <f t="shared" si="312"/>
        <v>0</v>
      </c>
      <c r="BS90" s="1145">
        <f t="shared" si="313"/>
        <v>0</v>
      </c>
      <c r="BT90" s="1145">
        <f t="shared" si="314"/>
        <v>0</v>
      </c>
      <c r="BU90" s="1145">
        <f t="shared" si="315"/>
        <v>1048142.3600047913</v>
      </c>
      <c r="BV90" s="1145"/>
      <c r="BW90" s="114">
        <v>37</v>
      </c>
      <c r="BX90" s="1145">
        <f t="shared" si="273"/>
        <v>0</v>
      </c>
      <c r="BY90" s="1145">
        <f t="shared" si="316"/>
        <v>0</v>
      </c>
      <c r="BZ90" s="1145">
        <f t="shared" si="317"/>
        <v>0</v>
      </c>
      <c r="CA90" s="1145">
        <f t="shared" si="318"/>
        <v>0</v>
      </c>
      <c r="CB90" s="1145">
        <f t="shared" si="319"/>
        <v>0</v>
      </c>
      <c r="CC90" s="1145">
        <f t="shared" si="320"/>
        <v>0</v>
      </c>
      <c r="CD90" s="1145">
        <f t="shared" si="321"/>
        <v>0</v>
      </c>
      <c r="CE90" s="1145">
        <f t="shared" si="322"/>
        <v>0</v>
      </c>
      <c r="CF90" s="1145">
        <f t="shared" si="323"/>
        <v>0</v>
      </c>
      <c r="CG90" s="1145">
        <f t="shared" si="324"/>
        <v>38781267.320177279</v>
      </c>
      <c r="CH90" s="1303"/>
      <c r="CM90" s="638"/>
      <c r="CN90" s="638"/>
      <c r="CO90" s="1860">
        <v>35</v>
      </c>
      <c r="CP90" s="1860"/>
      <c r="CQ90" s="1868"/>
      <c r="CR90" s="1867">
        <v>16838.659307884591</v>
      </c>
      <c r="CS90" s="638">
        <v>35</v>
      </c>
      <c r="CT90" s="672"/>
      <c r="CU90" s="957"/>
      <c r="CV90" s="957"/>
      <c r="CW90" s="957"/>
      <c r="CX90" s="957"/>
      <c r="CY90" s="957"/>
      <c r="CZ90" s="957"/>
      <c r="DA90" s="957">
        <v>50</v>
      </c>
      <c r="DB90" s="957">
        <v>50</v>
      </c>
      <c r="DC90" s="957"/>
      <c r="DD90" s="957"/>
      <c r="DE90" s="451"/>
      <c r="DF90" s="681"/>
      <c r="DG90" s="679">
        <v>35</v>
      </c>
      <c r="DH90" s="1864">
        <f>$CR90*CT90/100</f>
        <v>0</v>
      </c>
      <c r="DI90" s="1864">
        <f t="shared" si="337"/>
        <v>0</v>
      </c>
      <c r="DJ90" s="1864">
        <f t="shared" si="338"/>
        <v>0</v>
      </c>
      <c r="DK90" s="1864">
        <f t="shared" si="339"/>
        <v>0</v>
      </c>
      <c r="DL90" s="1864">
        <f t="shared" si="340"/>
        <v>0</v>
      </c>
      <c r="DM90" s="1864">
        <f t="shared" si="341"/>
        <v>0</v>
      </c>
      <c r="DN90" s="1864">
        <f t="shared" si="342"/>
        <v>0</v>
      </c>
      <c r="DO90" s="1864">
        <f t="shared" si="343"/>
        <v>8419.3296539422954</v>
      </c>
      <c r="DP90" s="1864">
        <f t="shared" si="344"/>
        <v>8419.3296539422954</v>
      </c>
      <c r="DQ90" s="1864">
        <f t="shared" si="345"/>
        <v>0</v>
      </c>
      <c r="DR90" s="956">
        <v>0</v>
      </c>
      <c r="DS90" s="680">
        <f t="shared" si="305"/>
        <v>16838.659307884591</v>
      </c>
      <c r="DT90" s="192"/>
      <c r="DU90" s="192"/>
      <c r="DV90" s="192"/>
      <c r="DW90" s="192"/>
      <c r="DX90" s="192"/>
      <c r="DY90" s="192"/>
      <c r="DZ90" s="192"/>
      <c r="EA90" s="192"/>
      <c r="EB90" s="192"/>
      <c r="EC90" s="192"/>
      <c r="ED90" s="192"/>
      <c r="EE90" s="154"/>
      <c r="EF90" s="154"/>
    </row>
    <row r="91" spans="2:136" ht="14.4" thickTop="1" thickBot="1">
      <c r="B91" s="1147">
        <v>38</v>
      </c>
      <c r="C91" s="1147"/>
      <c r="D91" s="1821"/>
      <c r="E91" s="1865">
        <v>0</v>
      </c>
      <c r="F91" s="1">
        <v>38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114">
        <v>38</v>
      </c>
      <c r="U91" s="1145">
        <f t="shared" si="283"/>
        <v>0</v>
      </c>
      <c r="V91" s="1145">
        <f t="shared" si="284"/>
        <v>0</v>
      </c>
      <c r="W91" s="1145">
        <f t="shared" si="285"/>
        <v>0</v>
      </c>
      <c r="X91" s="1145">
        <f t="shared" si="286"/>
        <v>0</v>
      </c>
      <c r="Y91" s="1145">
        <f t="shared" si="287"/>
        <v>0</v>
      </c>
      <c r="Z91" s="1145">
        <f t="shared" si="288"/>
        <v>0</v>
      </c>
      <c r="AA91" s="1145">
        <f t="shared" si="289"/>
        <v>0</v>
      </c>
      <c r="AB91" s="1145">
        <f t="shared" si="290"/>
        <v>0</v>
      </c>
      <c r="AC91" s="1145">
        <f t="shared" si="291"/>
        <v>0</v>
      </c>
      <c r="AD91" s="1145">
        <f t="shared" si="292"/>
        <v>0</v>
      </c>
      <c r="AE91" s="1145"/>
      <c r="AF91" s="114">
        <v>38</v>
      </c>
      <c r="AG91" s="1145">
        <f t="shared" si="254"/>
        <v>0</v>
      </c>
      <c r="AH91" s="1145">
        <f t="shared" si="255"/>
        <v>0</v>
      </c>
      <c r="AI91" s="1145">
        <f t="shared" si="256"/>
        <v>0</v>
      </c>
      <c r="AJ91" s="1145">
        <f t="shared" si="257"/>
        <v>0</v>
      </c>
      <c r="AK91" s="1145">
        <f t="shared" si="258"/>
        <v>0</v>
      </c>
      <c r="AL91" s="1145">
        <f t="shared" si="259"/>
        <v>0</v>
      </c>
      <c r="AM91" s="1145">
        <f t="shared" si="260"/>
        <v>0</v>
      </c>
      <c r="AN91" s="1145">
        <f t="shared" si="261"/>
        <v>0</v>
      </c>
      <c r="AO91" s="1145">
        <f t="shared" si="262"/>
        <v>0</v>
      </c>
      <c r="AP91" s="1145">
        <f t="shared" si="263"/>
        <v>0</v>
      </c>
      <c r="AQ91" s="1303"/>
      <c r="AR91" s="1"/>
      <c r="AS91" s="1147">
        <v>38</v>
      </c>
      <c r="AT91" s="1147"/>
      <c r="AU91" s="1821"/>
      <c r="AV91" s="1865">
        <v>288722.80735254497</v>
      </c>
      <c r="AW91" s="1">
        <v>38</v>
      </c>
      <c r="AX91" s="666"/>
      <c r="AY91" s="955"/>
      <c r="AZ91" s="1852"/>
      <c r="BA91" s="1852"/>
      <c r="BB91" s="1852"/>
      <c r="BC91" s="1852"/>
      <c r="BD91" s="1852"/>
      <c r="BE91" s="1852"/>
      <c r="BF91" s="1263"/>
      <c r="BG91" s="1263">
        <v>100</v>
      </c>
      <c r="BH91" s="2"/>
      <c r="BI91" s="2"/>
      <c r="BJ91" s="2"/>
      <c r="BK91" s="114">
        <v>38</v>
      </c>
      <c r="BL91" s="1145">
        <f t="shared" si="293"/>
        <v>0</v>
      </c>
      <c r="BM91" s="1145">
        <f t="shared" si="307"/>
        <v>0</v>
      </c>
      <c r="BN91" s="1145">
        <f t="shared" si="308"/>
        <v>0</v>
      </c>
      <c r="BO91" s="1145">
        <f t="shared" si="309"/>
        <v>0</v>
      </c>
      <c r="BP91" s="1145">
        <f t="shared" si="310"/>
        <v>0</v>
      </c>
      <c r="BQ91" s="1145">
        <f t="shared" si="311"/>
        <v>0</v>
      </c>
      <c r="BR91" s="1145">
        <f t="shared" si="312"/>
        <v>0</v>
      </c>
      <c r="BS91" s="1145">
        <f t="shared" si="313"/>
        <v>0</v>
      </c>
      <c r="BT91" s="1145">
        <f t="shared" si="314"/>
        <v>0</v>
      </c>
      <c r="BU91" s="1145">
        <f t="shared" si="315"/>
        <v>288722.80735254497</v>
      </c>
      <c r="BV91" s="1145"/>
      <c r="BW91" s="114">
        <v>38</v>
      </c>
      <c r="BX91" s="1145">
        <f t="shared" si="273"/>
        <v>0</v>
      </c>
      <c r="BY91" s="1145">
        <f t="shared" si="316"/>
        <v>0</v>
      </c>
      <c r="BZ91" s="1145">
        <f t="shared" si="317"/>
        <v>0</v>
      </c>
      <c r="CA91" s="1145">
        <f t="shared" si="318"/>
        <v>0</v>
      </c>
      <c r="CB91" s="1145">
        <f t="shared" si="319"/>
        <v>0</v>
      </c>
      <c r="CC91" s="1145">
        <f t="shared" si="320"/>
        <v>0</v>
      </c>
      <c r="CD91" s="1145">
        <f t="shared" si="321"/>
        <v>0</v>
      </c>
      <c r="CE91" s="1145">
        <f t="shared" si="322"/>
        <v>0</v>
      </c>
      <c r="CF91" s="1145">
        <f t="shared" si="323"/>
        <v>0</v>
      </c>
      <c r="CG91" s="1145">
        <f t="shared" si="324"/>
        <v>10971466.679396709</v>
      </c>
      <c r="CH91" s="1303"/>
      <c r="CM91" s="638"/>
      <c r="CN91" s="638"/>
      <c r="CO91" s="1860">
        <v>36</v>
      </c>
      <c r="CP91" s="1860"/>
      <c r="CQ91" s="1868"/>
      <c r="CR91" s="1867">
        <v>10820.762470038086</v>
      </c>
      <c r="CS91" s="638">
        <v>36</v>
      </c>
      <c r="CT91" s="672"/>
      <c r="CU91" s="957"/>
      <c r="CV91" s="957"/>
      <c r="CW91" s="957"/>
      <c r="CX91" s="957"/>
      <c r="CY91" s="957"/>
      <c r="CZ91" s="957"/>
      <c r="DA91" s="957">
        <v>25</v>
      </c>
      <c r="DB91" s="957">
        <v>75</v>
      </c>
      <c r="DC91" s="957"/>
      <c r="DD91" s="957"/>
      <c r="DE91" s="451"/>
      <c r="DF91" s="681"/>
      <c r="DG91" s="679">
        <v>36</v>
      </c>
      <c r="DH91" s="1864">
        <f t="shared" ref="DH91:DH99" si="346">$CR91*CT91/100</f>
        <v>0</v>
      </c>
      <c r="DI91" s="1864">
        <f t="shared" si="337"/>
        <v>0</v>
      </c>
      <c r="DJ91" s="1864">
        <f t="shared" si="338"/>
        <v>0</v>
      </c>
      <c r="DK91" s="1864">
        <f t="shared" si="339"/>
        <v>0</v>
      </c>
      <c r="DL91" s="1864">
        <f t="shared" si="340"/>
        <v>0</v>
      </c>
      <c r="DM91" s="1864">
        <f t="shared" si="341"/>
        <v>0</v>
      </c>
      <c r="DN91" s="1864">
        <f t="shared" si="342"/>
        <v>0</v>
      </c>
      <c r="DO91" s="1864">
        <f t="shared" si="343"/>
        <v>2705.1906175095214</v>
      </c>
      <c r="DP91" s="1864">
        <f t="shared" si="344"/>
        <v>8115.5718525285647</v>
      </c>
      <c r="DQ91" s="1864">
        <f t="shared" si="345"/>
        <v>0</v>
      </c>
      <c r="DR91" s="956">
        <v>0</v>
      </c>
      <c r="DS91" s="680">
        <f t="shared" si="305"/>
        <v>10820.762470038086</v>
      </c>
      <c r="DT91" s="192"/>
      <c r="DU91" s="192"/>
      <c r="DV91" s="192"/>
      <c r="DW91" s="192"/>
      <c r="DX91" s="192"/>
      <c r="DY91" s="192"/>
      <c r="DZ91" s="192"/>
      <c r="EA91" s="192"/>
      <c r="EB91" s="192"/>
      <c r="EC91" s="192"/>
      <c r="ED91" s="192"/>
      <c r="EE91" s="154"/>
      <c r="EF91" s="154"/>
    </row>
    <row r="92" spans="2:136" ht="14.4" thickTop="1" thickBot="1">
      <c r="B92" s="1147">
        <v>39</v>
      </c>
      <c r="C92" s="1147"/>
      <c r="D92" s="1821"/>
      <c r="E92" s="1865">
        <v>0</v>
      </c>
      <c r="F92" s="1">
        <v>39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114">
        <v>39</v>
      </c>
      <c r="U92" s="1145">
        <f t="shared" si="283"/>
        <v>0</v>
      </c>
      <c r="V92" s="1145">
        <f t="shared" si="284"/>
        <v>0</v>
      </c>
      <c r="W92" s="1145">
        <f t="shared" si="285"/>
        <v>0</v>
      </c>
      <c r="X92" s="1145">
        <f t="shared" si="286"/>
        <v>0</v>
      </c>
      <c r="Y92" s="1145">
        <f t="shared" si="287"/>
        <v>0</v>
      </c>
      <c r="Z92" s="1145">
        <f t="shared" si="288"/>
        <v>0</v>
      </c>
      <c r="AA92" s="1145">
        <f t="shared" si="289"/>
        <v>0</v>
      </c>
      <c r="AB92" s="1145">
        <f t="shared" si="290"/>
        <v>0</v>
      </c>
      <c r="AC92" s="1145">
        <f t="shared" si="291"/>
        <v>0</v>
      </c>
      <c r="AD92" s="1145">
        <f t="shared" si="292"/>
        <v>0</v>
      </c>
      <c r="AE92" s="1145"/>
      <c r="AF92" s="114">
        <v>39</v>
      </c>
      <c r="AG92" s="1145">
        <f t="shared" si="254"/>
        <v>0</v>
      </c>
      <c r="AH92" s="1145">
        <f t="shared" si="255"/>
        <v>0</v>
      </c>
      <c r="AI92" s="1145">
        <f t="shared" si="256"/>
        <v>0</v>
      </c>
      <c r="AJ92" s="1145">
        <f t="shared" si="257"/>
        <v>0</v>
      </c>
      <c r="AK92" s="1145">
        <f t="shared" si="258"/>
        <v>0</v>
      </c>
      <c r="AL92" s="1145">
        <f t="shared" si="259"/>
        <v>0</v>
      </c>
      <c r="AM92" s="1145">
        <f t="shared" si="260"/>
        <v>0</v>
      </c>
      <c r="AN92" s="1145">
        <f t="shared" si="261"/>
        <v>0</v>
      </c>
      <c r="AO92" s="1145">
        <f t="shared" si="262"/>
        <v>0</v>
      </c>
      <c r="AP92" s="1145">
        <f t="shared" si="263"/>
        <v>0</v>
      </c>
      <c r="AQ92" s="1303"/>
      <c r="AR92" s="1"/>
      <c r="AS92" s="1147">
        <v>39</v>
      </c>
      <c r="AT92" s="1147"/>
      <c r="AU92" s="1821"/>
      <c r="AV92" s="1865">
        <v>419256.9440019165</v>
      </c>
      <c r="AW92" s="1">
        <v>39</v>
      </c>
      <c r="AX92" s="666"/>
      <c r="AY92" s="955"/>
      <c r="AZ92" s="1852"/>
      <c r="BA92" s="1852"/>
      <c r="BB92" s="1852"/>
      <c r="BC92" s="1852"/>
      <c r="BD92" s="1852"/>
      <c r="BE92" s="1852"/>
      <c r="BF92" s="1263"/>
      <c r="BG92" s="1263">
        <v>100</v>
      </c>
      <c r="BH92" s="2"/>
      <c r="BI92" s="2"/>
      <c r="BJ92" s="2"/>
      <c r="BK92" s="114">
        <v>39</v>
      </c>
      <c r="BL92" s="1145">
        <f t="shared" si="293"/>
        <v>0</v>
      </c>
      <c r="BM92" s="1145">
        <f t="shared" si="307"/>
        <v>0</v>
      </c>
      <c r="BN92" s="1145">
        <f t="shared" si="308"/>
        <v>0</v>
      </c>
      <c r="BO92" s="1145">
        <f t="shared" si="309"/>
        <v>0</v>
      </c>
      <c r="BP92" s="1145">
        <f t="shared" si="310"/>
        <v>0</v>
      </c>
      <c r="BQ92" s="1145">
        <f t="shared" si="311"/>
        <v>0</v>
      </c>
      <c r="BR92" s="1145">
        <f t="shared" si="312"/>
        <v>0</v>
      </c>
      <c r="BS92" s="1145">
        <f t="shared" si="313"/>
        <v>0</v>
      </c>
      <c r="BT92" s="1145">
        <f t="shared" si="314"/>
        <v>0</v>
      </c>
      <c r="BU92" s="1145">
        <f t="shared" si="315"/>
        <v>419256.9440019165</v>
      </c>
      <c r="BV92" s="1145"/>
      <c r="BW92" s="114">
        <v>39</v>
      </c>
      <c r="BX92" s="1145">
        <f t="shared" si="273"/>
        <v>0</v>
      </c>
      <c r="BY92" s="1145">
        <f t="shared" si="316"/>
        <v>0</v>
      </c>
      <c r="BZ92" s="1145">
        <f t="shared" si="317"/>
        <v>0</v>
      </c>
      <c r="CA92" s="1145">
        <f t="shared" si="318"/>
        <v>0</v>
      </c>
      <c r="CB92" s="1145">
        <f t="shared" si="319"/>
        <v>0</v>
      </c>
      <c r="CC92" s="1145">
        <f t="shared" si="320"/>
        <v>0</v>
      </c>
      <c r="CD92" s="1145">
        <f t="shared" si="321"/>
        <v>0</v>
      </c>
      <c r="CE92" s="1145">
        <f t="shared" si="322"/>
        <v>0</v>
      </c>
      <c r="CF92" s="1145">
        <f t="shared" si="323"/>
        <v>0</v>
      </c>
      <c r="CG92" s="1145">
        <f t="shared" si="324"/>
        <v>16351020.816074744</v>
      </c>
      <c r="CH92" s="1303"/>
      <c r="CM92" s="638"/>
      <c r="CN92" s="638"/>
      <c r="CO92" s="1860">
        <v>37</v>
      </c>
      <c r="CP92" s="1860"/>
      <c r="CQ92" s="1868"/>
      <c r="CR92" s="1867">
        <v>15531.858735421529</v>
      </c>
      <c r="CS92" s="638">
        <v>37</v>
      </c>
      <c r="CT92" s="672"/>
      <c r="CU92" s="957"/>
      <c r="CV92" s="957"/>
      <c r="CW92" s="957"/>
      <c r="CX92" s="957"/>
      <c r="CY92" s="957"/>
      <c r="CZ92" s="957"/>
      <c r="DA92" s="957"/>
      <c r="DB92" s="957">
        <v>25</v>
      </c>
      <c r="DC92" s="957">
        <v>75</v>
      </c>
      <c r="DD92" s="957"/>
      <c r="DE92" s="451"/>
      <c r="DF92" s="681"/>
      <c r="DG92" s="679">
        <v>37</v>
      </c>
      <c r="DH92" s="1864">
        <f t="shared" si="346"/>
        <v>0</v>
      </c>
      <c r="DI92" s="1864">
        <f t="shared" si="337"/>
        <v>0</v>
      </c>
      <c r="DJ92" s="1864">
        <f t="shared" si="338"/>
        <v>0</v>
      </c>
      <c r="DK92" s="1864">
        <f t="shared" si="339"/>
        <v>0</v>
      </c>
      <c r="DL92" s="1864">
        <f t="shared" si="340"/>
        <v>0</v>
      </c>
      <c r="DM92" s="1864">
        <f t="shared" si="341"/>
        <v>0</v>
      </c>
      <c r="DN92" s="1864">
        <f t="shared" si="342"/>
        <v>0</v>
      </c>
      <c r="DO92" s="1864">
        <f t="shared" si="343"/>
        <v>0</v>
      </c>
      <c r="DP92" s="1864">
        <f t="shared" si="344"/>
        <v>3882.9646838553822</v>
      </c>
      <c r="DQ92" s="1864">
        <f t="shared" si="345"/>
        <v>11648.894051566147</v>
      </c>
      <c r="DR92" s="956">
        <v>0</v>
      </c>
      <c r="DS92" s="680">
        <f t="shared" si="305"/>
        <v>15531.858735421529</v>
      </c>
      <c r="DT92" s="192"/>
      <c r="DU92" s="192"/>
      <c r="DV92" s="192"/>
      <c r="DW92" s="192"/>
      <c r="DX92" s="192"/>
      <c r="DY92" s="192"/>
      <c r="DZ92" s="192"/>
      <c r="EA92" s="192"/>
      <c r="EB92" s="192"/>
      <c r="EC92" s="192"/>
      <c r="ED92" s="192"/>
      <c r="EE92" s="154"/>
      <c r="EF92" s="154"/>
    </row>
    <row r="93" spans="2:136" ht="14.4" thickTop="1" thickBot="1">
      <c r="B93" s="1147">
        <v>40</v>
      </c>
      <c r="C93" s="1147"/>
      <c r="D93" s="1154"/>
      <c r="E93" s="1865">
        <v>0</v>
      </c>
      <c r="F93" s="1">
        <v>40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114">
        <v>40</v>
      </c>
      <c r="U93" s="1145">
        <f t="shared" si="283"/>
        <v>0</v>
      </c>
      <c r="V93" s="1145">
        <f t="shared" si="284"/>
        <v>0</v>
      </c>
      <c r="W93" s="1145">
        <f t="shared" si="285"/>
        <v>0</v>
      </c>
      <c r="X93" s="1145">
        <f t="shared" si="286"/>
        <v>0</v>
      </c>
      <c r="Y93" s="1145">
        <f t="shared" si="287"/>
        <v>0</v>
      </c>
      <c r="Z93" s="1145">
        <f t="shared" si="288"/>
        <v>0</v>
      </c>
      <c r="AA93" s="1145">
        <f t="shared" si="289"/>
        <v>0</v>
      </c>
      <c r="AB93" s="1145">
        <f t="shared" si="290"/>
        <v>0</v>
      </c>
      <c r="AC93" s="1145">
        <f t="shared" si="291"/>
        <v>0</v>
      </c>
      <c r="AD93" s="1145">
        <f t="shared" si="292"/>
        <v>0</v>
      </c>
      <c r="AE93" s="1145"/>
      <c r="AF93" s="114">
        <v>40</v>
      </c>
      <c r="AG93" s="1145">
        <f t="shared" si="254"/>
        <v>0</v>
      </c>
      <c r="AH93" s="1145">
        <f t="shared" si="255"/>
        <v>0</v>
      </c>
      <c r="AI93" s="1145">
        <f t="shared" si="256"/>
        <v>0</v>
      </c>
      <c r="AJ93" s="1145">
        <f t="shared" si="257"/>
        <v>0</v>
      </c>
      <c r="AK93" s="1145">
        <f t="shared" si="258"/>
        <v>0</v>
      </c>
      <c r="AL93" s="1145">
        <f t="shared" si="259"/>
        <v>0</v>
      </c>
      <c r="AM93" s="1145">
        <f t="shared" si="260"/>
        <v>0</v>
      </c>
      <c r="AN93" s="1145">
        <f t="shared" si="261"/>
        <v>0</v>
      </c>
      <c r="AO93" s="1145">
        <f t="shared" si="262"/>
        <v>0</v>
      </c>
      <c r="AP93" s="1145">
        <f t="shared" si="263"/>
        <v>0</v>
      </c>
      <c r="AQ93" s="1303"/>
      <c r="AR93" s="1"/>
      <c r="AS93" s="1147">
        <v>40</v>
      </c>
      <c r="AT93" s="1147"/>
      <c r="AU93" s="1154"/>
      <c r="AV93" s="1865">
        <v>353989.87567723077</v>
      </c>
      <c r="AW93" s="1">
        <v>40</v>
      </c>
      <c r="AX93" s="553"/>
      <c r="AY93" s="554"/>
      <c r="AZ93" s="555"/>
      <c r="BA93" s="555"/>
      <c r="BB93" s="555"/>
      <c r="BC93" s="555"/>
      <c r="BD93" s="555"/>
      <c r="BE93" s="555"/>
      <c r="BF93" s="561"/>
      <c r="BG93" s="1263">
        <v>100</v>
      </c>
      <c r="BH93" s="2"/>
      <c r="BI93" s="2"/>
      <c r="BJ93" s="2"/>
      <c r="BK93" s="114">
        <v>40</v>
      </c>
      <c r="BL93" s="1145">
        <f t="shared" si="293"/>
        <v>0</v>
      </c>
      <c r="BM93" s="1145">
        <f t="shared" si="307"/>
        <v>0</v>
      </c>
      <c r="BN93" s="1145">
        <f t="shared" si="308"/>
        <v>0</v>
      </c>
      <c r="BO93" s="1145">
        <f t="shared" si="309"/>
        <v>0</v>
      </c>
      <c r="BP93" s="1145">
        <f t="shared" si="310"/>
        <v>0</v>
      </c>
      <c r="BQ93" s="1145">
        <f t="shared" si="311"/>
        <v>0</v>
      </c>
      <c r="BR93" s="1145">
        <f t="shared" si="312"/>
        <v>0</v>
      </c>
      <c r="BS93" s="1145">
        <f t="shared" si="313"/>
        <v>0</v>
      </c>
      <c r="BT93" s="1145">
        <f t="shared" si="314"/>
        <v>0</v>
      </c>
      <c r="BU93" s="1145">
        <f>$AV93*BG93/100</f>
        <v>353989.87567723083</v>
      </c>
      <c r="BV93" s="1145"/>
      <c r="BW93" s="114">
        <v>40</v>
      </c>
      <c r="BX93" s="1145">
        <f t="shared" si="273"/>
        <v>0</v>
      </c>
      <c r="BY93" s="1145">
        <f t="shared" si="316"/>
        <v>0</v>
      </c>
      <c r="BZ93" s="1145">
        <f t="shared" si="317"/>
        <v>0</v>
      </c>
      <c r="CA93" s="1145">
        <f t="shared" si="318"/>
        <v>0</v>
      </c>
      <c r="CB93" s="1145">
        <f t="shared" si="319"/>
        <v>0</v>
      </c>
      <c r="CC93" s="1145">
        <f t="shared" si="320"/>
        <v>0</v>
      </c>
      <c r="CD93" s="1145">
        <f t="shared" si="321"/>
        <v>0</v>
      </c>
      <c r="CE93" s="1145">
        <f t="shared" si="322"/>
        <v>0</v>
      </c>
      <c r="CF93" s="1145">
        <f t="shared" si="323"/>
        <v>0</v>
      </c>
      <c r="CG93" s="1145">
        <f t="shared" si="324"/>
        <v>14159595.027089233</v>
      </c>
      <c r="CH93" s="1303"/>
      <c r="CM93" s="638"/>
      <c r="CN93" s="638"/>
      <c r="CO93" s="1860">
        <v>38</v>
      </c>
      <c r="CP93" s="1860"/>
      <c r="CQ93" s="1868"/>
      <c r="CR93" s="1867">
        <v>0</v>
      </c>
      <c r="CS93" s="638">
        <v>38</v>
      </c>
      <c r="CT93" s="672"/>
      <c r="CU93" s="957"/>
      <c r="CV93" s="957"/>
      <c r="CW93" s="957"/>
      <c r="CX93" s="957"/>
      <c r="CY93" s="957"/>
      <c r="CZ93" s="957"/>
      <c r="DA93" s="957"/>
      <c r="DB93" s="957"/>
      <c r="DC93" s="957">
        <v>100</v>
      </c>
      <c r="DD93" s="957"/>
      <c r="DE93" s="451"/>
      <c r="DF93" s="681"/>
      <c r="DG93" s="679">
        <v>38</v>
      </c>
      <c r="DH93" s="1864">
        <f t="shared" si="346"/>
        <v>0</v>
      </c>
      <c r="DI93" s="1864">
        <f t="shared" si="337"/>
        <v>0</v>
      </c>
      <c r="DJ93" s="1864">
        <f t="shared" si="338"/>
        <v>0</v>
      </c>
      <c r="DK93" s="1864">
        <f t="shared" si="339"/>
        <v>0</v>
      </c>
      <c r="DL93" s="1864">
        <f t="shared" si="340"/>
        <v>0</v>
      </c>
      <c r="DM93" s="1864">
        <f t="shared" si="341"/>
        <v>0</v>
      </c>
      <c r="DN93" s="1864">
        <f t="shared" si="342"/>
        <v>0</v>
      </c>
      <c r="DO93" s="1864">
        <f t="shared" si="343"/>
        <v>0</v>
      </c>
      <c r="DP93" s="1864">
        <f t="shared" si="344"/>
        <v>0</v>
      </c>
      <c r="DQ93" s="1864">
        <f t="shared" si="345"/>
        <v>0</v>
      </c>
      <c r="DR93" s="956">
        <v>0</v>
      </c>
      <c r="DS93" s="680">
        <f t="shared" si="305"/>
        <v>0</v>
      </c>
      <c r="DT93" s="192"/>
      <c r="DU93" s="192"/>
      <c r="DV93" s="192"/>
      <c r="DW93" s="192"/>
      <c r="DX93" s="192"/>
      <c r="DY93" s="192"/>
      <c r="DZ93" s="192"/>
      <c r="EA93" s="192"/>
      <c r="EB93" s="192"/>
      <c r="EC93" s="192"/>
      <c r="ED93" s="192"/>
      <c r="EE93" s="154"/>
      <c r="EF93" s="154"/>
    </row>
    <row r="94" spans="2:136" ht="14.4" thickTop="1" thickBot="1">
      <c r="B94" s="1147">
        <v>41</v>
      </c>
      <c r="C94" s="1147"/>
      <c r="D94" s="1154"/>
      <c r="E94" s="1865">
        <v>0</v>
      </c>
      <c r="F94" s="1">
        <v>41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114">
        <v>41</v>
      </c>
      <c r="U94" s="1145">
        <f t="shared" si="283"/>
        <v>0</v>
      </c>
      <c r="V94" s="1145">
        <f t="shared" si="284"/>
        <v>0</v>
      </c>
      <c r="W94" s="1145">
        <f t="shared" si="285"/>
        <v>0</v>
      </c>
      <c r="X94" s="1145">
        <f t="shared" si="286"/>
        <v>0</v>
      </c>
      <c r="Y94" s="1145">
        <f t="shared" si="287"/>
        <v>0</v>
      </c>
      <c r="Z94" s="1145">
        <f t="shared" si="288"/>
        <v>0</v>
      </c>
      <c r="AA94" s="1145">
        <f t="shared" si="289"/>
        <v>0</v>
      </c>
      <c r="AB94" s="1145">
        <f t="shared" si="290"/>
        <v>0</v>
      </c>
      <c r="AC94" s="1145">
        <f t="shared" si="291"/>
        <v>0</v>
      </c>
      <c r="AD94" s="1145">
        <f t="shared" si="292"/>
        <v>0</v>
      </c>
      <c r="AE94" s="1145"/>
      <c r="AF94" s="114">
        <v>41</v>
      </c>
      <c r="AG94" s="1145">
        <f t="shared" si="254"/>
        <v>0</v>
      </c>
      <c r="AH94" s="1145">
        <f t="shared" si="255"/>
        <v>0</v>
      </c>
      <c r="AI94" s="1145">
        <f t="shared" si="256"/>
        <v>0</v>
      </c>
      <c r="AJ94" s="1145">
        <f t="shared" si="257"/>
        <v>0</v>
      </c>
      <c r="AK94" s="1145">
        <f t="shared" si="258"/>
        <v>0</v>
      </c>
      <c r="AL94" s="1145">
        <f t="shared" si="259"/>
        <v>0</v>
      </c>
      <c r="AM94" s="1145">
        <f t="shared" si="260"/>
        <v>0</v>
      </c>
      <c r="AN94" s="1145">
        <f t="shared" si="261"/>
        <v>0</v>
      </c>
      <c r="AO94" s="1145">
        <f t="shared" si="262"/>
        <v>0</v>
      </c>
      <c r="AP94" s="1145">
        <f t="shared" si="263"/>
        <v>0</v>
      </c>
      <c r="AQ94" s="1303"/>
      <c r="AR94" s="1"/>
      <c r="AS94" s="1147">
        <v>41</v>
      </c>
      <c r="AT94" s="1147"/>
      <c r="AU94" s="1154"/>
      <c r="AV94" s="1865">
        <v>0</v>
      </c>
      <c r="AW94" s="1">
        <v>41</v>
      </c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114">
        <v>41</v>
      </c>
      <c r="BL94" s="1145">
        <f t="shared" si="293"/>
        <v>0</v>
      </c>
      <c r="BM94" s="1145">
        <f t="shared" si="307"/>
        <v>0</v>
      </c>
      <c r="BN94" s="1145">
        <f t="shared" si="308"/>
        <v>0</v>
      </c>
      <c r="BO94" s="1145">
        <f t="shared" si="309"/>
        <v>0</v>
      </c>
      <c r="BP94" s="1145">
        <f t="shared" si="310"/>
        <v>0</v>
      </c>
      <c r="BQ94" s="1145">
        <f t="shared" si="311"/>
        <v>0</v>
      </c>
      <c r="BR94" s="1145">
        <f t="shared" si="312"/>
        <v>0</v>
      </c>
      <c r="BS94" s="1145">
        <f t="shared" si="313"/>
        <v>0</v>
      </c>
      <c r="BT94" s="1145">
        <f t="shared" si="314"/>
        <v>0</v>
      </c>
      <c r="BU94" s="1145">
        <f t="shared" si="315"/>
        <v>0</v>
      </c>
      <c r="BV94" s="1145"/>
      <c r="BW94" s="114">
        <v>41</v>
      </c>
      <c r="BX94" s="1145">
        <f t="shared" si="273"/>
        <v>0</v>
      </c>
      <c r="BY94" s="1145">
        <f t="shared" si="316"/>
        <v>0</v>
      </c>
      <c r="BZ94" s="1145">
        <f t="shared" si="317"/>
        <v>0</v>
      </c>
      <c r="CA94" s="1145">
        <f t="shared" si="318"/>
        <v>0</v>
      </c>
      <c r="CB94" s="1145">
        <f t="shared" si="319"/>
        <v>0</v>
      </c>
      <c r="CC94" s="1145">
        <f t="shared" si="320"/>
        <v>0</v>
      </c>
      <c r="CD94" s="1145">
        <f t="shared" si="321"/>
        <v>0</v>
      </c>
      <c r="CE94" s="1145">
        <f t="shared" si="322"/>
        <v>0</v>
      </c>
      <c r="CF94" s="1145">
        <f t="shared" si="323"/>
        <v>0</v>
      </c>
      <c r="CG94" s="1145">
        <f t="shared" si="324"/>
        <v>0</v>
      </c>
      <c r="CH94" s="1303"/>
      <c r="CM94" s="638"/>
      <c r="CN94" s="638"/>
      <c r="CO94" s="1860">
        <v>39</v>
      </c>
      <c r="CP94" s="1860"/>
      <c r="CQ94" s="1868"/>
      <c r="CR94" s="1867">
        <v>3358.0748052318891</v>
      </c>
      <c r="CS94" s="638">
        <v>39</v>
      </c>
      <c r="CT94" s="672"/>
      <c r="CU94" s="957"/>
      <c r="CV94" s="957"/>
      <c r="CW94" s="957"/>
      <c r="CX94" s="957"/>
      <c r="CY94" s="957"/>
      <c r="CZ94" s="957"/>
      <c r="DA94" s="957"/>
      <c r="DB94" s="957"/>
      <c r="DC94" s="957">
        <v>100</v>
      </c>
      <c r="DD94" s="957"/>
      <c r="DE94" s="451"/>
      <c r="DF94" s="681"/>
      <c r="DG94" s="679">
        <v>39</v>
      </c>
      <c r="DH94" s="1864">
        <f t="shared" si="346"/>
        <v>0</v>
      </c>
      <c r="DI94" s="1864">
        <f t="shared" si="337"/>
        <v>0</v>
      </c>
      <c r="DJ94" s="1864">
        <f t="shared" si="338"/>
        <v>0</v>
      </c>
      <c r="DK94" s="1864">
        <f t="shared" si="339"/>
        <v>0</v>
      </c>
      <c r="DL94" s="1864">
        <f t="shared" si="340"/>
        <v>0</v>
      </c>
      <c r="DM94" s="1864">
        <f t="shared" si="341"/>
        <v>0</v>
      </c>
      <c r="DN94" s="1864">
        <f t="shared" si="342"/>
        <v>0</v>
      </c>
      <c r="DO94" s="1864">
        <f t="shared" si="343"/>
        <v>0</v>
      </c>
      <c r="DP94" s="1864">
        <f t="shared" si="344"/>
        <v>0</v>
      </c>
      <c r="DQ94" s="1864">
        <f t="shared" si="345"/>
        <v>3358.0748052318891</v>
      </c>
      <c r="DR94" s="956">
        <f t="shared" ref="DR94:DR100" si="347">$CR94*DD94/100</f>
        <v>0</v>
      </c>
      <c r="DS94" s="680">
        <f t="shared" si="305"/>
        <v>3358.0748052318891</v>
      </c>
      <c r="DT94" s="192"/>
      <c r="DU94" s="192"/>
      <c r="DV94" s="192"/>
      <c r="DW94" s="192"/>
      <c r="DX94" s="192"/>
      <c r="DY94" s="192"/>
      <c r="DZ94" s="192"/>
      <c r="EA94" s="192"/>
      <c r="EB94" s="192"/>
      <c r="EC94" s="192"/>
      <c r="ED94" s="192"/>
      <c r="EE94" s="154"/>
      <c r="EF94" s="154"/>
    </row>
    <row r="95" spans="2:136" ht="14.4" thickTop="1" thickBot="1">
      <c r="B95" s="1147">
        <v>42</v>
      </c>
      <c r="C95" s="1147"/>
      <c r="D95" s="1154"/>
      <c r="E95" s="1865">
        <v>0</v>
      </c>
      <c r="F95" s="1">
        <v>42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114">
        <v>42</v>
      </c>
      <c r="U95" s="1145">
        <f t="shared" si="283"/>
        <v>0</v>
      </c>
      <c r="V95" s="1145">
        <f t="shared" si="284"/>
        <v>0</v>
      </c>
      <c r="W95" s="1145">
        <f t="shared" si="285"/>
        <v>0</v>
      </c>
      <c r="X95" s="1145">
        <f t="shared" si="286"/>
        <v>0</v>
      </c>
      <c r="Y95" s="1145">
        <f t="shared" si="287"/>
        <v>0</v>
      </c>
      <c r="Z95" s="1145">
        <f t="shared" si="288"/>
        <v>0</v>
      </c>
      <c r="AA95" s="1145">
        <f t="shared" si="289"/>
        <v>0</v>
      </c>
      <c r="AB95" s="1145">
        <f t="shared" si="290"/>
        <v>0</v>
      </c>
      <c r="AC95" s="1145">
        <f t="shared" si="291"/>
        <v>0</v>
      </c>
      <c r="AD95" s="1145">
        <f t="shared" si="292"/>
        <v>0</v>
      </c>
      <c r="AE95" s="1145"/>
      <c r="AF95" s="114">
        <v>42</v>
      </c>
      <c r="AG95" s="1145">
        <f t="shared" si="254"/>
        <v>0</v>
      </c>
      <c r="AH95" s="1145">
        <f t="shared" si="255"/>
        <v>0</v>
      </c>
      <c r="AI95" s="1145">
        <f t="shared" si="256"/>
        <v>0</v>
      </c>
      <c r="AJ95" s="1145">
        <f t="shared" si="257"/>
        <v>0</v>
      </c>
      <c r="AK95" s="1145">
        <f t="shared" si="258"/>
        <v>0</v>
      </c>
      <c r="AL95" s="1145">
        <f t="shared" si="259"/>
        <v>0</v>
      </c>
      <c r="AM95" s="1145">
        <f t="shared" si="260"/>
        <v>0</v>
      </c>
      <c r="AN95" s="1145">
        <f t="shared" si="261"/>
        <v>0</v>
      </c>
      <c r="AO95" s="1145">
        <f t="shared" si="262"/>
        <v>0</v>
      </c>
      <c r="AP95" s="1145">
        <f t="shared" si="263"/>
        <v>0</v>
      </c>
      <c r="AQ95" s="1303"/>
      <c r="AR95" s="1"/>
      <c r="AS95" s="1147">
        <v>42</v>
      </c>
      <c r="AT95" s="1147"/>
      <c r="AU95" s="1154"/>
      <c r="AV95" s="1865">
        <v>0</v>
      </c>
      <c r="AW95" s="1">
        <v>42</v>
      </c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114">
        <v>42</v>
      </c>
      <c r="BL95" s="1145">
        <f t="shared" si="293"/>
        <v>0</v>
      </c>
      <c r="BM95" s="1145">
        <f t="shared" si="307"/>
        <v>0</v>
      </c>
      <c r="BN95" s="1145">
        <f t="shared" si="308"/>
        <v>0</v>
      </c>
      <c r="BO95" s="1145">
        <f t="shared" si="309"/>
        <v>0</v>
      </c>
      <c r="BP95" s="1145">
        <f t="shared" si="310"/>
        <v>0</v>
      </c>
      <c r="BQ95" s="1145">
        <f t="shared" si="311"/>
        <v>0</v>
      </c>
      <c r="BR95" s="1145">
        <f t="shared" si="312"/>
        <v>0</v>
      </c>
      <c r="BS95" s="1145">
        <f t="shared" si="313"/>
        <v>0</v>
      </c>
      <c r="BT95" s="1145">
        <f t="shared" si="314"/>
        <v>0</v>
      </c>
      <c r="BU95" s="1145">
        <f t="shared" si="315"/>
        <v>0</v>
      </c>
      <c r="BV95" s="1145"/>
      <c r="BW95" s="114">
        <v>42</v>
      </c>
      <c r="BX95" s="1145">
        <f t="shared" si="273"/>
        <v>0</v>
      </c>
      <c r="BY95" s="1145">
        <f t="shared" si="316"/>
        <v>0</v>
      </c>
      <c r="BZ95" s="1145">
        <f t="shared" si="317"/>
        <v>0</v>
      </c>
      <c r="CA95" s="1145">
        <f t="shared" si="318"/>
        <v>0</v>
      </c>
      <c r="CB95" s="1145">
        <f t="shared" si="319"/>
        <v>0</v>
      </c>
      <c r="CC95" s="1145">
        <f t="shared" si="320"/>
        <v>0</v>
      </c>
      <c r="CD95" s="1145">
        <f t="shared" si="321"/>
        <v>0</v>
      </c>
      <c r="CE95" s="1145">
        <f t="shared" si="322"/>
        <v>0</v>
      </c>
      <c r="CF95" s="1145">
        <f t="shared" si="323"/>
        <v>0</v>
      </c>
      <c r="CG95" s="1145">
        <f t="shared" si="324"/>
        <v>0</v>
      </c>
      <c r="CH95" s="1303"/>
      <c r="CM95" s="638"/>
      <c r="CN95" s="638"/>
      <c r="CO95" s="1860">
        <v>40</v>
      </c>
      <c r="CP95" s="1860"/>
      <c r="CQ95" s="1861"/>
      <c r="CR95" s="1867">
        <v>10104.371720680292</v>
      </c>
      <c r="CS95" s="638">
        <v>40</v>
      </c>
      <c r="CT95" s="672"/>
      <c r="CU95" s="957"/>
      <c r="CV95" s="957"/>
      <c r="CW95" s="957"/>
      <c r="CX95" s="957"/>
      <c r="CY95" s="957"/>
      <c r="CZ95" s="957"/>
      <c r="DA95" s="957"/>
      <c r="DB95" s="957"/>
      <c r="DC95" s="957">
        <v>50</v>
      </c>
      <c r="DD95" s="957">
        <v>50</v>
      </c>
      <c r="DE95" s="451"/>
      <c r="DF95" s="681"/>
      <c r="DG95" s="679">
        <v>40</v>
      </c>
      <c r="DH95" s="1864">
        <f t="shared" si="346"/>
        <v>0</v>
      </c>
      <c r="DI95" s="1864">
        <f t="shared" si="337"/>
        <v>0</v>
      </c>
      <c r="DJ95" s="1864">
        <f t="shared" si="338"/>
        <v>0</v>
      </c>
      <c r="DK95" s="1864">
        <f t="shared" si="339"/>
        <v>0</v>
      </c>
      <c r="DL95" s="1864">
        <f t="shared" si="340"/>
        <v>0</v>
      </c>
      <c r="DM95" s="1864">
        <f t="shared" si="341"/>
        <v>0</v>
      </c>
      <c r="DN95" s="1864">
        <f t="shared" si="342"/>
        <v>0</v>
      </c>
      <c r="DO95" s="1864">
        <f t="shared" si="343"/>
        <v>0</v>
      </c>
      <c r="DP95" s="1864">
        <f t="shared" si="344"/>
        <v>0</v>
      </c>
      <c r="DQ95" s="1864">
        <f t="shared" si="345"/>
        <v>5052.1858603401461</v>
      </c>
      <c r="DR95" s="956">
        <f t="shared" si="347"/>
        <v>5052.1858603401461</v>
      </c>
      <c r="DS95" s="680">
        <f t="shared" si="305"/>
        <v>10104.371720680292</v>
      </c>
      <c r="DT95" s="192"/>
      <c r="DU95" s="192"/>
      <c r="DV95" s="192"/>
      <c r="DW95" s="192"/>
      <c r="DX95" s="192"/>
      <c r="DY95" s="192"/>
      <c r="DZ95" s="192"/>
      <c r="EA95" s="192"/>
      <c r="EB95" s="192"/>
      <c r="EC95" s="192"/>
      <c r="ED95" s="192"/>
      <c r="EE95" s="154"/>
      <c r="EF95" s="154"/>
    </row>
    <row r="96" spans="2:136" ht="14.4" thickTop="1" thickBot="1">
      <c r="B96" s="1147">
        <v>43</v>
      </c>
      <c r="C96" s="1147"/>
      <c r="D96" s="1154"/>
      <c r="E96" s="1865">
        <v>0</v>
      </c>
      <c r="F96" s="1">
        <v>43</v>
      </c>
      <c r="T96" s="114">
        <v>43</v>
      </c>
      <c r="U96" s="1145">
        <f t="shared" si="283"/>
        <v>0</v>
      </c>
      <c r="V96" s="1145">
        <f t="shared" si="284"/>
        <v>0</v>
      </c>
      <c r="W96" s="1145">
        <f t="shared" si="285"/>
        <v>0</v>
      </c>
      <c r="X96" s="1145">
        <f t="shared" si="286"/>
        <v>0</v>
      </c>
      <c r="Y96" s="1145">
        <f t="shared" si="287"/>
        <v>0</v>
      </c>
      <c r="Z96" s="1145">
        <f t="shared" si="288"/>
        <v>0</v>
      </c>
      <c r="AA96" s="1145">
        <f t="shared" si="289"/>
        <v>0</v>
      </c>
      <c r="AB96" s="1145">
        <f t="shared" si="290"/>
        <v>0</v>
      </c>
      <c r="AC96" s="1145">
        <f t="shared" si="291"/>
        <v>0</v>
      </c>
      <c r="AD96" s="1145">
        <f t="shared" si="292"/>
        <v>0</v>
      </c>
      <c r="AE96" s="1145"/>
      <c r="AF96" s="114">
        <v>43</v>
      </c>
      <c r="AG96" s="1145">
        <f t="shared" si="254"/>
        <v>0</v>
      </c>
      <c r="AH96" s="1145">
        <f t="shared" si="255"/>
        <v>0</v>
      </c>
      <c r="AI96" s="1145">
        <f t="shared" si="256"/>
        <v>0</v>
      </c>
      <c r="AJ96" s="1145">
        <f t="shared" si="257"/>
        <v>0</v>
      </c>
      <c r="AK96" s="1145">
        <f t="shared" si="258"/>
        <v>0</v>
      </c>
      <c r="AL96" s="1145">
        <f t="shared" si="259"/>
        <v>0</v>
      </c>
      <c r="AM96" s="1145">
        <f t="shared" si="260"/>
        <v>0</v>
      </c>
      <c r="AN96" s="1145">
        <f t="shared" si="261"/>
        <v>0</v>
      </c>
      <c r="AO96" s="1145">
        <f t="shared" si="262"/>
        <v>0</v>
      </c>
      <c r="AP96" s="1145">
        <f t="shared" si="263"/>
        <v>0</v>
      </c>
      <c r="AQ96" s="1303"/>
      <c r="AR96" s="1"/>
      <c r="AS96" s="1147">
        <v>43</v>
      </c>
      <c r="AT96" s="1147"/>
      <c r="AU96" s="1154"/>
      <c r="AV96" s="1865">
        <v>0</v>
      </c>
      <c r="AW96" s="1">
        <v>43</v>
      </c>
      <c r="BK96" s="114">
        <v>43</v>
      </c>
      <c r="BL96" s="1145">
        <f t="shared" si="293"/>
        <v>0</v>
      </c>
      <c r="BM96" s="1145">
        <f t="shared" si="307"/>
        <v>0</v>
      </c>
      <c r="BN96" s="1145">
        <f t="shared" si="308"/>
        <v>0</v>
      </c>
      <c r="BO96" s="1145">
        <f t="shared" si="309"/>
        <v>0</v>
      </c>
      <c r="BP96" s="1145">
        <f t="shared" si="310"/>
        <v>0</v>
      </c>
      <c r="BQ96" s="1145">
        <f t="shared" si="311"/>
        <v>0</v>
      </c>
      <c r="BR96" s="1145">
        <f t="shared" si="312"/>
        <v>0</v>
      </c>
      <c r="BS96" s="1145">
        <f t="shared" si="313"/>
        <v>0</v>
      </c>
      <c r="BT96" s="1145">
        <f t="shared" si="314"/>
        <v>0</v>
      </c>
      <c r="BU96" s="1145">
        <f t="shared" si="315"/>
        <v>0</v>
      </c>
      <c r="BV96" s="1145"/>
      <c r="BW96" s="114">
        <v>43</v>
      </c>
      <c r="BX96" s="1145">
        <f t="shared" si="273"/>
        <v>0</v>
      </c>
      <c r="BY96" s="1145">
        <f t="shared" si="316"/>
        <v>0</v>
      </c>
      <c r="BZ96" s="1145">
        <f t="shared" si="317"/>
        <v>0</v>
      </c>
      <c r="CA96" s="1145">
        <f t="shared" si="318"/>
        <v>0</v>
      </c>
      <c r="CB96" s="1145">
        <f t="shared" si="319"/>
        <v>0</v>
      </c>
      <c r="CC96" s="1145">
        <f t="shared" si="320"/>
        <v>0</v>
      </c>
      <c r="CD96" s="1145">
        <f t="shared" si="321"/>
        <v>0</v>
      </c>
      <c r="CE96" s="1145">
        <f t="shared" si="322"/>
        <v>0</v>
      </c>
      <c r="CF96" s="1145">
        <f t="shared" si="323"/>
        <v>0</v>
      </c>
      <c r="CG96" s="1145">
        <f t="shared" si="324"/>
        <v>0</v>
      </c>
      <c r="CH96" s="1303"/>
      <c r="CM96" s="638"/>
      <c r="CN96" s="638"/>
      <c r="CO96" s="1860">
        <v>41</v>
      </c>
      <c r="CP96" s="1860"/>
      <c r="CQ96" s="1861"/>
      <c r="CR96" s="1867">
        <v>511.41199249706506</v>
      </c>
      <c r="CS96" s="638">
        <v>41</v>
      </c>
      <c r="CT96" s="672"/>
      <c r="CU96" s="957"/>
      <c r="CV96" s="957"/>
      <c r="CW96" s="957"/>
      <c r="CX96" s="957"/>
      <c r="CY96" s="957"/>
      <c r="CZ96" s="957"/>
      <c r="DA96" s="957"/>
      <c r="DB96" s="957"/>
      <c r="DC96" s="957"/>
      <c r="DD96" s="957">
        <v>100</v>
      </c>
      <c r="DE96" s="451"/>
      <c r="DF96" s="681"/>
      <c r="DG96" s="679">
        <v>41</v>
      </c>
      <c r="DH96" s="1864">
        <f t="shared" si="346"/>
        <v>0</v>
      </c>
      <c r="DI96" s="1864">
        <f t="shared" si="337"/>
        <v>0</v>
      </c>
      <c r="DJ96" s="1864">
        <f t="shared" si="338"/>
        <v>0</v>
      </c>
      <c r="DK96" s="1864">
        <f t="shared" si="339"/>
        <v>0</v>
      </c>
      <c r="DL96" s="1864">
        <f t="shared" si="340"/>
        <v>0</v>
      </c>
      <c r="DM96" s="1864">
        <f t="shared" si="341"/>
        <v>0</v>
      </c>
      <c r="DN96" s="1864">
        <f t="shared" si="342"/>
        <v>0</v>
      </c>
      <c r="DO96" s="1864">
        <f t="shared" si="343"/>
        <v>0</v>
      </c>
      <c r="DP96" s="1864">
        <f t="shared" si="344"/>
        <v>0</v>
      </c>
      <c r="DQ96" s="1864">
        <f t="shared" si="345"/>
        <v>0</v>
      </c>
      <c r="DR96" s="956">
        <f t="shared" si="347"/>
        <v>511.41199249706506</v>
      </c>
      <c r="DS96" s="680">
        <f t="shared" si="305"/>
        <v>511.41199249706506</v>
      </c>
      <c r="DT96" s="192"/>
      <c r="DU96" s="192"/>
      <c r="DV96" s="192"/>
      <c r="DW96" s="192"/>
      <c r="DX96" s="192" t="s">
        <v>631</v>
      </c>
      <c r="DY96" s="192" t="s">
        <v>632</v>
      </c>
      <c r="DZ96" s="192" t="s">
        <v>633</v>
      </c>
      <c r="EA96" s="192"/>
      <c r="EB96" s="192"/>
      <c r="EC96" s="192"/>
      <c r="ED96" s="192"/>
      <c r="EE96" s="154"/>
      <c r="EF96" s="154"/>
    </row>
    <row r="97" spans="2:136" ht="14.4" thickTop="1" thickBot="1">
      <c r="B97" s="1147">
        <v>44</v>
      </c>
      <c r="C97" s="1147"/>
      <c r="D97" s="1154"/>
      <c r="E97" s="1865">
        <v>0</v>
      </c>
      <c r="F97" s="1">
        <v>44</v>
      </c>
      <c r="T97" s="114">
        <v>44</v>
      </c>
      <c r="U97" s="1145">
        <f t="shared" si="283"/>
        <v>0</v>
      </c>
      <c r="V97" s="1145">
        <f t="shared" si="284"/>
        <v>0</v>
      </c>
      <c r="W97" s="1145">
        <f t="shared" si="285"/>
        <v>0</v>
      </c>
      <c r="X97" s="1145">
        <f t="shared" si="286"/>
        <v>0</v>
      </c>
      <c r="Y97" s="1145">
        <f t="shared" si="287"/>
        <v>0</v>
      </c>
      <c r="Z97" s="1145">
        <f t="shared" si="288"/>
        <v>0</v>
      </c>
      <c r="AA97" s="1145">
        <f t="shared" si="289"/>
        <v>0</v>
      </c>
      <c r="AB97" s="1145">
        <f t="shared" si="290"/>
        <v>0</v>
      </c>
      <c r="AC97" s="1145">
        <f t="shared" si="291"/>
        <v>0</v>
      </c>
      <c r="AD97" s="1145">
        <f t="shared" si="292"/>
        <v>0</v>
      </c>
      <c r="AE97" s="1145"/>
      <c r="AF97" s="114">
        <v>44</v>
      </c>
      <c r="AG97" s="1145">
        <f t="shared" si="254"/>
        <v>0</v>
      </c>
      <c r="AH97" s="1145">
        <f t="shared" si="255"/>
        <v>0</v>
      </c>
      <c r="AI97" s="1145">
        <f t="shared" si="256"/>
        <v>0</v>
      </c>
      <c r="AJ97" s="1145">
        <f t="shared" si="257"/>
        <v>0</v>
      </c>
      <c r="AK97" s="1145">
        <f t="shared" si="258"/>
        <v>0</v>
      </c>
      <c r="AL97" s="1145">
        <f t="shared" si="259"/>
        <v>0</v>
      </c>
      <c r="AM97" s="1145">
        <f t="shared" si="260"/>
        <v>0</v>
      </c>
      <c r="AN97" s="1145">
        <f t="shared" si="261"/>
        <v>0</v>
      </c>
      <c r="AO97" s="1145">
        <f t="shared" si="262"/>
        <v>0</v>
      </c>
      <c r="AP97" s="1145">
        <f t="shared" si="263"/>
        <v>0</v>
      </c>
      <c r="AQ97" s="1303"/>
      <c r="AR97" s="1"/>
      <c r="AS97" s="1147">
        <v>44</v>
      </c>
      <c r="AT97" s="1147"/>
      <c r="AU97" s="1154"/>
      <c r="AV97" s="1865">
        <v>0</v>
      </c>
      <c r="AW97" s="1">
        <v>44</v>
      </c>
      <c r="BK97" s="114">
        <v>44</v>
      </c>
      <c r="BL97" s="1145">
        <f t="shared" si="293"/>
        <v>0</v>
      </c>
      <c r="BM97" s="1145">
        <f t="shared" si="307"/>
        <v>0</v>
      </c>
      <c r="BN97" s="1145">
        <f t="shared" si="308"/>
        <v>0</v>
      </c>
      <c r="BO97" s="1145">
        <f t="shared" si="309"/>
        <v>0</v>
      </c>
      <c r="BP97" s="1145">
        <f t="shared" si="310"/>
        <v>0</v>
      </c>
      <c r="BQ97" s="1145">
        <f t="shared" si="311"/>
        <v>0</v>
      </c>
      <c r="BR97" s="1145">
        <f t="shared" si="312"/>
        <v>0</v>
      </c>
      <c r="BS97" s="1145">
        <f t="shared" si="313"/>
        <v>0</v>
      </c>
      <c r="BT97" s="1145">
        <f t="shared" si="314"/>
        <v>0</v>
      </c>
      <c r="BU97" s="1145">
        <f t="shared" si="315"/>
        <v>0</v>
      </c>
      <c r="BV97" s="1145"/>
      <c r="BW97" s="114">
        <v>44</v>
      </c>
      <c r="BX97" s="1145">
        <f t="shared" si="273"/>
        <v>0</v>
      </c>
      <c r="BY97" s="1145">
        <f t="shared" si="316"/>
        <v>0</v>
      </c>
      <c r="BZ97" s="1145">
        <f t="shared" si="317"/>
        <v>0</v>
      </c>
      <c r="CA97" s="1145">
        <f t="shared" si="318"/>
        <v>0</v>
      </c>
      <c r="CB97" s="1145">
        <f t="shared" si="319"/>
        <v>0</v>
      </c>
      <c r="CC97" s="1145">
        <f t="shared" si="320"/>
        <v>0</v>
      </c>
      <c r="CD97" s="1145">
        <f t="shared" si="321"/>
        <v>0</v>
      </c>
      <c r="CE97" s="1145">
        <f t="shared" si="322"/>
        <v>0</v>
      </c>
      <c r="CF97" s="1145">
        <f t="shared" si="323"/>
        <v>0</v>
      </c>
      <c r="CG97" s="1145">
        <f t="shared" si="324"/>
        <v>0</v>
      </c>
      <c r="CH97" s="1303"/>
      <c r="CM97" s="638"/>
      <c r="CN97" s="638"/>
      <c r="CO97" s="1860">
        <v>42</v>
      </c>
      <c r="CP97" s="1860"/>
      <c r="CQ97" s="1861"/>
      <c r="CR97" s="1867">
        <v>0</v>
      </c>
      <c r="CS97" s="638">
        <v>42</v>
      </c>
      <c r="CT97" s="638"/>
      <c r="CU97" s="451"/>
      <c r="CV97" s="451"/>
      <c r="CW97" s="451"/>
      <c r="CX97" s="451"/>
      <c r="CY97" s="451"/>
      <c r="CZ97" s="451"/>
      <c r="DA97" s="451"/>
      <c r="DB97" s="451"/>
      <c r="DC97" s="451"/>
      <c r="DD97" s="451"/>
      <c r="DE97" s="451"/>
      <c r="DF97" s="681"/>
      <c r="DG97" s="679">
        <v>42</v>
      </c>
      <c r="DH97" s="1864">
        <f t="shared" si="346"/>
        <v>0</v>
      </c>
      <c r="DI97" s="1864">
        <f t="shared" ref="DI97:DQ100" si="348">$CR97*CU97/100</f>
        <v>0</v>
      </c>
      <c r="DJ97" s="1864">
        <f t="shared" si="348"/>
        <v>0</v>
      </c>
      <c r="DK97" s="1864">
        <f t="shared" si="348"/>
        <v>0</v>
      </c>
      <c r="DL97" s="1864">
        <f t="shared" si="348"/>
        <v>0</v>
      </c>
      <c r="DM97" s="1864">
        <f t="shared" si="348"/>
        <v>0</v>
      </c>
      <c r="DN97" s="1864">
        <f t="shared" si="348"/>
        <v>0</v>
      </c>
      <c r="DO97" s="1864">
        <f t="shared" si="348"/>
        <v>0</v>
      </c>
      <c r="DP97" s="1864">
        <f t="shared" si="348"/>
        <v>0</v>
      </c>
      <c r="DQ97" s="1864">
        <f t="shared" si="348"/>
        <v>0</v>
      </c>
      <c r="DR97" s="956">
        <f t="shared" si="347"/>
        <v>0</v>
      </c>
      <c r="DS97" s="680">
        <f t="shared" si="305"/>
        <v>0</v>
      </c>
      <c r="DT97" s="192"/>
      <c r="DU97" s="192"/>
      <c r="DV97" s="192">
        <v>0</v>
      </c>
      <c r="DW97" s="192">
        <v>0</v>
      </c>
      <c r="DX97" s="192">
        <f>DW97/1000</f>
        <v>0</v>
      </c>
      <c r="DY97" s="192">
        <v>609487.27068021032</v>
      </c>
      <c r="DZ97" s="192">
        <f>DX97+DY97</f>
        <v>609487.27068021032</v>
      </c>
      <c r="EA97" s="192"/>
      <c r="EB97" s="192"/>
      <c r="EC97" s="192"/>
      <c r="ED97" s="192"/>
      <c r="EE97" s="154"/>
      <c r="EF97" s="154"/>
    </row>
    <row r="98" spans="2:136" ht="14.4" thickTop="1" thickBot="1">
      <c r="B98" s="1147">
        <v>45</v>
      </c>
      <c r="C98" s="1147"/>
      <c r="D98" s="1154"/>
      <c r="E98" s="1865">
        <v>0</v>
      </c>
      <c r="F98" s="1">
        <v>45</v>
      </c>
      <c r="T98" s="114">
        <v>45</v>
      </c>
      <c r="U98" s="1145">
        <f t="shared" si="283"/>
        <v>0</v>
      </c>
      <c r="V98" s="1145">
        <f t="shared" si="284"/>
        <v>0</v>
      </c>
      <c r="W98" s="1145">
        <f t="shared" si="285"/>
        <v>0</v>
      </c>
      <c r="X98" s="1145">
        <f t="shared" si="286"/>
        <v>0</v>
      </c>
      <c r="Y98" s="1145">
        <f t="shared" si="287"/>
        <v>0</v>
      </c>
      <c r="Z98" s="1145">
        <f t="shared" si="288"/>
        <v>0</v>
      </c>
      <c r="AA98" s="1145">
        <f t="shared" si="289"/>
        <v>0</v>
      </c>
      <c r="AB98" s="1145">
        <f t="shared" si="290"/>
        <v>0</v>
      </c>
      <c r="AC98" s="1145">
        <f t="shared" si="291"/>
        <v>0</v>
      </c>
      <c r="AD98" s="1145">
        <f t="shared" si="292"/>
        <v>0</v>
      </c>
      <c r="AE98" s="1145"/>
      <c r="AF98" s="114">
        <v>45</v>
      </c>
      <c r="AG98" s="1145">
        <f t="shared" si="254"/>
        <v>0</v>
      </c>
      <c r="AH98" s="1145">
        <f t="shared" si="255"/>
        <v>0</v>
      </c>
      <c r="AI98" s="1145">
        <f t="shared" si="256"/>
        <v>0</v>
      </c>
      <c r="AJ98" s="1145">
        <f t="shared" si="257"/>
        <v>0</v>
      </c>
      <c r="AK98" s="1145">
        <f t="shared" si="258"/>
        <v>0</v>
      </c>
      <c r="AL98" s="1145">
        <f t="shared" si="259"/>
        <v>0</v>
      </c>
      <c r="AM98" s="1145">
        <f t="shared" si="260"/>
        <v>0</v>
      </c>
      <c r="AN98" s="1145">
        <f t="shared" si="261"/>
        <v>0</v>
      </c>
      <c r="AO98" s="1145">
        <f t="shared" si="262"/>
        <v>0</v>
      </c>
      <c r="AP98" s="1145">
        <f t="shared" si="263"/>
        <v>0</v>
      </c>
      <c r="AQ98" s="1303"/>
      <c r="AR98" s="1"/>
      <c r="AS98" s="1147">
        <v>45</v>
      </c>
      <c r="AT98" s="1147"/>
      <c r="AU98" s="1154"/>
      <c r="AV98" s="1865">
        <v>0</v>
      </c>
      <c r="AW98" s="1">
        <v>45</v>
      </c>
      <c r="BK98" s="114">
        <v>45</v>
      </c>
      <c r="BL98" s="1145">
        <f t="shared" si="293"/>
        <v>0</v>
      </c>
      <c r="BM98" s="1145">
        <f t="shared" si="307"/>
        <v>0</v>
      </c>
      <c r="BN98" s="1145">
        <f t="shared" si="308"/>
        <v>0</v>
      </c>
      <c r="BO98" s="1145">
        <f t="shared" si="309"/>
        <v>0</v>
      </c>
      <c r="BP98" s="1145">
        <f t="shared" si="310"/>
        <v>0</v>
      </c>
      <c r="BQ98" s="1145">
        <f t="shared" si="311"/>
        <v>0</v>
      </c>
      <c r="BR98" s="1145">
        <f t="shared" si="312"/>
        <v>0</v>
      </c>
      <c r="BS98" s="1145">
        <f t="shared" si="313"/>
        <v>0</v>
      </c>
      <c r="BT98" s="1145">
        <f t="shared" si="314"/>
        <v>0</v>
      </c>
      <c r="BU98" s="1145">
        <f t="shared" si="315"/>
        <v>0</v>
      </c>
      <c r="BV98" s="1145"/>
      <c r="BW98" s="114">
        <v>45</v>
      </c>
      <c r="BX98" s="1145">
        <f t="shared" si="273"/>
        <v>0</v>
      </c>
      <c r="BY98" s="1145">
        <f t="shared" si="316"/>
        <v>0</v>
      </c>
      <c r="BZ98" s="1145">
        <f t="shared" si="317"/>
        <v>0</v>
      </c>
      <c r="CA98" s="1145">
        <f t="shared" si="318"/>
        <v>0</v>
      </c>
      <c r="CB98" s="1145">
        <f t="shared" si="319"/>
        <v>0</v>
      </c>
      <c r="CC98" s="1145">
        <f t="shared" si="320"/>
        <v>0</v>
      </c>
      <c r="CD98" s="1145">
        <f t="shared" si="321"/>
        <v>0</v>
      </c>
      <c r="CE98" s="1145">
        <f t="shared" si="322"/>
        <v>0</v>
      </c>
      <c r="CF98" s="1145">
        <f t="shared" si="323"/>
        <v>0</v>
      </c>
      <c r="CG98" s="1145">
        <f t="shared" si="324"/>
        <v>0</v>
      </c>
      <c r="CH98" s="1303"/>
      <c r="CM98" s="638"/>
      <c r="CN98" s="638"/>
      <c r="CO98" s="1860">
        <v>43</v>
      </c>
      <c r="CP98" s="1860"/>
      <c r="CQ98" s="1861"/>
      <c r="CR98" s="1867">
        <v>0</v>
      </c>
      <c r="CS98" s="638">
        <v>43</v>
      </c>
      <c r="CT98" s="638"/>
      <c r="CU98" s="638"/>
      <c r="CV98" s="638"/>
      <c r="CW98" s="638"/>
      <c r="CX98" s="638"/>
      <c r="CY98" s="638"/>
      <c r="CZ98" s="638"/>
      <c r="DA98" s="638"/>
      <c r="DB98" s="638"/>
      <c r="DC98" s="638"/>
      <c r="DD98" s="638"/>
      <c r="DE98" s="638"/>
      <c r="DF98" s="675"/>
      <c r="DG98" s="679">
        <v>43</v>
      </c>
      <c r="DH98" s="1864">
        <f t="shared" si="346"/>
        <v>0</v>
      </c>
      <c r="DI98" s="1864">
        <f t="shared" si="348"/>
        <v>0</v>
      </c>
      <c r="DJ98" s="1864">
        <f t="shared" si="348"/>
        <v>0</v>
      </c>
      <c r="DK98" s="1864">
        <f t="shared" si="348"/>
        <v>0</v>
      </c>
      <c r="DL98" s="1864">
        <f t="shared" si="348"/>
        <v>0</v>
      </c>
      <c r="DM98" s="1864">
        <f t="shared" si="348"/>
        <v>0</v>
      </c>
      <c r="DN98" s="1864">
        <f t="shared" si="348"/>
        <v>0</v>
      </c>
      <c r="DO98" s="1864">
        <f t="shared" si="348"/>
        <v>0</v>
      </c>
      <c r="DP98" s="1864">
        <f t="shared" si="348"/>
        <v>0</v>
      </c>
      <c r="DQ98" s="1864">
        <f t="shared" si="348"/>
        <v>0</v>
      </c>
      <c r="DR98" s="956">
        <f t="shared" si="347"/>
        <v>0</v>
      </c>
      <c r="DS98" s="680">
        <f t="shared" si="305"/>
        <v>0</v>
      </c>
      <c r="DT98" s="192"/>
      <c r="DU98" s="192"/>
      <c r="DV98" s="192">
        <v>1</v>
      </c>
      <c r="DW98" s="192">
        <v>158334.70945276853</v>
      </c>
      <c r="DX98" s="192">
        <f t="shared" ref="DX98:DX107" si="349">DW98/1000</f>
        <v>158.33470945276852</v>
      </c>
      <c r="DY98" s="192">
        <v>16233.283334752019</v>
      </c>
      <c r="DZ98" s="192">
        <f t="shared" ref="DZ98:DZ107" si="350">DX98+DY98</f>
        <v>16391.618044204788</v>
      </c>
      <c r="EA98" s="192"/>
      <c r="EB98" s="192"/>
      <c r="EC98" s="192"/>
      <c r="ED98" s="192"/>
      <c r="EE98" s="154"/>
      <c r="EF98" s="154"/>
    </row>
    <row r="99" spans="2:136" ht="15" thickTop="1" thickBot="1">
      <c r="B99" s="1147">
        <v>46</v>
      </c>
      <c r="C99" s="1147"/>
      <c r="D99" s="1869"/>
      <c r="E99" s="1865">
        <v>0</v>
      </c>
      <c r="F99" s="1">
        <v>46</v>
      </c>
      <c r="T99" s="1" t="s">
        <v>634</v>
      </c>
      <c r="U99" s="2">
        <f>SUM(U58:U98)</f>
        <v>0</v>
      </c>
      <c r="V99" s="2">
        <f t="shared" ref="V99:AD99" si="351">SUM(V58:V98)</f>
        <v>501390.91430010274</v>
      </c>
      <c r="W99" s="2">
        <f t="shared" si="351"/>
        <v>33456690.463428322</v>
      </c>
      <c r="X99" s="2">
        <f t="shared" si="351"/>
        <v>112628244.29543321</v>
      </c>
      <c r="Y99" s="2">
        <f t="shared" si="351"/>
        <v>87299172.550443411</v>
      </c>
      <c r="Z99" s="2">
        <f t="shared" si="351"/>
        <v>71540631.773438454</v>
      </c>
      <c r="AA99" s="2">
        <f t="shared" si="351"/>
        <v>19822033.311263047</v>
      </c>
      <c r="AB99" s="2">
        <f t="shared" si="351"/>
        <v>1427530.7666850116</v>
      </c>
      <c r="AC99" s="2">
        <f t="shared" si="351"/>
        <v>0</v>
      </c>
      <c r="AD99" s="2">
        <f t="shared" si="351"/>
        <v>0</v>
      </c>
      <c r="AE99" s="2"/>
      <c r="AF99" s="1" t="s">
        <v>634</v>
      </c>
      <c r="AG99" s="2">
        <f>SUM(AG58:AG98)</f>
        <v>0</v>
      </c>
      <c r="AH99" s="2">
        <f t="shared" ref="AH99:AP99" si="352">SUM(AH58:AH98)</f>
        <v>10027818.286002055</v>
      </c>
      <c r="AI99" s="2">
        <f t="shared" si="352"/>
        <v>736236243.9105593</v>
      </c>
      <c r="AJ99" s="2">
        <f t="shared" si="352"/>
        <v>2701729211.960618</v>
      </c>
      <c r="AK99" s="2">
        <f t="shared" si="352"/>
        <v>2321094266.8855305</v>
      </c>
      <c r="AL99" s="2">
        <f t="shared" si="352"/>
        <v>2075894606.4520738</v>
      </c>
      <c r="AM99" s="2">
        <f t="shared" si="352"/>
        <v>617115229.47132838</v>
      </c>
      <c r="AN99" s="2">
        <f t="shared" si="352"/>
        <v>48842297.006195173</v>
      </c>
      <c r="AO99" s="2">
        <f t="shared" si="352"/>
        <v>0</v>
      </c>
      <c r="AP99" s="2">
        <f t="shared" si="352"/>
        <v>0</v>
      </c>
      <c r="AQ99" s="74"/>
      <c r="AR99" s="1"/>
      <c r="AS99" s="1147">
        <v>46</v>
      </c>
      <c r="AT99" s="1147"/>
      <c r="AU99" s="1869"/>
      <c r="AV99" s="1865">
        <v>0</v>
      </c>
      <c r="AW99" s="1">
        <v>46</v>
      </c>
      <c r="BK99" s="1" t="s">
        <v>634</v>
      </c>
      <c r="BL99" s="2">
        <f>SUM(BL58:BL98)</f>
        <v>0</v>
      </c>
      <c r="BM99" s="2">
        <f t="shared" ref="BM99:BU99" si="353">SUM(BM58:BM98)</f>
        <v>175638.72805305623</v>
      </c>
      <c r="BN99" s="2">
        <f t="shared" si="353"/>
        <v>56507080.530200414</v>
      </c>
      <c r="BO99" s="2">
        <f t="shared" si="353"/>
        <v>85031458.230702162</v>
      </c>
      <c r="BP99" s="2">
        <f t="shared" si="353"/>
        <v>86724624.42724967</v>
      </c>
      <c r="BQ99" s="2">
        <f t="shared" si="353"/>
        <v>31456570.696055539</v>
      </c>
      <c r="BR99" s="2">
        <f t="shared" si="353"/>
        <v>39700251.877998434</v>
      </c>
      <c r="BS99" s="2">
        <f t="shared" si="353"/>
        <v>22669931.460763883</v>
      </c>
      <c r="BT99" s="2">
        <f t="shared" si="353"/>
        <v>1855402.0806546998</v>
      </c>
      <c r="BU99" s="2">
        <f t="shared" si="353"/>
        <v>2110111.9870364838</v>
      </c>
      <c r="BV99" s="2"/>
      <c r="BW99" s="1" t="s">
        <v>634</v>
      </c>
      <c r="BX99" s="2">
        <f>SUM(BX58:BX98)</f>
        <v>0</v>
      </c>
      <c r="BY99" s="2">
        <f t="shared" ref="BY99:CG99" si="354">SUM(BY58:BY98)</f>
        <v>3337135.8330080681</v>
      </c>
      <c r="BZ99" s="2">
        <f t="shared" si="354"/>
        <v>1255851184.8040745</v>
      </c>
      <c r="CA99" s="2">
        <f t="shared" si="354"/>
        <v>2071961932.6747131</v>
      </c>
      <c r="CB99" s="2">
        <f t="shared" si="354"/>
        <v>2352852119.1557541</v>
      </c>
      <c r="CC99" s="2">
        <f t="shared" si="354"/>
        <v>930767313.29327631</v>
      </c>
      <c r="CD99" s="2">
        <f t="shared" si="354"/>
        <v>1250494032.2051814</v>
      </c>
      <c r="CE99" s="2">
        <f t="shared" si="354"/>
        <v>758516464.52006936</v>
      </c>
      <c r="CF99" s="2">
        <f t="shared" si="354"/>
        <v>65762367.170717381</v>
      </c>
      <c r="CG99" s="2">
        <f t="shared" si="354"/>
        <v>80263349.842737973</v>
      </c>
      <c r="CH99" s="74"/>
      <c r="CM99" s="638"/>
      <c r="CN99" s="638"/>
      <c r="CO99" s="1860">
        <v>44</v>
      </c>
      <c r="CP99" s="1860"/>
      <c r="CQ99" s="1861"/>
      <c r="CR99" s="1867">
        <v>0</v>
      </c>
      <c r="CS99" s="638">
        <v>44</v>
      </c>
      <c r="CT99" s="638"/>
      <c r="CU99" s="638"/>
      <c r="CV99" s="638"/>
      <c r="CW99" s="638"/>
      <c r="CX99" s="638"/>
      <c r="CY99" s="638"/>
      <c r="CZ99" s="638"/>
      <c r="DA99" s="638"/>
      <c r="DB99" s="638"/>
      <c r="DC99" s="638"/>
      <c r="DD99" s="638"/>
      <c r="DE99" s="638"/>
      <c r="DF99" s="675"/>
      <c r="DG99" s="679">
        <v>44</v>
      </c>
      <c r="DH99" s="1864">
        <f t="shared" si="346"/>
        <v>0</v>
      </c>
      <c r="DI99" s="1864">
        <f t="shared" si="348"/>
        <v>0</v>
      </c>
      <c r="DJ99" s="1864">
        <f t="shared" si="348"/>
        <v>0</v>
      </c>
      <c r="DK99" s="1864">
        <f t="shared" si="348"/>
        <v>0</v>
      </c>
      <c r="DL99" s="1864">
        <f t="shared" si="348"/>
        <v>0</v>
      </c>
      <c r="DM99" s="1864">
        <f t="shared" si="348"/>
        <v>0</v>
      </c>
      <c r="DN99" s="1864">
        <f t="shared" si="348"/>
        <v>0</v>
      </c>
      <c r="DO99" s="1864">
        <f t="shared" si="348"/>
        <v>0</v>
      </c>
      <c r="DP99" s="1864">
        <f t="shared" si="348"/>
        <v>0</v>
      </c>
      <c r="DQ99" s="1864">
        <f t="shared" si="348"/>
        <v>0</v>
      </c>
      <c r="DR99" s="956">
        <f t="shared" si="347"/>
        <v>0</v>
      </c>
      <c r="DS99" s="680">
        <f t="shared" si="305"/>
        <v>0</v>
      </c>
      <c r="DT99" s="192"/>
      <c r="DU99" s="192"/>
      <c r="DV99" s="192">
        <v>2</v>
      </c>
      <c r="DW99" s="192">
        <v>7287282.6261583557</v>
      </c>
      <c r="DX99" s="192">
        <f t="shared" si="349"/>
        <v>7287.2826261583559</v>
      </c>
      <c r="DY99" s="192">
        <v>62270.812150922829</v>
      </c>
      <c r="DZ99" s="192">
        <f t="shared" si="350"/>
        <v>69558.094777081191</v>
      </c>
      <c r="EA99" s="192"/>
      <c r="EB99" s="192"/>
      <c r="EC99" s="192"/>
      <c r="ED99" s="192"/>
      <c r="EE99" s="154"/>
      <c r="EF99" s="154"/>
    </row>
    <row r="100" spans="2:136" ht="15" thickTop="1" thickBot="1">
      <c r="B100" s="1147">
        <v>47</v>
      </c>
      <c r="C100" s="1147"/>
      <c r="D100" s="1869"/>
      <c r="E100" s="1865">
        <v>0</v>
      </c>
      <c r="AG100" s="1">
        <v>0</v>
      </c>
      <c r="AH100" s="1">
        <v>501390.91430010274</v>
      </c>
      <c r="AI100" s="1">
        <v>33456690.463428322</v>
      </c>
      <c r="AJ100" s="1">
        <v>112628244.29543321</v>
      </c>
      <c r="AK100" s="1">
        <v>87299172.550443411</v>
      </c>
      <c r="AL100" s="1">
        <v>71540631.773438454</v>
      </c>
      <c r="AM100" s="1">
        <v>19822033.311263047</v>
      </c>
      <c r="AN100" s="1">
        <v>1427530.7666850116</v>
      </c>
      <c r="AO100" s="1">
        <v>0</v>
      </c>
      <c r="AP100" s="1">
        <v>0</v>
      </c>
      <c r="AR100" s="1"/>
      <c r="AS100" s="1147">
        <v>47</v>
      </c>
      <c r="AT100" s="1147"/>
      <c r="AU100" s="1869"/>
      <c r="AV100" s="1865">
        <v>0</v>
      </c>
      <c r="AW100" s="1">
        <v>47</v>
      </c>
      <c r="BX100" s="1">
        <v>0</v>
      </c>
      <c r="BY100" s="2">
        <f>BM99</f>
        <v>175638.72805305623</v>
      </c>
      <c r="BZ100" s="2">
        <f t="shared" ref="BZ100:CG100" si="355">BN99</f>
        <v>56507080.530200414</v>
      </c>
      <c r="CA100" s="2">
        <f t="shared" si="355"/>
        <v>85031458.230702162</v>
      </c>
      <c r="CB100" s="2">
        <f t="shared" si="355"/>
        <v>86724624.42724967</v>
      </c>
      <c r="CC100" s="2">
        <f t="shared" si="355"/>
        <v>31456570.696055539</v>
      </c>
      <c r="CD100" s="2">
        <f t="shared" si="355"/>
        <v>39700251.877998434</v>
      </c>
      <c r="CE100" s="2">
        <f t="shared" si="355"/>
        <v>22669931.460763883</v>
      </c>
      <c r="CF100" s="2">
        <f t="shared" si="355"/>
        <v>1855402.0806546998</v>
      </c>
      <c r="CG100" s="2">
        <f t="shared" si="355"/>
        <v>2110111.9870364838</v>
      </c>
      <c r="CH100" s="75"/>
      <c r="CM100" s="638"/>
      <c r="CN100" s="638"/>
      <c r="CO100" s="1860">
        <v>45</v>
      </c>
      <c r="CP100" s="1860"/>
      <c r="CQ100" s="1861"/>
      <c r="CR100" s="1867">
        <v>0</v>
      </c>
      <c r="CS100" s="638">
        <v>45</v>
      </c>
      <c r="CT100" s="638"/>
      <c r="CU100" s="638"/>
      <c r="CV100" s="638"/>
      <c r="CW100" s="638"/>
      <c r="CX100" s="638"/>
      <c r="CY100" s="638"/>
      <c r="CZ100" s="638"/>
      <c r="DA100" s="638"/>
      <c r="DB100" s="638"/>
      <c r="DC100" s="638"/>
      <c r="DD100" s="638"/>
      <c r="DE100" s="638"/>
      <c r="DF100" s="675"/>
      <c r="DG100" s="679">
        <v>45</v>
      </c>
      <c r="DH100" s="1864">
        <f>$CR100*CT100/100</f>
        <v>0</v>
      </c>
      <c r="DI100" s="1864">
        <f t="shared" si="348"/>
        <v>0</v>
      </c>
      <c r="DJ100" s="1864">
        <f t="shared" si="348"/>
        <v>0</v>
      </c>
      <c r="DK100" s="1864">
        <f t="shared" si="348"/>
        <v>0</v>
      </c>
      <c r="DL100" s="1864">
        <f t="shared" si="348"/>
        <v>0</v>
      </c>
      <c r="DM100" s="1864">
        <f t="shared" si="348"/>
        <v>0</v>
      </c>
      <c r="DN100" s="1864">
        <f t="shared" si="348"/>
        <v>0</v>
      </c>
      <c r="DO100" s="1864">
        <f t="shared" si="348"/>
        <v>0</v>
      </c>
      <c r="DP100" s="1864">
        <f t="shared" si="348"/>
        <v>0</v>
      </c>
      <c r="DQ100" s="1864">
        <f t="shared" si="348"/>
        <v>0</v>
      </c>
      <c r="DR100" s="956">
        <f t="shared" si="347"/>
        <v>0</v>
      </c>
      <c r="DS100" s="680">
        <f t="shared" si="305"/>
        <v>0</v>
      </c>
      <c r="DT100" s="192"/>
      <c r="DU100" s="192"/>
      <c r="DV100" s="192">
        <v>3</v>
      </c>
      <c r="DW100" s="192">
        <v>8242413.4259943105</v>
      </c>
      <c r="DX100" s="192">
        <f t="shared" si="349"/>
        <v>8242.4134259943112</v>
      </c>
      <c r="DY100" s="192">
        <v>91510.48134987925</v>
      </c>
      <c r="DZ100" s="192">
        <f t="shared" si="350"/>
        <v>99752.894775873559</v>
      </c>
      <c r="EA100" s="192"/>
      <c r="EB100" s="192"/>
      <c r="EC100" s="192"/>
      <c r="ED100" s="192"/>
      <c r="EE100" s="154"/>
      <c r="EF100" s="154"/>
    </row>
    <row r="101" spans="2:136" ht="14.4" thickTop="1">
      <c r="B101" s="1147">
        <v>48</v>
      </c>
      <c r="C101" s="1147"/>
      <c r="D101" s="1869"/>
      <c r="E101" s="1865">
        <v>0</v>
      </c>
      <c r="AD101" s="104" t="s">
        <v>612</v>
      </c>
      <c r="AE101" s="103">
        <v>9.7999999999999997E-3</v>
      </c>
      <c r="AF101" s="1" t="s">
        <v>635</v>
      </c>
      <c r="AH101" s="35">
        <f>AH99/AH100</f>
        <v>20</v>
      </c>
      <c r="AI101" s="35">
        <f t="shared" ref="AI101:AN101" si="356">AI99/AI100</f>
        <v>22.005650699830664</v>
      </c>
      <c r="AJ101" s="35">
        <f t="shared" si="356"/>
        <v>23.988025640120597</v>
      </c>
      <c r="AK101" s="35">
        <f t="shared" si="356"/>
        <v>26.587815200016362</v>
      </c>
      <c r="AL101" s="35">
        <f t="shared" si="356"/>
        <v>29.017001317883388</v>
      </c>
      <c r="AM101" s="35">
        <f t="shared" si="356"/>
        <v>31.132791463965418</v>
      </c>
      <c r="AN101" s="35">
        <f t="shared" si="356"/>
        <v>34.214531935879705</v>
      </c>
      <c r="AO101" s="35"/>
      <c r="AP101" s="35"/>
      <c r="AQ101" s="545"/>
      <c r="AR101" s="1"/>
      <c r="AS101" s="1147">
        <v>48</v>
      </c>
      <c r="AT101" s="1147"/>
      <c r="AU101" s="1869"/>
      <c r="AV101" s="1865">
        <v>0</v>
      </c>
      <c r="AW101" s="1">
        <v>48</v>
      </c>
      <c r="BU101" s="104" t="s">
        <v>612</v>
      </c>
      <c r="BV101" s="103">
        <v>9.7999999999999997E-3</v>
      </c>
      <c r="BW101" s="1" t="s">
        <v>635</v>
      </c>
      <c r="BY101" s="35">
        <f>BY99/BY100</f>
        <v>19</v>
      </c>
      <c r="BZ101" s="35">
        <f t="shared" ref="BZ101:CG101" si="357">BZ99/BZ100</f>
        <v>22.224669422319213</v>
      </c>
      <c r="CA101" s="35">
        <f t="shared" si="357"/>
        <v>24.367004586152017</v>
      </c>
      <c r="CB101" s="35">
        <f t="shared" si="357"/>
        <v>27.130150573664132</v>
      </c>
      <c r="CC101" s="35">
        <f t="shared" si="357"/>
        <v>29.588963218104027</v>
      </c>
      <c r="CD101" s="35">
        <f t="shared" si="357"/>
        <v>31.498390389260862</v>
      </c>
      <c r="CE101" s="35">
        <f t="shared" si="357"/>
        <v>33.45914238130257</v>
      </c>
      <c r="CF101" s="35">
        <f t="shared" si="357"/>
        <v>35.443728265903623</v>
      </c>
      <c r="CG101" s="35">
        <f t="shared" si="357"/>
        <v>38.037483477577261</v>
      </c>
      <c r="CH101" s="545"/>
      <c r="CM101" s="638"/>
      <c r="CN101" s="638"/>
      <c r="CO101" s="1860">
        <v>46</v>
      </c>
      <c r="CP101" s="1860"/>
      <c r="CQ101" s="1870"/>
      <c r="CR101" s="1867">
        <v>0</v>
      </c>
      <c r="CS101" s="638">
        <v>46</v>
      </c>
      <c r="CT101" s="638"/>
      <c r="CU101" s="638"/>
      <c r="CV101" s="638"/>
      <c r="CW101" s="638"/>
      <c r="CX101" s="638"/>
      <c r="CY101" s="638"/>
      <c r="CZ101" s="638"/>
      <c r="DA101" s="638"/>
      <c r="DB101" s="638"/>
      <c r="DC101" s="638"/>
      <c r="DD101" s="638"/>
      <c r="DE101" s="638"/>
      <c r="DF101" s="675"/>
      <c r="DG101" s="676" t="s">
        <v>634</v>
      </c>
      <c r="DH101" s="682">
        <f>SUM(DH60:DH100)</f>
        <v>0</v>
      </c>
      <c r="DI101" s="682">
        <f t="shared" ref="DI101:DR101" si="358">SUM(DI60:DI100)</f>
        <v>158334.70945276853</v>
      </c>
      <c r="DJ101" s="682">
        <f t="shared" si="358"/>
        <v>7287282.6261583557</v>
      </c>
      <c r="DK101" s="682">
        <f t="shared" si="358"/>
        <v>8242413.4259943105</v>
      </c>
      <c r="DL101" s="682">
        <f t="shared" si="358"/>
        <v>6304389.8659975585</v>
      </c>
      <c r="DM101" s="682">
        <f t="shared" si="358"/>
        <v>1042812.190810345</v>
      </c>
      <c r="DN101" s="682">
        <f t="shared" si="358"/>
        <v>143700.12314176199</v>
      </c>
      <c r="DO101" s="682">
        <f t="shared" si="358"/>
        <v>123248.31429653602</v>
      </c>
      <c r="DP101" s="682">
        <f t="shared" si="358"/>
        <v>20417.86619032624</v>
      </c>
      <c r="DQ101" s="682">
        <f t="shared" si="358"/>
        <v>20059.154717138183</v>
      </c>
      <c r="DR101" s="682">
        <f t="shared" si="358"/>
        <v>5563.5978528372107</v>
      </c>
      <c r="DS101" s="680">
        <f t="shared" si="305"/>
        <v>23348221.87461194</v>
      </c>
      <c r="DT101" s="192"/>
      <c r="DU101" s="192"/>
      <c r="DV101" s="192">
        <v>4</v>
      </c>
      <c r="DW101" s="192">
        <v>6304389.8659975585</v>
      </c>
      <c r="DX101" s="192">
        <f t="shared" si="349"/>
        <v>6304.3898659975584</v>
      </c>
      <c r="DY101" s="192">
        <v>44099.064291008654</v>
      </c>
      <c r="DZ101" s="192">
        <f t="shared" si="350"/>
        <v>50403.454157006214</v>
      </c>
      <c r="EA101" s="192"/>
      <c r="EB101" s="192"/>
      <c r="EC101" s="192"/>
      <c r="ED101" s="192"/>
      <c r="EE101" s="154"/>
      <c r="EF101" s="154"/>
    </row>
    <row r="102" spans="2:136" ht="13.8">
      <c r="B102" s="1147">
        <v>49</v>
      </c>
      <c r="C102" s="1147"/>
      <c r="D102" s="1869"/>
      <c r="E102" s="1865">
        <v>0</v>
      </c>
      <c r="AD102" s="104" t="s">
        <v>616</v>
      </c>
      <c r="AE102" s="103">
        <v>2.9906999999999999</v>
      </c>
      <c r="AF102" s="1" t="s">
        <v>377</v>
      </c>
      <c r="AH102" s="1">
        <f t="shared" ref="AH102:AN102" si="359">$AE$101*AH101^$AE$102</f>
        <v>76.245897991856566</v>
      </c>
      <c r="AI102" s="1">
        <f t="shared" si="359"/>
        <v>101.47128322816219</v>
      </c>
      <c r="AJ102" s="1">
        <f t="shared" si="359"/>
        <v>131.33353679511271</v>
      </c>
      <c r="AK102" s="1">
        <f t="shared" si="359"/>
        <v>178.65882837738897</v>
      </c>
      <c r="AL102" s="1">
        <f t="shared" si="359"/>
        <v>232.04969157898469</v>
      </c>
      <c r="AM102" s="1">
        <f t="shared" si="359"/>
        <v>286.41340185752875</v>
      </c>
      <c r="AN102" s="1">
        <f t="shared" si="359"/>
        <v>379.83040484332383</v>
      </c>
      <c r="AR102" s="1"/>
      <c r="AS102" s="1147">
        <v>49</v>
      </c>
      <c r="AT102" s="1147"/>
      <c r="AU102" s="1869"/>
      <c r="AV102" s="1865">
        <v>0</v>
      </c>
      <c r="AW102" s="1">
        <v>49</v>
      </c>
      <c r="BU102" s="104" t="s">
        <v>616</v>
      </c>
      <c r="BV102" s="103">
        <v>2.9906999999999999</v>
      </c>
      <c r="BW102" s="1" t="s">
        <v>377</v>
      </c>
      <c r="BY102" s="1">
        <f t="shared" ref="BY102:CG102" si="360">$AE$101*BY101^$AE$102</f>
        <v>65.402518159348105</v>
      </c>
      <c r="BZ102" s="1">
        <f t="shared" si="360"/>
        <v>104.52169328625403</v>
      </c>
      <c r="CA102" s="1">
        <f t="shared" si="360"/>
        <v>137.63701676172062</v>
      </c>
      <c r="CB102" s="1">
        <f t="shared" si="360"/>
        <v>189.78049827957545</v>
      </c>
      <c r="CC102" s="1">
        <f t="shared" si="360"/>
        <v>245.99926695127368</v>
      </c>
      <c r="CD102" s="1">
        <f t="shared" si="360"/>
        <v>296.59039190599788</v>
      </c>
      <c r="CE102" s="1">
        <f t="shared" si="360"/>
        <v>355.29778747372012</v>
      </c>
      <c r="CF102" s="1">
        <f t="shared" si="360"/>
        <v>422.11769137309795</v>
      </c>
      <c r="CG102" s="1">
        <f t="shared" si="360"/>
        <v>521.3932882675947</v>
      </c>
      <c r="CH102" s="75"/>
      <c r="CM102" s="638"/>
      <c r="CN102" s="638"/>
      <c r="CO102" s="1860">
        <v>47</v>
      </c>
      <c r="CP102" s="1860"/>
      <c r="CQ102" s="1870"/>
      <c r="CR102" s="1867">
        <v>0</v>
      </c>
      <c r="CS102" s="638">
        <v>47</v>
      </c>
      <c r="CT102" s="638"/>
      <c r="CU102" s="638"/>
      <c r="CV102" s="638"/>
      <c r="CW102" s="638"/>
      <c r="CX102" s="638"/>
      <c r="CY102" s="638"/>
      <c r="CZ102" s="638"/>
      <c r="DA102" s="638"/>
      <c r="DB102" s="638"/>
      <c r="DC102" s="638"/>
      <c r="DD102" s="638"/>
      <c r="DE102" s="638"/>
      <c r="DF102" s="638"/>
      <c r="DG102" s="638"/>
      <c r="DH102" s="638"/>
      <c r="DI102" s="638"/>
      <c r="DJ102" s="638"/>
      <c r="DK102" s="638"/>
      <c r="DL102" s="638"/>
      <c r="DM102" s="638"/>
      <c r="DN102" s="638"/>
      <c r="DO102" s="638"/>
      <c r="DP102" s="638"/>
      <c r="DQ102" s="638"/>
      <c r="DR102" s="638"/>
      <c r="DU102" s="2"/>
      <c r="DV102" s="192">
        <v>5</v>
      </c>
      <c r="DW102" s="2">
        <v>1042812.190810345</v>
      </c>
      <c r="DX102" s="192">
        <f t="shared" si="349"/>
        <v>1042.8121908103451</v>
      </c>
      <c r="DY102" s="2">
        <v>14963.003602123827</v>
      </c>
      <c r="DZ102" s="192">
        <f t="shared" si="350"/>
        <v>16005.815792934172</v>
      </c>
      <c r="EA102" s="2"/>
      <c r="EB102" s="2"/>
      <c r="EC102" s="2"/>
    </row>
    <row r="103" spans="2:136" ht="13.8">
      <c r="B103" s="1147">
        <v>50</v>
      </c>
      <c r="C103" s="1155"/>
      <c r="D103" s="1869"/>
      <c r="E103" s="1843">
        <v>0</v>
      </c>
      <c r="AR103" s="1"/>
      <c r="AS103" s="1147">
        <v>50</v>
      </c>
      <c r="AT103" s="1155"/>
      <c r="AU103" s="1869"/>
      <c r="AV103" s="1843">
        <v>0</v>
      </c>
      <c r="AW103" s="1">
        <v>50</v>
      </c>
      <c r="CH103" s="75"/>
      <c r="CM103" s="638"/>
      <c r="CN103" s="638"/>
      <c r="CO103" s="1860">
        <v>48</v>
      </c>
      <c r="CP103" s="1860"/>
      <c r="CQ103" s="1870"/>
      <c r="CR103" s="1867">
        <v>0</v>
      </c>
      <c r="CS103" s="638">
        <v>48</v>
      </c>
      <c r="CT103" s="638"/>
      <c r="CU103" s="638"/>
      <c r="CV103" s="638"/>
      <c r="CW103" s="638"/>
      <c r="CX103" s="638"/>
      <c r="CY103" s="638"/>
      <c r="CZ103" s="638"/>
      <c r="DA103" s="638"/>
      <c r="DB103" s="638"/>
      <c r="DC103" s="638"/>
      <c r="DD103" s="638"/>
      <c r="DE103" s="638"/>
      <c r="DF103" s="638"/>
      <c r="DG103" s="638"/>
      <c r="DH103" s="638"/>
      <c r="DI103" s="638"/>
      <c r="DJ103" s="638"/>
      <c r="DK103" s="638"/>
      <c r="DL103" s="638"/>
      <c r="DM103" s="638"/>
      <c r="DN103" s="638"/>
      <c r="DO103" s="638"/>
      <c r="DP103" s="638"/>
      <c r="DQ103" s="652" t="s">
        <v>612</v>
      </c>
      <c r="DR103" s="653">
        <v>9.7999999999999997E-3</v>
      </c>
      <c r="DU103" s="35"/>
      <c r="DV103" s="192">
        <v>6</v>
      </c>
      <c r="DW103" s="674">
        <v>143700.12314176199</v>
      </c>
      <c r="DX103" s="192">
        <f t="shared" si="349"/>
        <v>143.70012314176199</v>
      </c>
      <c r="DY103" s="35">
        <v>4845.8843929180348</v>
      </c>
      <c r="DZ103" s="192">
        <f t="shared" si="350"/>
        <v>4989.5845160597964</v>
      </c>
      <c r="EA103" s="35"/>
      <c r="EB103" s="35"/>
      <c r="EC103" s="35"/>
      <c r="ED103" s="35"/>
    </row>
    <row r="104" spans="2:136" ht="13.8">
      <c r="B104" s="1147" t="s">
        <v>636</v>
      </c>
      <c r="C104" s="1155"/>
      <c r="D104" s="1869"/>
      <c r="E104" s="1843">
        <v>326675694.07499158</v>
      </c>
      <c r="AR104" s="1"/>
      <c r="AS104" s="1147" t="s">
        <v>636</v>
      </c>
      <c r="AT104" s="1155"/>
      <c r="AU104" s="1869"/>
      <c r="AV104" s="1843">
        <v>326230504.10825253</v>
      </c>
      <c r="AW104" s="1"/>
      <c r="CH104" s="75"/>
      <c r="CM104" s="638"/>
      <c r="CN104" s="638"/>
      <c r="CO104" s="1860">
        <v>49</v>
      </c>
      <c r="CP104" s="1860"/>
      <c r="CQ104" s="1870"/>
      <c r="CR104" s="1867">
        <v>0</v>
      </c>
      <c r="CS104" s="638">
        <v>49</v>
      </c>
      <c r="CT104" s="638"/>
      <c r="CU104" s="638"/>
      <c r="CV104" s="638"/>
      <c r="CW104" s="638"/>
      <c r="CX104" s="638"/>
      <c r="CY104" s="638"/>
      <c r="CZ104" s="638"/>
      <c r="DA104" s="638"/>
      <c r="DB104" s="638"/>
      <c r="DC104" s="638"/>
      <c r="DD104" s="638"/>
      <c r="DE104" s="638"/>
      <c r="DF104" s="638"/>
      <c r="DG104" s="638"/>
      <c r="DH104" s="638"/>
      <c r="DI104" s="638"/>
      <c r="DJ104" s="638"/>
      <c r="DK104" s="638"/>
      <c r="DL104" s="638"/>
      <c r="DM104" s="638"/>
      <c r="DN104" s="638"/>
      <c r="DO104" s="638"/>
      <c r="DP104" s="638"/>
      <c r="DQ104" s="652" t="s">
        <v>616</v>
      </c>
      <c r="DR104" s="653">
        <v>2.9906999999999999</v>
      </c>
      <c r="DV104" s="192">
        <v>7</v>
      </c>
      <c r="DW104" s="1">
        <v>123248.31429653602</v>
      </c>
      <c r="DX104" s="192">
        <f t="shared" si="349"/>
        <v>123.24831429653602</v>
      </c>
      <c r="DY104" s="1">
        <v>2082.4149246898123</v>
      </c>
      <c r="DZ104" s="192">
        <f t="shared" si="350"/>
        <v>2205.6632389863485</v>
      </c>
    </row>
    <row r="105" spans="2:136" ht="14.4" thickBot="1">
      <c r="B105" s="1147" t="s">
        <v>622</v>
      </c>
      <c r="C105" s="1154"/>
      <c r="D105" s="1871"/>
      <c r="E105" s="1843">
        <v>420</v>
      </c>
      <c r="T105" s="118" t="s">
        <v>568</v>
      </c>
      <c r="U105" t="s">
        <v>571</v>
      </c>
      <c r="V105" t="s">
        <v>572</v>
      </c>
      <c r="W105" t="s">
        <v>573</v>
      </c>
      <c r="X105" t="s">
        <v>574</v>
      </c>
      <c r="Y105" t="s">
        <v>575</v>
      </c>
      <c r="Z105" t="s">
        <v>576</v>
      </c>
      <c r="AA105" t="s">
        <v>577</v>
      </c>
      <c r="AB105" t="s">
        <v>578</v>
      </c>
      <c r="AC105" t="s">
        <v>579</v>
      </c>
      <c r="AD105" t="s">
        <v>580</v>
      </c>
      <c r="AE105" t="s">
        <v>581</v>
      </c>
      <c r="AF105" s="118" t="s">
        <v>568</v>
      </c>
      <c r="AG105" t="s">
        <v>571</v>
      </c>
      <c r="AH105" t="s">
        <v>572</v>
      </c>
      <c r="AI105" t="s">
        <v>573</v>
      </c>
      <c r="AJ105" t="s">
        <v>574</v>
      </c>
      <c r="AK105" t="s">
        <v>575</v>
      </c>
      <c r="AL105" t="s">
        <v>576</v>
      </c>
      <c r="AM105" t="s">
        <v>577</v>
      </c>
      <c r="AN105" t="s">
        <v>578</v>
      </c>
      <c r="AO105" t="s">
        <v>579</v>
      </c>
      <c r="AP105" t="s">
        <v>580</v>
      </c>
      <c r="AQ105" s="130"/>
      <c r="AR105" s="1"/>
      <c r="AS105" s="1147" t="s">
        <v>622</v>
      </c>
      <c r="AT105" s="1154"/>
      <c r="AU105" s="1871"/>
      <c r="AV105" s="1843">
        <v>66154.474960000007</v>
      </c>
      <c r="AW105" s="1"/>
      <c r="BK105" s="118" t="s">
        <v>568</v>
      </c>
      <c r="BL105" t="s">
        <v>571</v>
      </c>
      <c r="BM105" t="s">
        <v>572</v>
      </c>
      <c r="BN105" t="s">
        <v>573</v>
      </c>
      <c r="BO105" t="s">
        <v>574</v>
      </c>
      <c r="BP105" t="s">
        <v>575</v>
      </c>
      <c r="BQ105" t="s">
        <v>576</v>
      </c>
      <c r="BR105" t="s">
        <v>577</v>
      </c>
      <c r="BS105" t="s">
        <v>578</v>
      </c>
      <c r="BT105" t="s">
        <v>579</v>
      </c>
      <c r="BU105" t="s">
        <v>580</v>
      </c>
      <c r="BV105" t="s">
        <v>581</v>
      </c>
      <c r="BW105" s="118" t="s">
        <v>568</v>
      </c>
      <c r="BX105" t="s">
        <v>571</v>
      </c>
      <c r="BY105" t="s">
        <v>572</v>
      </c>
      <c r="BZ105" t="s">
        <v>573</v>
      </c>
      <c r="CA105" t="s">
        <v>574</v>
      </c>
      <c r="CB105" t="s">
        <v>575</v>
      </c>
      <c r="CC105" t="s">
        <v>576</v>
      </c>
      <c r="CD105" t="s">
        <v>577</v>
      </c>
      <c r="CE105" t="s">
        <v>578</v>
      </c>
      <c r="CF105" t="s">
        <v>579</v>
      </c>
      <c r="CG105" t="s">
        <v>580</v>
      </c>
      <c r="CH105" s="130"/>
      <c r="CM105" s="638"/>
      <c r="CN105" s="638"/>
      <c r="CO105" s="1860">
        <v>50</v>
      </c>
      <c r="CP105" s="1867"/>
      <c r="CQ105" s="1870"/>
      <c r="CR105" s="1141">
        <v>0</v>
      </c>
      <c r="CS105" s="638">
        <v>50</v>
      </c>
      <c r="CT105" s="638"/>
      <c r="CU105" s="638"/>
      <c r="CV105" s="638"/>
      <c r="CW105" s="638"/>
      <c r="CX105" s="638"/>
      <c r="CY105" s="638"/>
      <c r="CZ105" s="638"/>
      <c r="DA105" s="638"/>
      <c r="DB105" s="638"/>
      <c r="DC105" s="638"/>
      <c r="DD105" s="638"/>
      <c r="DE105" s="638"/>
      <c r="DF105" s="638"/>
      <c r="DG105" s="638"/>
      <c r="DH105" s="638"/>
      <c r="DI105" s="638"/>
      <c r="DJ105" s="638"/>
      <c r="DK105" s="638"/>
      <c r="DL105" s="638"/>
      <c r="DM105" s="638"/>
      <c r="DN105" s="638"/>
      <c r="DO105" s="638"/>
      <c r="DP105" s="638"/>
      <c r="DQ105" s="638"/>
      <c r="DR105" s="638"/>
      <c r="DV105" s="192">
        <v>8</v>
      </c>
      <c r="DW105" s="1">
        <v>20417.86619032624</v>
      </c>
      <c r="DX105" s="192">
        <f t="shared" si="349"/>
        <v>20.41786619032624</v>
      </c>
      <c r="DY105" s="1">
        <v>714.79440290554066</v>
      </c>
      <c r="DZ105" s="192">
        <f t="shared" si="350"/>
        <v>735.21226909586687</v>
      </c>
    </row>
    <row r="106" spans="2:136" ht="15" thickTop="1" thickBot="1">
      <c r="B106" s="1147" t="s">
        <v>637</v>
      </c>
      <c r="C106" s="1147"/>
      <c r="D106" s="1147"/>
      <c r="E106" s="1843">
        <v>63159.221839999998</v>
      </c>
      <c r="T106" s="114">
        <v>5</v>
      </c>
      <c r="U106" s="2">
        <f>U6+U58</f>
        <v>0</v>
      </c>
      <c r="V106" s="2">
        <f t="shared" ref="V106:AE106" si="361">V6+V58</f>
        <v>0</v>
      </c>
      <c r="W106" s="2">
        <f t="shared" si="361"/>
        <v>0</v>
      </c>
      <c r="X106" s="2">
        <f t="shared" si="361"/>
        <v>0</v>
      </c>
      <c r="Y106" s="2">
        <f t="shared" si="361"/>
        <v>0</v>
      </c>
      <c r="Z106" s="2">
        <f t="shared" si="361"/>
        <v>0</v>
      </c>
      <c r="AA106" s="2">
        <f t="shared" si="361"/>
        <v>0</v>
      </c>
      <c r="AB106" s="2">
        <f t="shared" si="361"/>
        <v>0</v>
      </c>
      <c r="AC106" s="2">
        <f t="shared" si="361"/>
        <v>0</v>
      </c>
      <c r="AD106" s="2">
        <f t="shared" si="361"/>
        <v>0</v>
      </c>
      <c r="AE106" s="2">
        <f t="shared" si="361"/>
        <v>0</v>
      </c>
      <c r="AF106" s="114">
        <v>5</v>
      </c>
      <c r="AG106" s="2">
        <f>AG6+AG58</f>
        <v>0</v>
      </c>
      <c r="AH106" s="2">
        <f t="shared" ref="AH106:AP106" si="362">AH6+AH58</f>
        <v>0</v>
      </c>
      <c r="AI106" s="2">
        <f t="shared" si="362"/>
        <v>0</v>
      </c>
      <c r="AJ106" s="2">
        <f t="shared" si="362"/>
        <v>0</v>
      </c>
      <c r="AK106" s="2">
        <f t="shared" si="362"/>
        <v>0</v>
      </c>
      <c r="AL106" s="2">
        <f t="shared" si="362"/>
        <v>0</v>
      </c>
      <c r="AM106" s="2">
        <f t="shared" si="362"/>
        <v>0</v>
      </c>
      <c r="AN106" s="2">
        <f t="shared" si="362"/>
        <v>0</v>
      </c>
      <c r="AO106" s="2">
        <f t="shared" si="362"/>
        <v>0</v>
      </c>
      <c r="AP106" s="2">
        <f t="shared" si="362"/>
        <v>0</v>
      </c>
      <c r="AQ106" s="74"/>
      <c r="AR106" s="1"/>
      <c r="AS106" s="1147" t="s">
        <v>637</v>
      </c>
      <c r="AT106" s="1147"/>
      <c r="AU106" s="1147"/>
      <c r="AV106" s="1843">
        <v>66154.474960000007</v>
      </c>
      <c r="AW106" s="1"/>
      <c r="BK106" s="114">
        <v>5</v>
      </c>
      <c r="BL106" s="2">
        <f>BL6+BL58</f>
        <v>0</v>
      </c>
      <c r="BM106" s="2">
        <f t="shared" ref="BM106:BV106" si="363">BM6+BM58</f>
        <v>0</v>
      </c>
      <c r="BN106" s="2">
        <f t="shared" si="363"/>
        <v>0</v>
      </c>
      <c r="BO106" s="2">
        <f t="shared" si="363"/>
        <v>0</v>
      </c>
      <c r="BP106" s="2">
        <f t="shared" si="363"/>
        <v>0</v>
      </c>
      <c r="BQ106" s="2">
        <f t="shared" si="363"/>
        <v>0</v>
      </c>
      <c r="BR106" s="2">
        <f t="shared" si="363"/>
        <v>0</v>
      </c>
      <c r="BS106" s="2">
        <f t="shared" si="363"/>
        <v>0</v>
      </c>
      <c r="BT106" s="2">
        <f t="shared" si="363"/>
        <v>0</v>
      </c>
      <c r="BU106" s="2">
        <f t="shared" si="363"/>
        <v>0</v>
      </c>
      <c r="BV106" s="2">
        <f t="shared" si="363"/>
        <v>0</v>
      </c>
      <c r="BW106" s="114">
        <v>5</v>
      </c>
      <c r="BX106" s="2">
        <f>BX6+BX58</f>
        <v>0</v>
      </c>
      <c r="BY106" s="2">
        <f t="shared" ref="BY106:CG106" si="364">BY6+BY58</f>
        <v>0</v>
      </c>
      <c r="BZ106" s="2">
        <f t="shared" si="364"/>
        <v>0</v>
      </c>
      <c r="CA106" s="2">
        <f t="shared" si="364"/>
        <v>0</v>
      </c>
      <c r="CB106" s="2">
        <f t="shared" si="364"/>
        <v>0</v>
      </c>
      <c r="CC106" s="2">
        <f t="shared" si="364"/>
        <v>0</v>
      </c>
      <c r="CD106" s="2">
        <f t="shared" si="364"/>
        <v>0</v>
      </c>
      <c r="CE106" s="2">
        <f t="shared" si="364"/>
        <v>0</v>
      </c>
      <c r="CF106" s="2">
        <f t="shared" si="364"/>
        <v>0</v>
      </c>
      <c r="CG106" s="2">
        <f t="shared" si="364"/>
        <v>0</v>
      </c>
      <c r="CH106" s="74"/>
      <c r="CM106" s="638"/>
      <c r="CN106" s="638"/>
      <c r="CO106" s="1860" t="s">
        <v>636</v>
      </c>
      <c r="CP106" s="1867"/>
      <c r="CQ106" s="1870"/>
      <c r="CR106" s="1141"/>
      <c r="CS106" s="638"/>
      <c r="CT106" s="638"/>
      <c r="CU106" s="638"/>
      <c r="CV106" s="638"/>
      <c r="CW106" s="638"/>
      <c r="CX106" s="638"/>
      <c r="CY106" s="638"/>
      <c r="CZ106" s="638"/>
      <c r="DA106" s="638"/>
      <c r="DB106" s="638"/>
      <c r="DC106" s="638"/>
      <c r="DD106" s="638"/>
      <c r="DE106" s="638"/>
      <c r="DF106" s="638"/>
      <c r="DG106" s="638"/>
      <c r="DH106" s="638"/>
      <c r="DI106" s="638"/>
      <c r="DJ106" s="638"/>
      <c r="DK106" s="638"/>
      <c r="DL106" s="638"/>
      <c r="DM106" s="638"/>
      <c r="DN106" s="638"/>
      <c r="DO106" s="638"/>
      <c r="DP106" s="638"/>
      <c r="DQ106" s="638"/>
      <c r="DR106" s="638"/>
      <c r="DV106" s="192">
        <v>9</v>
      </c>
      <c r="DW106" s="1">
        <v>20059.154717138183</v>
      </c>
      <c r="DX106" s="192">
        <f t="shared" si="349"/>
        <v>20.059154717138181</v>
      </c>
      <c r="DY106" s="1">
        <v>339.37618710432304</v>
      </c>
      <c r="DZ106" s="192">
        <f t="shared" si="350"/>
        <v>359.43534182146124</v>
      </c>
    </row>
    <row r="107" spans="2:136" ht="15" thickTop="1" thickBot="1">
      <c r="T107" s="114">
        <v>6</v>
      </c>
      <c r="U107" s="2">
        <f t="shared" ref="U107:AE107" si="365">U7+U59</f>
        <v>0</v>
      </c>
      <c r="V107" s="2">
        <f t="shared" si="365"/>
        <v>0</v>
      </c>
      <c r="W107" s="2">
        <f t="shared" si="365"/>
        <v>0</v>
      </c>
      <c r="X107" s="2">
        <f t="shared" si="365"/>
        <v>0</v>
      </c>
      <c r="Y107" s="2">
        <f t="shared" si="365"/>
        <v>0</v>
      </c>
      <c r="Z107" s="2">
        <f t="shared" si="365"/>
        <v>0</v>
      </c>
      <c r="AA107" s="2">
        <f t="shared" si="365"/>
        <v>0</v>
      </c>
      <c r="AB107" s="2">
        <f t="shared" si="365"/>
        <v>0</v>
      </c>
      <c r="AC107" s="2">
        <f t="shared" si="365"/>
        <v>0</v>
      </c>
      <c r="AD107" s="2">
        <f t="shared" si="365"/>
        <v>0</v>
      </c>
      <c r="AE107" s="2">
        <f t="shared" si="365"/>
        <v>0</v>
      </c>
      <c r="AF107" s="114">
        <v>6</v>
      </c>
      <c r="AG107" s="2">
        <f t="shared" ref="AG107:AP107" si="366">AG7+AG59</f>
        <v>0</v>
      </c>
      <c r="AH107" s="2">
        <f t="shared" si="366"/>
        <v>0</v>
      </c>
      <c r="AI107" s="2">
        <f t="shared" si="366"/>
        <v>0</v>
      </c>
      <c r="AJ107" s="2">
        <f t="shared" si="366"/>
        <v>0</v>
      </c>
      <c r="AK107" s="2">
        <f t="shared" si="366"/>
        <v>0</v>
      </c>
      <c r="AL107" s="2">
        <f t="shared" si="366"/>
        <v>0</v>
      </c>
      <c r="AM107" s="2">
        <f t="shared" si="366"/>
        <v>0</v>
      </c>
      <c r="AN107" s="2">
        <f t="shared" si="366"/>
        <v>0</v>
      </c>
      <c r="AO107" s="2">
        <f t="shared" si="366"/>
        <v>0</v>
      </c>
      <c r="AP107" s="2">
        <f t="shared" si="366"/>
        <v>0</v>
      </c>
      <c r="AQ107" s="74"/>
      <c r="AR107" s="1"/>
      <c r="AS107" s="1"/>
      <c r="AT107" s="1"/>
      <c r="AU107" s="1"/>
      <c r="AV107" s="1"/>
      <c r="AW107" s="1"/>
      <c r="BK107" s="114">
        <v>6</v>
      </c>
      <c r="BL107" s="2">
        <f t="shared" ref="BL107:BV107" si="367">BL7+BL59</f>
        <v>0</v>
      </c>
      <c r="BM107" s="2">
        <f t="shared" si="367"/>
        <v>0</v>
      </c>
      <c r="BN107" s="2">
        <f t="shared" si="367"/>
        <v>0</v>
      </c>
      <c r="BO107" s="2">
        <f t="shared" si="367"/>
        <v>0</v>
      </c>
      <c r="BP107" s="2">
        <f t="shared" si="367"/>
        <v>0</v>
      </c>
      <c r="BQ107" s="2">
        <f t="shared" si="367"/>
        <v>0</v>
      </c>
      <c r="BR107" s="2">
        <f t="shared" si="367"/>
        <v>0</v>
      </c>
      <c r="BS107" s="2">
        <f t="shared" si="367"/>
        <v>0</v>
      </c>
      <c r="BT107" s="2">
        <f t="shared" si="367"/>
        <v>0</v>
      </c>
      <c r="BU107" s="2">
        <f t="shared" si="367"/>
        <v>0</v>
      </c>
      <c r="BV107" s="2">
        <f t="shared" si="367"/>
        <v>0</v>
      </c>
      <c r="BW107" s="114">
        <v>6</v>
      </c>
      <c r="BX107" s="2">
        <f t="shared" ref="BX107:CG107" si="368">BX7+BX59</f>
        <v>0</v>
      </c>
      <c r="BY107" s="2">
        <f t="shared" si="368"/>
        <v>0</v>
      </c>
      <c r="BZ107" s="2">
        <f t="shared" si="368"/>
        <v>0</v>
      </c>
      <c r="CA107" s="2">
        <f t="shared" si="368"/>
        <v>0</v>
      </c>
      <c r="CB107" s="2">
        <f t="shared" si="368"/>
        <v>0</v>
      </c>
      <c r="CC107" s="2">
        <f t="shared" si="368"/>
        <v>0</v>
      </c>
      <c r="CD107" s="2">
        <f t="shared" si="368"/>
        <v>0</v>
      </c>
      <c r="CE107" s="2">
        <f t="shared" si="368"/>
        <v>0</v>
      </c>
      <c r="CF107" s="2">
        <f t="shared" si="368"/>
        <v>0</v>
      </c>
      <c r="CG107" s="2">
        <f t="shared" si="368"/>
        <v>0</v>
      </c>
      <c r="CH107" s="74"/>
      <c r="CM107" s="638"/>
      <c r="CN107" s="638"/>
      <c r="CO107" s="1860" t="s">
        <v>622</v>
      </c>
      <c r="CP107" s="1861"/>
      <c r="CQ107" s="1872"/>
      <c r="CR107" s="1141"/>
      <c r="CS107" s="638"/>
      <c r="CT107" s="638"/>
      <c r="CU107" s="638"/>
      <c r="CV107" s="638"/>
      <c r="CW107" s="638"/>
      <c r="CX107" s="638"/>
      <c r="CY107" s="638"/>
      <c r="CZ107" s="638"/>
      <c r="DA107" s="638"/>
      <c r="DB107" s="638"/>
      <c r="DC107" s="638"/>
      <c r="DD107" s="638"/>
      <c r="DE107" s="638"/>
      <c r="DF107" s="638"/>
      <c r="DG107" s="643" t="s">
        <v>568</v>
      </c>
      <c r="DH107" s="641" t="s">
        <v>571</v>
      </c>
      <c r="DI107" s="641" t="s">
        <v>572</v>
      </c>
      <c r="DJ107" s="641" t="s">
        <v>573</v>
      </c>
      <c r="DK107" s="641" t="s">
        <v>574</v>
      </c>
      <c r="DL107" s="641" t="s">
        <v>575</v>
      </c>
      <c r="DM107" s="641" t="s">
        <v>576</v>
      </c>
      <c r="DN107" s="641" t="s">
        <v>577</v>
      </c>
      <c r="DO107" s="641" t="s">
        <v>578</v>
      </c>
      <c r="DP107" s="641" t="s">
        <v>579</v>
      </c>
      <c r="DQ107" s="641" t="s">
        <v>580</v>
      </c>
      <c r="DR107" s="641" t="s">
        <v>581</v>
      </c>
      <c r="DS107" s="118"/>
      <c r="DT107"/>
      <c r="DU107"/>
      <c r="DV107" s="192">
        <v>10</v>
      </c>
      <c r="DW107">
        <v>5563.5978528372107</v>
      </c>
      <c r="DX107" s="192">
        <f t="shared" si="349"/>
        <v>5.5635978528372103</v>
      </c>
      <c r="DY107">
        <v>183.87123591487872</v>
      </c>
      <c r="DZ107" s="192">
        <f t="shared" si="350"/>
        <v>189.43483376771593</v>
      </c>
      <c r="EA107"/>
      <c r="EB107"/>
      <c r="EC107"/>
      <c r="ED107"/>
    </row>
    <row r="108" spans="2:136" ht="14.4" thickTop="1" thickBot="1">
      <c r="T108" s="114">
        <v>7</v>
      </c>
      <c r="U108" s="2">
        <f t="shared" ref="U108:AE108" si="369">U8+U60</f>
        <v>0</v>
      </c>
      <c r="V108" s="2">
        <f t="shared" si="369"/>
        <v>0</v>
      </c>
      <c r="W108" s="2">
        <f t="shared" si="369"/>
        <v>0</v>
      </c>
      <c r="X108" s="2">
        <f t="shared" si="369"/>
        <v>0</v>
      </c>
      <c r="Y108" s="2">
        <f t="shared" si="369"/>
        <v>0</v>
      </c>
      <c r="Z108" s="2">
        <f t="shared" si="369"/>
        <v>0</v>
      </c>
      <c r="AA108" s="2">
        <f t="shared" si="369"/>
        <v>0</v>
      </c>
      <c r="AB108" s="2">
        <f t="shared" si="369"/>
        <v>0</v>
      </c>
      <c r="AC108" s="2">
        <f t="shared" si="369"/>
        <v>0</v>
      </c>
      <c r="AD108" s="2">
        <f t="shared" si="369"/>
        <v>0</v>
      </c>
      <c r="AE108" s="2">
        <f t="shared" si="369"/>
        <v>0</v>
      </c>
      <c r="AF108" s="114">
        <v>7</v>
      </c>
      <c r="AG108" s="2">
        <f t="shared" ref="AG108:AP108" si="370">AG8+AG60</f>
        <v>0</v>
      </c>
      <c r="AH108" s="2">
        <f t="shared" si="370"/>
        <v>0</v>
      </c>
      <c r="AI108" s="2">
        <f t="shared" si="370"/>
        <v>0</v>
      </c>
      <c r="AJ108" s="2">
        <f t="shared" si="370"/>
        <v>0</v>
      </c>
      <c r="AK108" s="2">
        <f t="shared" si="370"/>
        <v>0</v>
      </c>
      <c r="AL108" s="2">
        <f t="shared" si="370"/>
        <v>0</v>
      </c>
      <c r="AM108" s="2">
        <f t="shared" si="370"/>
        <v>0</v>
      </c>
      <c r="AN108" s="2">
        <f t="shared" si="370"/>
        <v>0</v>
      </c>
      <c r="AO108" s="2">
        <f t="shared" si="370"/>
        <v>0</v>
      </c>
      <c r="AP108" s="2">
        <f t="shared" si="370"/>
        <v>0</v>
      </c>
      <c r="AQ108" s="74"/>
      <c r="AR108" s="1"/>
      <c r="AS108" s="1"/>
      <c r="AT108" s="1"/>
      <c r="AU108" s="1"/>
      <c r="AV108" s="1"/>
      <c r="AW108" s="1"/>
      <c r="BK108" s="114">
        <v>7</v>
      </c>
      <c r="BL108" s="2">
        <f t="shared" ref="BL108:BV108" si="371">BL8+BL60</f>
        <v>0</v>
      </c>
      <c r="BM108" s="2">
        <f t="shared" si="371"/>
        <v>0</v>
      </c>
      <c r="BN108" s="2">
        <f t="shared" si="371"/>
        <v>0</v>
      </c>
      <c r="BO108" s="2">
        <f t="shared" si="371"/>
        <v>0</v>
      </c>
      <c r="BP108" s="2">
        <f t="shared" si="371"/>
        <v>0</v>
      </c>
      <c r="BQ108" s="2">
        <f t="shared" si="371"/>
        <v>0</v>
      </c>
      <c r="BR108" s="2">
        <f t="shared" si="371"/>
        <v>0</v>
      </c>
      <c r="BS108" s="2">
        <f t="shared" si="371"/>
        <v>0</v>
      </c>
      <c r="BT108" s="2">
        <f t="shared" si="371"/>
        <v>0</v>
      </c>
      <c r="BU108" s="2">
        <f t="shared" si="371"/>
        <v>0</v>
      </c>
      <c r="BV108" s="2">
        <f t="shared" si="371"/>
        <v>0</v>
      </c>
      <c r="BW108" s="114">
        <v>7</v>
      </c>
      <c r="BX108" s="2">
        <f t="shared" ref="BX108:CG108" si="372">BX8+BX60</f>
        <v>0</v>
      </c>
      <c r="BY108" s="2">
        <f t="shared" si="372"/>
        <v>0</v>
      </c>
      <c r="BZ108" s="2">
        <f t="shared" si="372"/>
        <v>0</v>
      </c>
      <c r="CA108" s="2">
        <f t="shared" si="372"/>
        <v>0</v>
      </c>
      <c r="CB108" s="2">
        <f t="shared" si="372"/>
        <v>0</v>
      </c>
      <c r="CC108" s="2">
        <f t="shared" si="372"/>
        <v>0</v>
      </c>
      <c r="CD108" s="2">
        <f t="shared" si="372"/>
        <v>0</v>
      </c>
      <c r="CE108" s="2">
        <f t="shared" si="372"/>
        <v>0</v>
      </c>
      <c r="CF108" s="2">
        <f t="shared" si="372"/>
        <v>0</v>
      </c>
      <c r="CG108" s="2">
        <f t="shared" si="372"/>
        <v>0</v>
      </c>
      <c r="CH108" s="74"/>
      <c r="CM108" s="638"/>
      <c r="CN108" s="638"/>
      <c r="CO108" s="1860" t="s">
        <v>637</v>
      </c>
      <c r="CP108" s="1860"/>
      <c r="CQ108" s="1860"/>
      <c r="CR108" s="1141"/>
      <c r="CS108" s="638"/>
      <c r="CT108" s="638"/>
      <c r="CU108" s="638"/>
      <c r="CV108" s="638"/>
      <c r="CW108" s="638"/>
      <c r="CX108" s="638"/>
      <c r="CY108" s="638"/>
      <c r="CZ108" s="638"/>
      <c r="DA108" s="638"/>
      <c r="DB108" s="638"/>
      <c r="DC108" s="638"/>
      <c r="DD108" s="638"/>
      <c r="DE108" s="638"/>
      <c r="DF108" s="638"/>
      <c r="DG108" s="647">
        <v>5</v>
      </c>
      <c r="DH108" s="451">
        <f>DH8+DH60</f>
        <v>100</v>
      </c>
      <c r="DI108" s="451">
        <f t="shared" ref="DI108:DR108" si="373">DI8+DI60</f>
        <v>0</v>
      </c>
      <c r="DJ108" s="451">
        <f t="shared" si="373"/>
        <v>0</v>
      </c>
      <c r="DK108" s="451">
        <f t="shared" si="373"/>
        <v>0</v>
      </c>
      <c r="DL108" s="451">
        <f t="shared" si="373"/>
        <v>0</v>
      </c>
      <c r="DM108" s="451">
        <f t="shared" si="373"/>
        <v>0</v>
      </c>
      <c r="DN108" s="451">
        <f t="shared" si="373"/>
        <v>0</v>
      </c>
      <c r="DO108" s="451">
        <f t="shared" si="373"/>
        <v>0</v>
      </c>
      <c r="DP108" s="451">
        <f t="shared" si="373"/>
        <v>0</v>
      </c>
      <c r="DQ108" s="451">
        <f t="shared" si="373"/>
        <v>0</v>
      </c>
      <c r="DR108" s="451">
        <f t="shared" si="373"/>
        <v>0</v>
      </c>
      <c r="DS108" s="123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</row>
    <row r="109" spans="2:136" ht="14.4" thickTop="1" thickBot="1">
      <c r="T109" s="114">
        <v>8</v>
      </c>
      <c r="U109" s="2">
        <f t="shared" ref="U109:AE109" si="374">U9+U61</f>
        <v>0</v>
      </c>
      <c r="V109" s="2">
        <f t="shared" si="374"/>
        <v>0</v>
      </c>
      <c r="W109" s="2">
        <f t="shared" si="374"/>
        <v>0</v>
      </c>
      <c r="X109" s="2">
        <f t="shared" si="374"/>
        <v>0</v>
      </c>
      <c r="Y109" s="2">
        <f t="shared" si="374"/>
        <v>0</v>
      </c>
      <c r="Z109" s="2">
        <f t="shared" si="374"/>
        <v>0</v>
      </c>
      <c r="AA109" s="2">
        <f t="shared" si="374"/>
        <v>0</v>
      </c>
      <c r="AB109" s="2">
        <f t="shared" si="374"/>
        <v>0</v>
      </c>
      <c r="AC109" s="2">
        <f t="shared" si="374"/>
        <v>0</v>
      </c>
      <c r="AD109" s="2">
        <f t="shared" si="374"/>
        <v>0</v>
      </c>
      <c r="AE109" s="2">
        <f t="shared" si="374"/>
        <v>0</v>
      </c>
      <c r="AF109" s="114">
        <v>8</v>
      </c>
      <c r="AG109" s="2">
        <f t="shared" ref="AG109:AP109" si="375">AG9+AG61</f>
        <v>0</v>
      </c>
      <c r="AH109" s="2">
        <f t="shared" si="375"/>
        <v>0</v>
      </c>
      <c r="AI109" s="2">
        <f t="shared" si="375"/>
        <v>0</v>
      </c>
      <c r="AJ109" s="2">
        <f t="shared" si="375"/>
        <v>0</v>
      </c>
      <c r="AK109" s="2">
        <f t="shared" si="375"/>
        <v>0</v>
      </c>
      <c r="AL109" s="2">
        <f t="shared" si="375"/>
        <v>0</v>
      </c>
      <c r="AM109" s="2">
        <f t="shared" si="375"/>
        <v>0</v>
      </c>
      <c r="AN109" s="2">
        <f t="shared" si="375"/>
        <v>0</v>
      </c>
      <c r="AO109" s="2">
        <f t="shared" si="375"/>
        <v>0</v>
      </c>
      <c r="AP109" s="2">
        <f t="shared" si="375"/>
        <v>0</v>
      </c>
      <c r="AQ109" s="74"/>
      <c r="AR109" s="1"/>
      <c r="AS109" s="1"/>
      <c r="AT109" s="1"/>
      <c r="AU109" s="1"/>
      <c r="AV109" s="1"/>
      <c r="AW109" s="1"/>
      <c r="BK109" s="114">
        <v>8</v>
      </c>
      <c r="BL109" s="2">
        <f t="shared" ref="BL109:BV109" si="376">BL9+BL61</f>
        <v>0</v>
      </c>
      <c r="BM109" s="2">
        <f t="shared" si="376"/>
        <v>0</v>
      </c>
      <c r="BN109" s="2">
        <f t="shared" si="376"/>
        <v>0</v>
      </c>
      <c r="BO109" s="2">
        <f t="shared" si="376"/>
        <v>0</v>
      </c>
      <c r="BP109" s="2">
        <f t="shared" si="376"/>
        <v>0</v>
      </c>
      <c r="BQ109" s="2">
        <f t="shared" si="376"/>
        <v>0</v>
      </c>
      <c r="BR109" s="2">
        <f t="shared" si="376"/>
        <v>0</v>
      </c>
      <c r="BS109" s="2">
        <f t="shared" si="376"/>
        <v>0</v>
      </c>
      <c r="BT109" s="2">
        <f t="shared" si="376"/>
        <v>0</v>
      </c>
      <c r="BU109" s="2">
        <f t="shared" si="376"/>
        <v>0</v>
      </c>
      <c r="BV109" s="2">
        <f t="shared" si="376"/>
        <v>0</v>
      </c>
      <c r="BW109" s="114">
        <v>8</v>
      </c>
      <c r="BX109" s="2">
        <f t="shared" ref="BX109:CG109" si="377">BX9+BX61</f>
        <v>0</v>
      </c>
      <c r="BY109" s="2">
        <f t="shared" si="377"/>
        <v>0</v>
      </c>
      <c r="BZ109" s="2">
        <f t="shared" si="377"/>
        <v>0</v>
      </c>
      <c r="CA109" s="2">
        <f t="shared" si="377"/>
        <v>0</v>
      </c>
      <c r="CB109" s="2">
        <f t="shared" si="377"/>
        <v>0</v>
      </c>
      <c r="CC109" s="2">
        <f t="shared" si="377"/>
        <v>0</v>
      </c>
      <c r="CD109" s="2">
        <f t="shared" si="377"/>
        <v>0</v>
      </c>
      <c r="CE109" s="2">
        <f t="shared" si="377"/>
        <v>0</v>
      </c>
      <c r="CF109" s="2">
        <f t="shared" si="377"/>
        <v>0</v>
      </c>
      <c r="CG109" s="2">
        <f t="shared" si="377"/>
        <v>0</v>
      </c>
      <c r="CH109" s="74"/>
      <c r="CM109" s="638"/>
      <c r="CN109" s="638"/>
      <c r="CO109" s="638"/>
      <c r="CP109" s="638"/>
      <c r="CQ109" s="638"/>
      <c r="CR109" s="638"/>
      <c r="CS109" s="638"/>
      <c r="CT109" s="638"/>
      <c r="CU109" s="638"/>
      <c r="CV109" s="638"/>
      <c r="CW109" s="638"/>
      <c r="CX109" s="638"/>
      <c r="CY109" s="638"/>
      <c r="CZ109" s="638"/>
      <c r="DA109" s="638"/>
      <c r="DB109" s="638"/>
      <c r="DC109" s="638"/>
      <c r="DD109" s="638"/>
      <c r="DE109" s="638"/>
      <c r="DF109" s="638"/>
      <c r="DG109" s="647">
        <v>6</v>
      </c>
      <c r="DH109" s="451">
        <f t="shared" ref="DH109:DR109" si="378">DH9+DH61</f>
        <v>100</v>
      </c>
      <c r="DI109" s="451">
        <f t="shared" si="378"/>
        <v>0</v>
      </c>
      <c r="DJ109" s="451">
        <f t="shared" si="378"/>
        <v>0</v>
      </c>
      <c r="DK109" s="451">
        <f t="shared" si="378"/>
        <v>0</v>
      </c>
      <c r="DL109" s="451">
        <f t="shared" si="378"/>
        <v>0</v>
      </c>
      <c r="DM109" s="451">
        <f t="shared" si="378"/>
        <v>0</v>
      </c>
      <c r="DN109" s="451">
        <f t="shared" si="378"/>
        <v>0</v>
      </c>
      <c r="DO109" s="451">
        <f t="shared" si="378"/>
        <v>0</v>
      </c>
      <c r="DP109" s="451">
        <f t="shared" si="378"/>
        <v>0</v>
      </c>
      <c r="DQ109" s="451">
        <f t="shared" si="378"/>
        <v>0</v>
      </c>
      <c r="DR109" s="451">
        <f t="shared" si="378"/>
        <v>0</v>
      </c>
      <c r="DS109" s="123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</row>
    <row r="110" spans="2:136" ht="14.4" thickTop="1" thickBot="1">
      <c r="T110" s="114">
        <v>9</v>
      </c>
      <c r="U110" s="2">
        <f t="shared" ref="U110:AE110" si="379">U10+U62</f>
        <v>0</v>
      </c>
      <c r="V110" s="2">
        <f t="shared" si="379"/>
        <v>0</v>
      </c>
      <c r="W110" s="2">
        <f t="shared" si="379"/>
        <v>0</v>
      </c>
      <c r="X110" s="2">
        <f t="shared" si="379"/>
        <v>0</v>
      </c>
      <c r="Y110" s="2">
        <f t="shared" si="379"/>
        <v>0</v>
      </c>
      <c r="Z110" s="2">
        <f t="shared" si="379"/>
        <v>0</v>
      </c>
      <c r="AA110" s="2">
        <f t="shared" si="379"/>
        <v>0</v>
      </c>
      <c r="AB110" s="2">
        <f t="shared" si="379"/>
        <v>0</v>
      </c>
      <c r="AC110" s="2">
        <f t="shared" si="379"/>
        <v>0</v>
      </c>
      <c r="AD110" s="2">
        <f t="shared" si="379"/>
        <v>0</v>
      </c>
      <c r="AE110" s="2">
        <f t="shared" si="379"/>
        <v>0</v>
      </c>
      <c r="AF110" s="114">
        <v>9</v>
      </c>
      <c r="AG110" s="2">
        <f t="shared" ref="AG110:AP110" si="380">AG10+AG62</f>
        <v>0</v>
      </c>
      <c r="AH110" s="2">
        <f t="shared" si="380"/>
        <v>0</v>
      </c>
      <c r="AI110" s="2">
        <f t="shared" si="380"/>
        <v>0</v>
      </c>
      <c r="AJ110" s="2">
        <f t="shared" si="380"/>
        <v>0</v>
      </c>
      <c r="AK110" s="2">
        <f t="shared" si="380"/>
        <v>0</v>
      </c>
      <c r="AL110" s="2">
        <f t="shared" si="380"/>
        <v>0</v>
      </c>
      <c r="AM110" s="2">
        <f t="shared" si="380"/>
        <v>0</v>
      </c>
      <c r="AN110" s="2">
        <f t="shared" si="380"/>
        <v>0</v>
      </c>
      <c r="AO110" s="2">
        <f t="shared" si="380"/>
        <v>0</v>
      </c>
      <c r="AP110" s="2">
        <f t="shared" si="380"/>
        <v>0</v>
      </c>
      <c r="AQ110" s="74"/>
      <c r="AR110" s="1"/>
      <c r="AS110" s="1"/>
      <c r="AT110" s="1"/>
      <c r="AU110" s="1"/>
      <c r="AV110" s="1"/>
      <c r="AW110" s="1"/>
      <c r="BK110" s="114">
        <v>9</v>
      </c>
      <c r="BL110" s="2">
        <f t="shared" ref="BL110:BV110" si="381">BL10+BL62</f>
        <v>0</v>
      </c>
      <c r="BM110" s="2">
        <f t="shared" si="381"/>
        <v>0</v>
      </c>
      <c r="BN110" s="2">
        <f t="shared" si="381"/>
        <v>0</v>
      </c>
      <c r="BO110" s="2">
        <f t="shared" si="381"/>
        <v>0</v>
      </c>
      <c r="BP110" s="2">
        <f t="shared" si="381"/>
        <v>0</v>
      </c>
      <c r="BQ110" s="2">
        <f t="shared" si="381"/>
        <v>0</v>
      </c>
      <c r="BR110" s="2">
        <f t="shared" si="381"/>
        <v>0</v>
      </c>
      <c r="BS110" s="2">
        <f t="shared" si="381"/>
        <v>0</v>
      </c>
      <c r="BT110" s="2">
        <f t="shared" si="381"/>
        <v>0</v>
      </c>
      <c r="BU110" s="2">
        <f t="shared" si="381"/>
        <v>0</v>
      </c>
      <c r="BV110" s="2">
        <f t="shared" si="381"/>
        <v>0</v>
      </c>
      <c r="BW110" s="114">
        <v>9</v>
      </c>
      <c r="BX110" s="2">
        <f t="shared" ref="BX110:CG110" si="382">BX10+BX62</f>
        <v>0</v>
      </c>
      <c r="BY110" s="2">
        <f t="shared" si="382"/>
        <v>0</v>
      </c>
      <c r="BZ110" s="2">
        <f t="shared" si="382"/>
        <v>0</v>
      </c>
      <c r="CA110" s="2">
        <f t="shared" si="382"/>
        <v>0</v>
      </c>
      <c r="CB110" s="2">
        <f t="shared" si="382"/>
        <v>0</v>
      </c>
      <c r="CC110" s="2">
        <f t="shared" si="382"/>
        <v>0</v>
      </c>
      <c r="CD110" s="2">
        <f t="shared" si="382"/>
        <v>0</v>
      </c>
      <c r="CE110" s="2">
        <f t="shared" si="382"/>
        <v>0</v>
      </c>
      <c r="CF110" s="2">
        <f t="shared" si="382"/>
        <v>0</v>
      </c>
      <c r="CG110" s="2">
        <f t="shared" si="382"/>
        <v>0</v>
      </c>
      <c r="CH110" s="74"/>
      <c r="CM110" s="638"/>
      <c r="CN110" s="638"/>
      <c r="CO110" s="638"/>
      <c r="CP110" s="638"/>
      <c r="CQ110" s="638"/>
      <c r="CR110" s="638"/>
      <c r="CS110" s="638"/>
      <c r="CT110" s="638"/>
      <c r="CU110" s="638"/>
      <c r="CV110" s="638"/>
      <c r="CW110" s="638"/>
      <c r="CX110" s="638"/>
      <c r="CY110" s="638"/>
      <c r="CZ110" s="638"/>
      <c r="DA110" s="638"/>
      <c r="DB110" s="638"/>
      <c r="DC110" s="638"/>
      <c r="DD110" s="638"/>
      <c r="DE110" s="638"/>
      <c r="DF110" s="638"/>
      <c r="DG110" s="647">
        <v>7</v>
      </c>
      <c r="DH110" s="451">
        <f t="shared" ref="DH110:DR110" si="383">DH10+DH62</f>
        <v>100</v>
      </c>
      <c r="DI110" s="451">
        <f t="shared" si="383"/>
        <v>0</v>
      </c>
      <c r="DJ110" s="451">
        <f t="shared" si="383"/>
        <v>0</v>
      </c>
      <c r="DK110" s="451">
        <f t="shared" si="383"/>
        <v>0</v>
      </c>
      <c r="DL110" s="451">
        <f t="shared" si="383"/>
        <v>0</v>
      </c>
      <c r="DM110" s="451">
        <f t="shared" si="383"/>
        <v>0</v>
      </c>
      <c r="DN110" s="451">
        <f t="shared" si="383"/>
        <v>0</v>
      </c>
      <c r="DO110" s="451">
        <f t="shared" si="383"/>
        <v>0</v>
      </c>
      <c r="DP110" s="451">
        <f t="shared" si="383"/>
        <v>0</v>
      </c>
      <c r="DQ110" s="451">
        <f t="shared" si="383"/>
        <v>0</v>
      </c>
      <c r="DR110" s="451">
        <f t="shared" si="383"/>
        <v>0</v>
      </c>
      <c r="DS110" s="123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</row>
    <row r="111" spans="2:136" ht="14.4" thickTop="1" thickBot="1">
      <c r="T111" s="114">
        <v>10</v>
      </c>
      <c r="U111" s="2">
        <f t="shared" ref="U111:AE111" si="384">U11+U63</f>
        <v>3280.2686770537853</v>
      </c>
      <c r="V111" s="2">
        <f t="shared" si="384"/>
        <v>0</v>
      </c>
      <c r="W111" s="2">
        <f t="shared" si="384"/>
        <v>0</v>
      </c>
      <c r="X111" s="2">
        <f t="shared" si="384"/>
        <v>0</v>
      </c>
      <c r="Y111" s="2">
        <f t="shared" si="384"/>
        <v>0</v>
      </c>
      <c r="Z111" s="2">
        <f t="shared" si="384"/>
        <v>0</v>
      </c>
      <c r="AA111" s="2">
        <f t="shared" si="384"/>
        <v>0</v>
      </c>
      <c r="AB111" s="2">
        <f t="shared" si="384"/>
        <v>0</v>
      </c>
      <c r="AC111" s="2">
        <f t="shared" si="384"/>
        <v>0</v>
      </c>
      <c r="AD111" s="2">
        <f t="shared" si="384"/>
        <v>0</v>
      </c>
      <c r="AE111" s="2">
        <f t="shared" si="384"/>
        <v>0</v>
      </c>
      <c r="AF111" s="114">
        <v>10</v>
      </c>
      <c r="AG111" s="2">
        <f>AG11+AG63</f>
        <v>32802.686770537854</v>
      </c>
      <c r="AH111" s="2">
        <f t="shared" ref="AH111:AP111" si="385">AH11+AH63</f>
        <v>0</v>
      </c>
      <c r="AI111" s="2">
        <f t="shared" si="385"/>
        <v>0</v>
      </c>
      <c r="AJ111" s="2">
        <f t="shared" si="385"/>
        <v>0</v>
      </c>
      <c r="AK111" s="2">
        <f t="shared" si="385"/>
        <v>0</v>
      </c>
      <c r="AL111" s="2">
        <f t="shared" si="385"/>
        <v>0</v>
      </c>
      <c r="AM111" s="2">
        <f t="shared" si="385"/>
        <v>0</v>
      </c>
      <c r="AN111" s="2">
        <f t="shared" si="385"/>
        <v>0</v>
      </c>
      <c r="AO111" s="2">
        <f t="shared" si="385"/>
        <v>0</v>
      </c>
      <c r="AP111" s="2">
        <f t="shared" si="385"/>
        <v>0</v>
      </c>
      <c r="AQ111" s="74"/>
      <c r="AR111" s="1"/>
      <c r="AS111" s="1"/>
      <c r="AT111" s="1"/>
      <c r="AU111" s="1"/>
      <c r="AV111" s="1"/>
      <c r="AW111" s="1"/>
      <c r="BK111" s="114">
        <v>10</v>
      </c>
      <c r="BL111" s="2">
        <f t="shared" ref="BL111:BV111" si="386">BL11+BL63</f>
        <v>669702.08355496998</v>
      </c>
      <c r="BM111" s="2">
        <f t="shared" si="386"/>
        <v>0</v>
      </c>
      <c r="BN111" s="2">
        <f t="shared" si="386"/>
        <v>0</v>
      </c>
      <c r="BO111" s="2">
        <f t="shared" si="386"/>
        <v>0</v>
      </c>
      <c r="BP111" s="2">
        <f t="shared" si="386"/>
        <v>0</v>
      </c>
      <c r="BQ111" s="2">
        <f t="shared" si="386"/>
        <v>0</v>
      </c>
      <c r="BR111" s="2">
        <f t="shared" si="386"/>
        <v>0</v>
      </c>
      <c r="BS111" s="2">
        <f t="shared" si="386"/>
        <v>0</v>
      </c>
      <c r="BT111" s="2">
        <f t="shared" si="386"/>
        <v>0</v>
      </c>
      <c r="BU111" s="2">
        <f t="shared" si="386"/>
        <v>0</v>
      </c>
      <c r="BV111" s="2">
        <f t="shared" si="386"/>
        <v>0</v>
      </c>
      <c r="BW111" s="114">
        <v>10</v>
      </c>
      <c r="BX111" s="2">
        <f>BX11+BX63</f>
        <v>6697020.8355497001</v>
      </c>
      <c r="BY111" s="2">
        <f t="shared" ref="BY111:CG111" si="387">BY11+BY63</f>
        <v>0</v>
      </c>
      <c r="BZ111" s="2">
        <f t="shared" si="387"/>
        <v>0</v>
      </c>
      <c r="CA111" s="2">
        <f t="shared" si="387"/>
        <v>0</v>
      </c>
      <c r="CB111" s="2">
        <f t="shared" si="387"/>
        <v>0</v>
      </c>
      <c r="CC111" s="2">
        <f t="shared" si="387"/>
        <v>0</v>
      </c>
      <c r="CD111" s="2">
        <f t="shared" si="387"/>
        <v>0</v>
      </c>
      <c r="CE111" s="2">
        <f t="shared" si="387"/>
        <v>0</v>
      </c>
      <c r="CF111" s="2">
        <f t="shared" si="387"/>
        <v>0</v>
      </c>
      <c r="CG111" s="2">
        <f t="shared" si="387"/>
        <v>0</v>
      </c>
      <c r="CH111" s="74"/>
      <c r="CM111" s="638"/>
      <c r="CN111" s="638"/>
      <c r="CO111" s="638"/>
      <c r="CP111" s="638"/>
      <c r="CQ111" s="638"/>
      <c r="CR111" s="638"/>
      <c r="CS111" s="638"/>
      <c r="CT111" s="638"/>
      <c r="CU111" s="638"/>
      <c r="CV111" s="638"/>
      <c r="CW111" s="638"/>
      <c r="CX111" s="638"/>
      <c r="CY111" s="638"/>
      <c r="CZ111" s="638"/>
      <c r="DA111" s="638"/>
      <c r="DB111" s="638"/>
      <c r="DC111" s="638"/>
      <c r="DD111" s="638"/>
      <c r="DE111" s="638"/>
      <c r="DF111" s="638"/>
      <c r="DG111" s="647">
        <v>8</v>
      </c>
      <c r="DH111" s="451">
        <f t="shared" ref="DH111:DR111" si="388">DH11+DH63</f>
        <v>100</v>
      </c>
      <c r="DI111" s="451">
        <f t="shared" si="388"/>
        <v>0</v>
      </c>
      <c r="DJ111" s="451">
        <f t="shared" si="388"/>
        <v>0</v>
      </c>
      <c r="DK111" s="451">
        <f t="shared" si="388"/>
        <v>0</v>
      </c>
      <c r="DL111" s="451">
        <f t="shared" si="388"/>
        <v>0</v>
      </c>
      <c r="DM111" s="451">
        <f t="shared" si="388"/>
        <v>0</v>
      </c>
      <c r="DN111" s="451">
        <f t="shared" si="388"/>
        <v>0</v>
      </c>
      <c r="DO111" s="451">
        <f t="shared" si="388"/>
        <v>0</v>
      </c>
      <c r="DP111" s="451">
        <f t="shared" si="388"/>
        <v>0</v>
      </c>
      <c r="DQ111" s="451">
        <f t="shared" si="388"/>
        <v>0</v>
      </c>
      <c r="DR111" s="451">
        <f t="shared" si="388"/>
        <v>0</v>
      </c>
      <c r="DS111" s="123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</row>
    <row r="112" spans="2:136" ht="14.4" thickTop="1" thickBot="1">
      <c r="T112" s="114">
        <v>11</v>
      </c>
      <c r="U112" s="2">
        <f t="shared" ref="U112:AE112" si="389">U12+U64</f>
        <v>79474.877731113578</v>
      </c>
      <c r="V112" s="2">
        <f t="shared" si="389"/>
        <v>0</v>
      </c>
      <c r="W112" s="2">
        <f t="shared" si="389"/>
        <v>0</v>
      </c>
      <c r="X112" s="2">
        <f t="shared" si="389"/>
        <v>0</v>
      </c>
      <c r="Y112" s="2">
        <f t="shared" si="389"/>
        <v>0</v>
      </c>
      <c r="Z112" s="2">
        <f t="shared" si="389"/>
        <v>0</v>
      </c>
      <c r="AA112" s="2">
        <f t="shared" si="389"/>
        <v>0</v>
      </c>
      <c r="AB112" s="2">
        <f t="shared" si="389"/>
        <v>0</v>
      </c>
      <c r="AC112" s="2">
        <f t="shared" si="389"/>
        <v>0</v>
      </c>
      <c r="AD112" s="2">
        <f t="shared" si="389"/>
        <v>0</v>
      </c>
      <c r="AE112" s="2">
        <f t="shared" si="389"/>
        <v>0</v>
      </c>
      <c r="AF112" s="114">
        <v>11</v>
      </c>
      <c r="AG112" s="2">
        <f t="shared" ref="AG112:AP112" si="390">AG12+AG64</f>
        <v>874223.65504224936</v>
      </c>
      <c r="AH112" s="2">
        <f t="shared" si="390"/>
        <v>0</v>
      </c>
      <c r="AI112" s="2">
        <f t="shared" si="390"/>
        <v>0</v>
      </c>
      <c r="AJ112" s="2">
        <f t="shared" si="390"/>
        <v>0</v>
      </c>
      <c r="AK112" s="2">
        <f t="shared" si="390"/>
        <v>0</v>
      </c>
      <c r="AL112" s="2">
        <f t="shared" si="390"/>
        <v>0</v>
      </c>
      <c r="AM112" s="2">
        <f t="shared" si="390"/>
        <v>0</v>
      </c>
      <c r="AN112" s="2">
        <f t="shared" si="390"/>
        <v>0</v>
      </c>
      <c r="AO112" s="2">
        <f t="shared" si="390"/>
        <v>0</v>
      </c>
      <c r="AP112" s="2">
        <f t="shared" si="390"/>
        <v>0</v>
      </c>
      <c r="AQ112" s="74"/>
      <c r="AR112" s="1"/>
      <c r="AS112" s="1"/>
      <c r="AT112" s="1"/>
      <c r="AU112" s="1"/>
      <c r="AV112" s="1"/>
      <c r="AW112" s="1"/>
      <c r="BK112" s="114">
        <v>11</v>
      </c>
      <c r="BL112" s="2">
        <f t="shared" ref="BL112:BV112" si="391">BL12+BL64</f>
        <v>717653.05310527538</v>
      </c>
      <c r="BM112" s="2">
        <f t="shared" si="391"/>
        <v>0</v>
      </c>
      <c r="BN112" s="2">
        <f t="shared" si="391"/>
        <v>0</v>
      </c>
      <c r="BO112" s="2">
        <f t="shared" si="391"/>
        <v>0</v>
      </c>
      <c r="BP112" s="2">
        <f t="shared" si="391"/>
        <v>0</v>
      </c>
      <c r="BQ112" s="2">
        <f t="shared" si="391"/>
        <v>0</v>
      </c>
      <c r="BR112" s="2">
        <f t="shared" si="391"/>
        <v>0</v>
      </c>
      <c r="BS112" s="2">
        <f t="shared" si="391"/>
        <v>0</v>
      </c>
      <c r="BT112" s="2">
        <f t="shared" si="391"/>
        <v>0</v>
      </c>
      <c r="BU112" s="2">
        <f t="shared" si="391"/>
        <v>0</v>
      </c>
      <c r="BV112" s="2">
        <f t="shared" si="391"/>
        <v>0</v>
      </c>
      <c r="BW112" s="114">
        <v>11</v>
      </c>
      <c r="BX112" s="2">
        <f t="shared" ref="BX112:CG112" si="392">BX12+BX64</f>
        <v>7894183.5841580294</v>
      </c>
      <c r="BY112" s="2">
        <f t="shared" si="392"/>
        <v>0</v>
      </c>
      <c r="BZ112" s="2">
        <f t="shared" si="392"/>
        <v>0</v>
      </c>
      <c r="CA112" s="2">
        <f t="shared" si="392"/>
        <v>0</v>
      </c>
      <c r="CB112" s="2">
        <f t="shared" si="392"/>
        <v>0</v>
      </c>
      <c r="CC112" s="2">
        <f t="shared" si="392"/>
        <v>0</v>
      </c>
      <c r="CD112" s="2">
        <f t="shared" si="392"/>
        <v>0</v>
      </c>
      <c r="CE112" s="2">
        <f t="shared" si="392"/>
        <v>0</v>
      </c>
      <c r="CF112" s="2">
        <f t="shared" si="392"/>
        <v>0</v>
      </c>
      <c r="CG112" s="2">
        <f t="shared" si="392"/>
        <v>0</v>
      </c>
      <c r="CH112" s="74"/>
      <c r="CM112" s="638"/>
      <c r="CN112" s="638"/>
      <c r="CO112" s="638"/>
      <c r="CP112" s="638"/>
      <c r="CQ112" s="638"/>
      <c r="CR112" s="638"/>
      <c r="CS112" s="638"/>
      <c r="CT112" s="638"/>
      <c r="CU112" s="638"/>
      <c r="CV112" s="638"/>
      <c r="CW112" s="638"/>
      <c r="CX112" s="638"/>
      <c r="CY112" s="638"/>
      <c r="CZ112" s="638"/>
      <c r="DA112" s="638"/>
      <c r="DB112" s="638"/>
      <c r="DC112" s="638"/>
      <c r="DD112" s="638"/>
      <c r="DE112" s="638"/>
      <c r="DF112" s="638"/>
      <c r="DG112" s="647">
        <v>9</v>
      </c>
      <c r="DH112" s="451">
        <f t="shared" ref="DH112:DR112" si="393">DH12+DH64</f>
        <v>100</v>
      </c>
      <c r="DI112" s="451">
        <f t="shared" si="393"/>
        <v>0</v>
      </c>
      <c r="DJ112" s="451">
        <f t="shared" si="393"/>
        <v>0</v>
      </c>
      <c r="DK112" s="451">
        <f t="shared" si="393"/>
        <v>0</v>
      </c>
      <c r="DL112" s="451">
        <f t="shared" si="393"/>
        <v>0</v>
      </c>
      <c r="DM112" s="451">
        <f t="shared" si="393"/>
        <v>0</v>
      </c>
      <c r="DN112" s="451">
        <f t="shared" si="393"/>
        <v>0</v>
      </c>
      <c r="DO112" s="451">
        <f t="shared" si="393"/>
        <v>0</v>
      </c>
      <c r="DP112" s="451">
        <f t="shared" si="393"/>
        <v>0</v>
      </c>
      <c r="DQ112" s="451">
        <f t="shared" si="393"/>
        <v>0</v>
      </c>
      <c r="DR112" s="451">
        <f t="shared" si="393"/>
        <v>0</v>
      </c>
      <c r="DS112" s="123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</row>
    <row r="113" spans="20:134" ht="14.4" thickTop="1" thickBot="1">
      <c r="T113" s="114">
        <v>12</v>
      </c>
      <c r="U113" s="2">
        <f t="shared" ref="U113:AE113" si="394">U13+U65</f>
        <v>231670.89866909216</v>
      </c>
      <c r="V113" s="2">
        <f t="shared" si="394"/>
        <v>0</v>
      </c>
      <c r="W113" s="2">
        <f t="shared" si="394"/>
        <v>0</v>
      </c>
      <c r="X113" s="2">
        <f t="shared" si="394"/>
        <v>0</v>
      </c>
      <c r="Y113" s="2">
        <f t="shared" si="394"/>
        <v>0</v>
      </c>
      <c r="Z113" s="2">
        <f t="shared" si="394"/>
        <v>0</v>
      </c>
      <c r="AA113" s="2">
        <f t="shared" si="394"/>
        <v>0</v>
      </c>
      <c r="AB113" s="2">
        <f t="shared" si="394"/>
        <v>0</v>
      </c>
      <c r="AC113" s="2">
        <f t="shared" si="394"/>
        <v>0</v>
      </c>
      <c r="AD113" s="2">
        <f t="shared" si="394"/>
        <v>0</v>
      </c>
      <c r="AE113" s="2">
        <f t="shared" si="394"/>
        <v>0</v>
      </c>
      <c r="AF113" s="114">
        <v>12</v>
      </c>
      <c r="AG113" s="2">
        <f t="shared" ref="AG113:AP113" si="395">AG13+AG65</f>
        <v>2780050.7840291057</v>
      </c>
      <c r="AH113" s="2">
        <f t="shared" si="395"/>
        <v>0</v>
      </c>
      <c r="AI113" s="2">
        <f t="shared" si="395"/>
        <v>0</v>
      </c>
      <c r="AJ113" s="2">
        <f t="shared" si="395"/>
        <v>0</v>
      </c>
      <c r="AK113" s="2">
        <f t="shared" si="395"/>
        <v>0</v>
      </c>
      <c r="AL113" s="2">
        <f t="shared" si="395"/>
        <v>0</v>
      </c>
      <c r="AM113" s="2">
        <f t="shared" si="395"/>
        <v>0</v>
      </c>
      <c r="AN113" s="2">
        <f t="shared" si="395"/>
        <v>0</v>
      </c>
      <c r="AO113" s="2">
        <f t="shared" si="395"/>
        <v>0</v>
      </c>
      <c r="AP113" s="2">
        <f t="shared" si="395"/>
        <v>0</v>
      </c>
      <c r="AQ113" s="74"/>
      <c r="AR113" s="1"/>
      <c r="AS113" s="1"/>
      <c r="AT113" s="1"/>
      <c r="AU113" s="1"/>
      <c r="AV113" s="1"/>
      <c r="AW113" s="1"/>
      <c r="BK113" s="114">
        <v>12</v>
      </c>
      <c r="BL113" s="2">
        <f t="shared" ref="BL113:BV113" si="396">BL13+BL65</f>
        <v>60831985.990698002</v>
      </c>
      <c r="BM113" s="2">
        <f t="shared" si="396"/>
        <v>0</v>
      </c>
      <c r="BN113" s="2">
        <f t="shared" si="396"/>
        <v>0</v>
      </c>
      <c r="BO113" s="2">
        <f t="shared" si="396"/>
        <v>0</v>
      </c>
      <c r="BP113" s="2">
        <f t="shared" si="396"/>
        <v>0</v>
      </c>
      <c r="BQ113" s="2">
        <f t="shared" si="396"/>
        <v>0</v>
      </c>
      <c r="BR113" s="2">
        <f t="shared" si="396"/>
        <v>0</v>
      </c>
      <c r="BS113" s="2">
        <f t="shared" si="396"/>
        <v>0</v>
      </c>
      <c r="BT113" s="2">
        <f t="shared" si="396"/>
        <v>0</v>
      </c>
      <c r="BU113" s="2">
        <f t="shared" si="396"/>
        <v>0</v>
      </c>
      <c r="BV113" s="2">
        <f t="shared" si="396"/>
        <v>0</v>
      </c>
      <c r="BW113" s="114">
        <v>12</v>
      </c>
      <c r="BX113" s="2">
        <f t="shared" ref="BX113:CG113" si="397">BX13+BX65</f>
        <v>729983831.888376</v>
      </c>
      <c r="BY113" s="2">
        <f t="shared" si="397"/>
        <v>0</v>
      </c>
      <c r="BZ113" s="2">
        <f t="shared" si="397"/>
        <v>0</v>
      </c>
      <c r="CA113" s="2">
        <f t="shared" si="397"/>
        <v>0</v>
      </c>
      <c r="CB113" s="2">
        <f t="shared" si="397"/>
        <v>0</v>
      </c>
      <c r="CC113" s="2">
        <f t="shared" si="397"/>
        <v>0</v>
      </c>
      <c r="CD113" s="2">
        <f t="shared" si="397"/>
        <v>0</v>
      </c>
      <c r="CE113" s="2">
        <f t="shared" si="397"/>
        <v>0</v>
      </c>
      <c r="CF113" s="2">
        <f t="shared" si="397"/>
        <v>0</v>
      </c>
      <c r="CG113" s="2">
        <f t="shared" si="397"/>
        <v>0</v>
      </c>
      <c r="CH113" s="74"/>
      <c r="CM113" s="638"/>
      <c r="CN113" s="638"/>
      <c r="CO113" s="638"/>
      <c r="CP113" s="638"/>
      <c r="CQ113" s="638"/>
      <c r="CR113" s="638"/>
      <c r="CS113" s="638"/>
      <c r="CT113" s="638"/>
      <c r="CU113" s="638"/>
      <c r="CV113" s="638"/>
      <c r="CW113" s="638"/>
      <c r="CX113" s="638"/>
      <c r="CY113" s="638"/>
      <c r="CZ113" s="638"/>
      <c r="DA113" s="638"/>
      <c r="DB113" s="638"/>
      <c r="DC113" s="638"/>
      <c r="DD113" s="638"/>
      <c r="DE113" s="638"/>
      <c r="DF113" s="638"/>
      <c r="DG113" s="647">
        <v>10</v>
      </c>
      <c r="DH113" s="451">
        <f t="shared" ref="DH113:DR113" si="398">DH13+DH65</f>
        <v>100</v>
      </c>
      <c r="DI113" s="451">
        <f t="shared" si="398"/>
        <v>0</v>
      </c>
      <c r="DJ113" s="451">
        <f t="shared" si="398"/>
        <v>0</v>
      </c>
      <c r="DK113" s="451">
        <f t="shared" si="398"/>
        <v>0</v>
      </c>
      <c r="DL113" s="451">
        <f t="shared" si="398"/>
        <v>0</v>
      </c>
      <c r="DM113" s="451">
        <f t="shared" si="398"/>
        <v>0</v>
      </c>
      <c r="DN113" s="451">
        <f t="shared" si="398"/>
        <v>0</v>
      </c>
      <c r="DO113" s="451">
        <f t="shared" si="398"/>
        <v>0</v>
      </c>
      <c r="DP113" s="451">
        <f t="shared" si="398"/>
        <v>0</v>
      </c>
      <c r="DQ113" s="451">
        <f t="shared" si="398"/>
        <v>0</v>
      </c>
      <c r="DR113" s="451">
        <f t="shared" si="398"/>
        <v>0</v>
      </c>
      <c r="DS113" s="123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</row>
    <row r="114" spans="20:134" ht="14.4" thickTop="1" thickBot="1">
      <c r="T114" s="114">
        <v>13</v>
      </c>
      <c r="U114" s="2">
        <f t="shared" ref="U114:AE114" si="399">U14+U66</f>
        <v>541833.81815761072</v>
      </c>
      <c r="V114" s="2">
        <f t="shared" si="399"/>
        <v>0</v>
      </c>
      <c r="W114" s="2">
        <f t="shared" si="399"/>
        <v>0</v>
      </c>
      <c r="X114" s="2">
        <f t="shared" si="399"/>
        <v>0</v>
      </c>
      <c r="Y114" s="2">
        <f t="shared" si="399"/>
        <v>0</v>
      </c>
      <c r="Z114" s="2">
        <f t="shared" si="399"/>
        <v>0</v>
      </c>
      <c r="AA114" s="2">
        <f t="shared" si="399"/>
        <v>0</v>
      </c>
      <c r="AB114" s="2">
        <f t="shared" si="399"/>
        <v>0</v>
      </c>
      <c r="AC114" s="2">
        <f t="shared" si="399"/>
        <v>0</v>
      </c>
      <c r="AD114" s="2">
        <f t="shared" si="399"/>
        <v>0</v>
      </c>
      <c r="AE114" s="2">
        <f t="shared" si="399"/>
        <v>0</v>
      </c>
      <c r="AF114" s="114">
        <v>13</v>
      </c>
      <c r="AG114" s="2">
        <f t="shared" ref="AG114:AP114" si="400">AG14+AG66</f>
        <v>7043839.6360489391</v>
      </c>
      <c r="AH114" s="2">
        <f t="shared" si="400"/>
        <v>0</v>
      </c>
      <c r="AI114" s="2">
        <f t="shared" si="400"/>
        <v>0</v>
      </c>
      <c r="AJ114" s="2">
        <f t="shared" si="400"/>
        <v>0</v>
      </c>
      <c r="AK114" s="2">
        <f t="shared" si="400"/>
        <v>0</v>
      </c>
      <c r="AL114" s="2">
        <f t="shared" si="400"/>
        <v>0</v>
      </c>
      <c r="AM114" s="2">
        <f t="shared" si="400"/>
        <v>0</v>
      </c>
      <c r="AN114" s="2">
        <f t="shared" si="400"/>
        <v>0</v>
      </c>
      <c r="AO114" s="2">
        <f t="shared" si="400"/>
        <v>0</v>
      </c>
      <c r="AP114" s="2">
        <f t="shared" si="400"/>
        <v>0</v>
      </c>
      <c r="AQ114" s="74"/>
      <c r="AR114" s="1"/>
      <c r="AS114" s="1"/>
      <c r="AT114" s="1"/>
      <c r="AU114" s="1"/>
      <c r="AV114" s="1"/>
      <c r="AW114" s="1"/>
      <c r="BK114" s="114">
        <v>13</v>
      </c>
      <c r="BL114" s="2">
        <f t="shared" ref="BL114:BV114" si="401">BL14+BL66</f>
        <v>286327638.17954481</v>
      </c>
      <c r="BM114" s="2">
        <f t="shared" si="401"/>
        <v>0</v>
      </c>
      <c r="BN114" s="2">
        <f t="shared" si="401"/>
        <v>0</v>
      </c>
      <c r="BO114" s="2">
        <f t="shared" si="401"/>
        <v>0</v>
      </c>
      <c r="BP114" s="2">
        <f t="shared" si="401"/>
        <v>0</v>
      </c>
      <c r="BQ114" s="2">
        <f t="shared" si="401"/>
        <v>0</v>
      </c>
      <c r="BR114" s="2">
        <f t="shared" si="401"/>
        <v>0</v>
      </c>
      <c r="BS114" s="2">
        <f t="shared" si="401"/>
        <v>0</v>
      </c>
      <c r="BT114" s="2">
        <f t="shared" si="401"/>
        <v>0</v>
      </c>
      <c r="BU114" s="2">
        <f t="shared" si="401"/>
        <v>0</v>
      </c>
      <c r="BV114" s="2">
        <f t="shared" si="401"/>
        <v>0</v>
      </c>
      <c r="BW114" s="114">
        <v>13</v>
      </c>
      <c r="BX114" s="2">
        <f t="shared" ref="BX114:CG114" si="402">BX14+BX66</f>
        <v>3722259296.3340826</v>
      </c>
      <c r="BY114" s="2">
        <f t="shared" si="402"/>
        <v>0</v>
      </c>
      <c r="BZ114" s="2">
        <f t="shared" si="402"/>
        <v>0</v>
      </c>
      <c r="CA114" s="2">
        <f t="shared" si="402"/>
        <v>0</v>
      </c>
      <c r="CB114" s="2">
        <f t="shared" si="402"/>
        <v>0</v>
      </c>
      <c r="CC114" s="2">
        <f t="shared" si="402"/>
        <v>0</v>
      </c>
      <c r="CD114" s="2">
        <f t="shared" si="402"/>
        <v>0</v>
      </c>
      <c r="CE114" s="2">
        <f t="shared" si="402"/>
        <v>0</v>
      </c>
      <c r="CF114" s="2">
        <f t="shared" si="402"/>
        <v>0</v>
      </c>
      <c r="CG114" s="2">
        <f t="shared" si="402"/>
        <v>0</v>
      </c>
      <c r="CH114" s="74"/>
      <c r="CM114" s="638"/>
      <c r="CN114" s="638"/>
      <c r="CO114" s="638"/>
      <c r="CP114" s="638"/>
      <c r="CQ114" s="638"/>
      <c r="CR114" s="638"/>
      <c r="CS114" s="638"/>
      <c r="CT114" s="638"/>
      <c r="CU114" s="638"/>
      <c r="CV114" s="638"/>
      <c r="CW114" s="638"/>
      <c r="CX114" s="638"/>
      <c r="CY114" s="638"/>
      <c r="CZ114" s="638"/>
      <c r="DA114" s="638"/>
      <c r="DB114" s="638"/>
      <c r="DC114" s="638"/>
      <c r="DD114" s="638"/>
      <c r="DE114" s="638"/>
      <c r="DF114" s="638"/>
      <c r="DG114" s="647">
        <v>11</v>
      </c>
      <c r="DH114" s="451">
        <f t="shared" ref="DH114:DR114" si="403">DH14+DH66</f>
        <v>100</v>
      </c>
      <c r="DI114" s="451">
        <f t="shared" si="403"/>
        <v>0</v>
      </c>
      <c r="DJ114" s="451">
        <f t="shared" si="403"/>
        <v>0</v>
      </c>
      <c r="DK114" s="451">
        <f t="shared" si="403"/>
        <v>0</v>
      </c>
      <c r="DL114" s="451">
        <f t="shared" si="403"/>
        <v>0</v>
      </c>
      <c r="DM114" s="451">
        <f t="shared" si="403"/>
        <v>0</v>
      </c>
      <c r="DN114" s="451">
        <f t="shared" si="403"/>
        <v>0</v>
      </c>
      <c r="DO114" s="451">
        <f t="shared" si="403"/>
        <v>0</v>
      </c>
      <c r="DP114" s="451">
        <f t="shared" si="403"/>
        <v>0</v>
      </c>
      <c r="DQ114" s="451">
        <f t="shared" si="403"/>
        <v>0</v>
      </c>
      <c r="DR114" s="451">
        <f t="shared" si="403"/>
        <v>0</v>
      </c>
      <c r="DS114" s="123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</row>
    <row r="115" spans="20:134" ht="14.4" thickTop="1" thickBot="1">
      <c r="T115" s="114">
        <v>14</v>
      </c>
      <c r="U115" s="2">
        <f t="shared" ref="U115:AE115" si="404">U15+U67</f>
        <v>710018.4906435943</v>
      </c>
      <c r="V115" s="2">
        <f t="shared" si="404"/>
        <v>78651.561399129903</v>
      </c>
      <c r="W115" s="2">
        <f t="shared" si="404"/>
        <v>0</v>
      </c>
      <c r="X115" s="2">
        <f t="shared" si="404"/>
        <v>0</v>
      </c>
      <c r="Y115" s="2">
        <f t="shared" si="404"/>
        <v>0</v>
      </c>
      <c r="Z115" s="2">
        <f t="shared" si="404"/>
        <v>0</v>
      </c>
      <c r="AA115" s="2">
        <f t="shared" si="404"/>
        <v>0</v>
      </c>
      <c r="AB115" s="2">
        <f t="shared" si="404"/>
        <v>0</v>
      </c>
      <c r="AC115" s="2">
        <f t="shared" si="404"/>
        <v>0</v>
      </c>
      <c r="AD115" s="2">
        <f t="shared" si="404"/>
        <v>0</v>
      </c>
      <c r="AE115" s="2">
        <f t="shared" si="404"/>
        <v>0</v>
      </c>
      <c r="AF115" s="114">
        <v>14</v>
      </c>
      <c r="AG115" s="2">
        <f t="shared" ref="AG115:AP115" si="405">AG15+AG67</f>
        <v>9940258.8690103199</v>
      </c>
      <c r="AH115" s="2">
        <f t="shared" si="405"/>
        <v>1101121.8595878186</v>
      </c>
      <c r="AI115" s="2">
        <f t="shared" si="405"/>
        <v>0</v>
      </c>
      <c r="AJ115" s="2">
        <f t="shared" si="405"/>
        <v>0</v>
      </c>
      <c r="AK115" s="2">
        <f t="shared" si="405"/>
        <v>0</v>
      </c>
      <c r="AL115" s="2">
        <f t="shared" si="405"/>
        <v>0</v>
      </c>
      <c r="AM115" s="2">
        <f t="shared" si="405"/>
        <v>0</v>
      </c>
      <c r="AN115" s="2">
        <f t="shared" si="405"/>
        <v>0</v>
      </c>
      <c r="AO115" s="2">
        <f t="shared" si="405"/>
        <v>0</v>
      </c>
      <c r="AP115" s="2">
        <f t="shared" si="405"/>
        <v>0</v>
      </c>
      <c r="AQ115" s="74"/>
      <c r="AR115" s="1"/>
      <c r="AS115" s="1"/>
      <c r="AT115" s="1"/>
      <c r="AU115" s="1"/>
      <c r="AV115" s="1"/>
      <c r="AW115" s="1"/>
      <c r="BK115" s="114">
        <v>14</v>
      </c>
      <c r="BL115" s="2">
        <f t="shared" ref="BL115:BV115" si="406">BL15+BL67</f>
        <v>45902964.30803737</v>
      </c>
      <c r="BM115" s="2">
        <f t="shared" si="406"/>
        <v>45902964.30803737</v>
      </c>
      <c r="BN115" s="2">
        <f t="shared" si="406"/>
        <v>0</v>
      </c>
      <c r="BO115" s="2">
        <f t="shared" si="406"/>
        <v>0</v>
      </c>
      <c r="BP115" s="2">
        <f t="shared" si="406"/>
        <v>0</v>
      </c>
      <c r="BQ115" s="2">
        <f t="shared" si="406"/>
        <v>0</v>
      </c>
      <c r="BR115" s="2">
        <f t="shared" si="406"/>
        <v>0</v>
      </c>
      <c r="BS115" s="2">
        <f t="shared" si="406"/>
        <v>0</v>
      </c>
      <c r="BT115" s="2">
        <f t="shared" si="406"/>
        <v>0</v>
      </c>
      <c r="BU115" s="2">
        <f t="shared" si="406"/>
        <v>0</v>
      </c>
      <c r="BV115" s="2">
        <f t="shared" si="406"/>
        <v>0</v>
      </c>
      <c r="BW115" s="114">
        <v>14</v>
      </c>
      <c r="BX115" s="2">
        <f t="shared" ref="BX115:CG115" si="407">BX15+BX67</f>
        <v>642641500.31252313</v>
      </c>
      <c r="BY115" s="2">
        <f t="shared" si="407"/>
        <v>642641500.31252313</v>
      </c>
      <c r="BZ115" s="2">
        <f t="shared" si="407"/>
        <v>0</v>
      </c>
      <c r="CA115" s="2">
        <f t="shared" si="407"/>
        <v>0</v>
      </c>
      <c r="CB115" s="2">
        <f t="shared" si="407"/>
        <v>0</v>
      </c>
      <c r="CC115" s="2">
        <f t="shared" si="407"/>
        <v>0</v>
      </c>
      <c r="CD115" s="2">
        <f t="shared" si="407"/>
        <v>0</v>
      </c>
      <c r="CE115" s="2">
        <f t="shared" si="407"/>
        <v>0</v>
      </c>
      <c r="CF115" s="2">
        <f t="shared" si="407"/>
        <v>0</v>
      </c>
      <c r="CG115" s="2">
        <f t="shared" si="407"/>
        <v>0</v>
      </c>
      <c r="CH115" s="74"/>
      <c r="CM115" s="638"/>
      <c r="CN115" s="638"/>
      <c r="CO115" s="638"/>
      <c r="CP115" s="638"/>
      <c r="CQ115" s="638"/>
      <c r="CR115" s="638"/>
      <c r="CS115" s="638"/>
      <c r="CT115" s="638"/>
      <c r="CU115" s="638"/>
      <c r="CV115" s="638"/>
      <c r="CW115" s="638"/>
      <c r="CX115" s="638"/>
      <c r="CY115" s="638"/>
      <c r="CZ115" s="638"/>
      <c r="DA115" s="638"/>
      <c r="DB115" s="638"/>
      <c r="DC115" s="638"/>
      <c r="DD115" s="638"/>
      <c r="DE115" s="638"/>
      <c r="DF115" s="638"/>
      <c r="DG115" s="647">
        <v>12</v>
      </c>
      <c r="DH115" s="451">
        <f t="shared" ref="DH115:DR115" si="408">DH15+DH67</f>
        <v>100</v>
      </c>
      <c r="DI115" s="451">
        <f t="shared" si="408"/>
        <v>0</v>
      </c>
      <c r="DJ115" s="451">
        <f t="shared" si="408"/>
        <v>0</v>
      </c>
      <c r="DK115" s="451">
        <f t="shared" si="408"/>
        <v>0</v>
      </c>
      <c r="DL115" s="451">
        <f t="shared" si="408"/>
        <v>0</v>
      </c>
      <c r="DM115" s="451">
        <f t="shared" si="408"/>
        <v>0</v>
      </c>
      <c r="DN115" s="451">
        <f t="shared" si="408"/>
        <v>0</v>
      </c>
      <c r="DO115" s="451">
        <f t="shared" si="408"/>
        <v>0</v>
      </c>
      <c r="DP115" s="451">
        <f t="shared" si="408"/>
        <v>0</v>
      </c>
      <c r="DQ115" s="451">
        <f t="shared" si="408"/>
        <v>0</v>
      </c>
      <c r="DR115" s="451">
        <f t="shared" si="408"/>
        <v>0</v>
      </c>
      <c r="DS115" s="123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</row>
    <row r="116" spans="20:134" ht="14.4" thickTop="1" thickBot="1">
      <c r="T116" s="114">
        <v>15</v>
      </c>
      <c r="U116" s="2">
        <f t="shared" ref="U116:AE116" si="409">U16+U68</f>
        <v>831303.31684842776</v>
      </c>
      <c r="V116" s="2">
        <f t="shared" si="409"/>
        <v>539829.35611022485</v>
      </c>
      <c r="W116" s="2">
        <f t="shared" si="409"/>
        <v>0</v>
      </c>
      <c r="X116" s="2">
        <f t="shared" si="409"/>
        <v>0</v>
      </c>
      <c r="Y116" s="2">
        <f t="shared" si="409"/>
        <v>0</v>
      </c>
      <c r="Z116" s="2">
        <f t="shared" si="409"/>
        <v>0</v>
      </c>
      <c r="AA116" s="2">
        <f t="shared" si="409"/>
        <v>0</v>
      </c>
      <c r="AB116" s="2">
        <f t="shared" si="409"/>
        <v>0</v>
      </c>
      <c r="AC116" s="2">
        <f t="shared" si="409"/>
        <v>0</v>
      </c>
      <c r="AD116" s="2">
        <f t="shared" si="409"/>
        <v>0</v>
      </c>
      <c r="AE116" s="2">
        <f t="shared" si="409"/>
        <v>0</v>
      </c>
      <c r="AF116" s="114">
        <v>15</v>
      </c>
      <c r="AG116" s="2">
        <f t="shared" ref="AG116:AP116" si="410">AG16+AG68</f>
        <v>12469549.752726417</v>
      </c>
      <c r="AH116" s="2">
        <f t="shared" si="410"/>
        <v>8097440.3416533731</v>
      </c>
      <c r="AI116" s="2">
        <f t="shared" si="410"/>
        <v>0</v>
      </c>
      <c r="AJ116" s="2">
        <f t="shared" si="410"/>
        <v>0</v>
      </c>
      <c r="AK116" s="2">
        <f t="shared" si="410"/>
        <v>0</v>
      </c>
      <c r="AL116" s="2">
        <f t="shared" si="410"/>
        <v>0</v>
      </c>
      <c r="AM116" s="2">
        <f t="shared" si="410"/>
        <v>0</v>
      </c>
      <c r="AN116" s="2">
        <f t="shared" si="410"/>
        <v>0</v>
      </c>
      <c r="AO116" s="2">
        <f t="shared" si="410"/>
        <v>0</v>
      </c>
      <c r="AP116" s="2">
        <f t="shared" si="410"/>
        <v>0</v>
      </c>
      <c r="AQ116" s="74"/>
      <c r="AR116" s="1"/>
      <c r="AS116" s="1"/>
      <c r="AT116" s="1"/>
      <c r="AU116" s="1"/>
      <c r="AV116" s="1"/>
      <c r="AW116" s="1"/>
      <c r="BK116" s="114">
        <v>15</v>
      </c>
      <c r="BL116" s="2">
        <f t="shared" ref="BL116:BV116" si="411">BL16+BL68</f>
        <v>1186883.4113014501</v>
      </c>
      <c r="BM116" s="2">
        <f t="shared" si="411"/>
        <v>4747533.6452058004</v>
      </c>
      <c r="BN116" s="2">
        <f t="shared" si="411"/>
        <v>0</v>
      </c>
      <c r="BO116" s="2">
        <f t="shared" si="411"/>
        <v>0</v>
      </c>
      <c r="BP116" s="2">
        <f t="shared" si="411"/>
        <v>0</v>
      </c>
      <c r="BQ116" s="2">
        <f t="shared" si="411"/>
        <v>0</v>
      </c>
      <c r="BR116" s="2">
        <f t="shared" si="411"/>
        <v>0</v>
      </c>
      <c r="BS116" s="2">
        <f t="shared" si="411"/>
        <v>0</v>
      </c>
      <c r="BT116" s="2">
        <f t="shared" si="411"/>
        <v>0</v>
      </c>
      <c r="BU116" s="2">
        <f t="shared" si="411"/>
        <v>0</v>
      </c>
      <c r="BV116" s="2">
        <f t="shared" si="411"/>
        <v>0</v>
      </c>
      <c r="BW116" s="114">
        <v>15</v>
      </c>
      <c r="BX116" s="2">
        <f t="shared" ref="BX116:CG116" si="412">BX16+BX68</f>
        <v>17803251.169521753</v>
      </c>
      <c r="BY116" s="2">
        <f t="shared" si="412"/>
        <v>71213004.678087011</v>
      </c>
      <c r="BZ116" s="2">
        <f t="shared" si="412"/>
        <v>0</v>
      </c>
      <c r="CA116" s="2">
        <f t="shared" si="412"/>
        <v>0</v>
      </c>
      <c r="CB116" s="2">
        <f t="shared" si="412"/>
        <v>0</v>
      </c>
      <c r="CC116" s="2">
        <f t="shared" si="412"/>
        <v>0</v>
      </c>
      <c r="CD116" s="2">
        <f t="shared" si="412"/>
        <v>0</v>
      </c>
      <c r="CE116" s="2">
        <f t="shared" si="412"/>
        <v>0</v>
      </c>
      <c r="CF116" s="2">
        <f t="shared" si="412"/>
        <v>0</v>
      </c>
      <c r="CG116" s="2">
        <f t="shared" si="412"/>
        <v>0</v>
      </c>
      <c r="CH116" s="74"/>
      <c r="CM116" s="638"/>
      <c r="CN116" s="638"/>
      <c r="CO116" s="638"/>
      <c r="CP116" s="638"/>
      <c r="CQ116" s="638"/>
      <c r="CR116" s="638"/>
      <c r="CS116" s="638"/>
      <c r="CT116" s="638"/>
      <c r="CU116" s="638"/>
      <c r="CV116" s="638"/>
      <c r="CW116" s="638"/>
      <c r="CX116" s="638"/>
      <c r="CY116" s="638"/>
      <c r="CZ116" s="638"/>
      <c r="DA116" s="638"/>
      <c r="DB116" s="638"/>
      <c r="DC116" s="638"/>
      <c r="DD116" s="638"/>
      <c r="DE116" s="638"/>
      <c r="DF116" s="638"/>
      <c r="DG116" s="647">
        <v>13</v>
      </c>
      <c r="DH116" s="451">
        <f t="shared" ref="DH116:DR116" si="413">DH16+DH68</f>
        <v>100</v>
      </c>
      <c r="DI116" s="451">
        <f t="shared" si="413"/>
        <v>0</v>
      </c>
      <c r="DJ116" s="451">
        <f t="shared" si="413"/>
        <v>0</v>
      </c>
      <c r="DK116" s="451">
        <f t="shared" si="413"/>
        <v>0</v>
      </c>
      <c r="DL116" s="451">
        <f t="shared" si="413"/>
        <v>0</v>
      </c>
      <c r="DM116" s="451">
        <f t="shared" si="413"/>
        <v>0</v>
      </c>
      <c r="DN116" s="451">
        <f t="shared" si="413"/>
        <v>0</v>
      </c>
      <c r="DO116" s="451">
        <f t="shared" si="413"/>
        <v>0</v>
      </c>
      <c r="DP116" s="451">
        <f t="shared" si="413"/>
        <v>0</v>
      </c>
      <c r="DQ116" s="451">
        <f t="shared" si="413"/>
        <v>0</v>
      </c>
      <c r="DR116" s="451">
        <f t="shared" si="413"/>
        <v>0</v>
      </c>
      <c r="DS116" s="123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</row>
    <row r="117" spans="20:134" ht="14.4" thickTop="1" thickBot="1">
      <c r="T117" s="114">
        <v>16</v>
      </c>
      <c r="U117" s="2">
        <f t="shared" ref="U117:AE117" si="414">U17+U69</f>
        <v>320992.89841090236</v>
      </c>
      <c r="V117" s="2">
        <f t="shared" si="414"/>
        <v>1139351.6480209883</v>
      </c>
      <c r="W117" s="2">
        <f t="shared" si="414"/>
        <v>0</v>
      </c>
      <c r="X117" s="2">
        <f t="shared" si="414"/>
        <v>0</v>
      </c>
      <c r="Y117" s="2">
        <f t="shared" si="414"/>
        <v>0</v>
      </c>
      <c r="Z117" s="2">
        <f t="shared" si="414"/>
        <v>0</v>
      </c>
      <c r="AA117" s="2">
        <f t="shared" si="414"/>
        <v>0</v>
      </c>
      <c r="AB117" s="2">
        <f t="shared" si="414"/>
        <v>0</v>
      </c>
      <c r="AC117" s="2">
        <f t="shared" si="414"/>
        <v>0</v>
      </c>
      <c r="AD117" s="2">
        <f t="shared" si="414"/>
        <v>0</v>
      </c>
      <c r="AE117" s="2">
        <f t="shared" si="414"/>
        <v>0</v>
      </c>
      <c r="AF117" s="114">
        <v>16</v>
      </c>
      <c r="AG117" s="2">
        <f t="shared" ref="AG117:AP117" si="415">AG17+AG69</f>
        <v>5135886.3745744377</v>
      </c>
      <c r="AH117" s="2">
        <f t="shared" si="415"/>
        <v>18229626.368335813</v>
      </c>
      <c r="AI117" s="2">
        <f t="shared" si="415"/>
        <v>0</v>
      </c>
      <c r="AJ117" s="2">
        <f t="shared" si="415"/>
        <v>0</v>
      </c>
      <c r="AK117" s="2">
        <f t="shared" si="415"/>
        <v>0</v>
      </c>
      <c r="AL117" s="2">
        <f t="shared" si="415"/>
        <v>0</v>
      </c>
      <c r="AM117" s="2">
        <f t="shared" si="415"/>
        <v>0</v>
      </c>
      <c r="AN117" s="2">
        <f t="shared" si="415"/>
        <v>0</v>
      </c>
      <c r="AO117" s="2">
        <f t="shared" si="415"/>
        <v>0</v>
      </c>
      <c r="AP117" s="2">
        <f t="shared" si="415"/>
        <v>0</v>
      </c>
      <c r="AQ117" s="74"/>
      <c r="AR117" s="1"/>
      <c r="AS117" s="1"/>
      <c r="AT117" s="1"/>
      <c r="AU117" s="1"/>
      <c r="AV117" s="1"/>
      <c r="AW117" s="1"/>
      <c r="BK117" s="114">
        <v>16</v>
      </c>
      <c r="BL117" s="2">
        <f t="shared" ref="BL117:BV117" si="416">BL17+BL69</f>
        <v>0</v>
      </c>
      <c r="BM117" s="2">
        <f t="shared" si="416"/>
        <v>5623197.5954063283</v>
      </c>
      <c r="BN117" s="2">
        <f t="shared" si="416"/>
        <v>0</v>
      </c>
      <c r="BO117" s="2">
        <f t="shared" si="416"/>
        <v>0</v>
      </c>
      <c r="BP117" s="2">
        <f t="shared" si="416"/>
        <v>0</v>
      </c>
      <c r="BQ117" s="2">
        <f t="shared" si="416"/>
        <v>0</v>
      </c>
      <c r="BR117" s="2">
        <f t="shared" si="416"/>
        <v>0</v>
      </c>
      <c r="BS117" s="2">
        <f t="shared" si="416"/>
        <v>0</v>
      </c>
      <c r="BT117" s="2">
        <f t="shared" si="416"/>
        <v>0</v>
      </c>
      <c r="BU117" s="2">
        <f t="shared" si="416"/>
        <v>0</v>
      </c>
      <c r="BV117" s="2">
        <f t="shared" si="416"/>
        <v>0</v>
      </c>
      <c r="BW117" s="114">
        <v>16</v>
      </c>
      <c r="BX117" s="2">
        <f t="shared" ref="BX117:CG117" si="417">BX17+BX69</f>
        <v>0</v>
      </c>
      <c r="BY117" s="2">
        <f t="shared" si="417"/>
        <v>89971161.526501253</v>
      </c>
      <c r="BZ117" s="2">
        <f t="shared" si="417"/>
        <v>0</v>
      </c>
      <c r="CA117" s="2">
        <f t="shared" si="417"/>
        <v>0</v>
      </c>
      <c r="CB117" s="2">
        <f t="shared" si="417"/>
        <v>0</v>
      </c>
      <c r="CC117" s="2">
        <f t="shared" si="417"/>
        <v>0</v>
      </c>
      <c r="CD117" s="2">
        <f t="shared" si="417"/>
        <v>0</v>
      </c>
      <c r="CE117" s="2">
        <f t="shared" si="417"/>
        <v>0</v>
      </c>
      <c r="CF117" s="2">
        <f t="shared" si="417"/>
        <v>0</v>
      </c>
      <c r="CG117" s="2">
        <f t="shared" si="417"/>
        <v>0</v>
      </c>
      <c r="CH117" s="74"/>
      <c r="CM117" s="638"/>
      <c r="CN117" s="638"/>
      <c r="CO117" s="638"/>
      <c r="CP117" s="638"/>
      <c r="CQ117" s="638"/>
      <c r="CR117" s="638"/>
      <c r="CS117" s="638"/>
      <c r="CT117" s="638"/>
      <c r="CU117" s="638"/>
      <c r="CV117" s="638"/>
      <c r="CW117" s="638"/>
      <c r="CX117" s="638"/>
      <c r="CY117" s="638"/>
      <c r="CZ117" s="638"/>
      <c r="DA117" s="638"/>
      <c r="DB117" s="638"/>
      <c r="DC117" s="638"/>
      <c r="DD117" s="638"/>
      <c r="DE117" s="638"/>
      <c r="DF117" s="638"/>
      <c r="DG117" s="647">
        <v>14</v>
      </c>
      <c r="DH117" s="451">
        <f t="shared" ref="DH117:DR117" si="418">DH17+DH69</f>
        <v>100</v>
      </c>
      <c r="DI117" s="451">
        <f t="shared" si="418"/>
        <v>0</v>
      </c>
      <c r="DJ117" s="451">
        <f t="shared" si="418"/>
        <v>0</v>
      </c>
      <c r="DK117" s="451">
        <f t="shared" si="418"/>
        <v>0</v>
      </c>
      <c r="DL117" s="451">
        <f t="shared" si="418"/>
        <v>0</v>
      </c>
      <c r="DM117" s="451">
        <f t="shared" si="418"/>
        <v>0</v>
      </c>
      <c r="DN117" s="451">
        <f t="shared" si="418"/>
        <v>0</v>
      </c>
      <c r="DO117" s="451">
        <f t="shared" si="418"/>
        <v>0</v>
      </c>
      <c r="DP117" s="451">
        <f t="shared" si="418"/>
        <v>0</v>
      </c>
      <c r="DQ117" s="451">
        <f t="shared" si="418"/>
        <v>0</v>
      </c>
      <c r="DR117" s="451">
        <f t="shared" si="418"/>
        <v>0</v>
      </c>
      <c r="DS117" s="123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</row>
    <row r="118" spans="20:134" ht="14.4" thickTop="1" thickBot="1">
      <c r="T118" s="114">
        <v>17</v>
      </c>
      <c r="U118" s="2">
        <f t="shared" ref="U118:AE118" si="419">U18+U70</f>
        <v>0</v>
      </c>
      <c r="V118" s="2">
        <f t="shared" si="419"/>
        <v>2194466.7366903727</v>
      </c>
      <c r="W118" s="2">
        <f t="shared" si="419"/>
        <v>0</v>
      </c>
      <c r="X118" s="2">
        <f t="shared" si="419"/>
        <v>0</v>
      </c>
      <c r="Y118" s="2">
        <f t="shared" si="419"/>
        <v>0</v>
      </c>
      <c r="Z118" s="2">
        <f t="shared" si="419"/>
        <v>0</v>
      </c>
      <c r="AA118" s="2">
        <f t="shared" si="419"/>
        <v>0</v>
      </c>
      <c r="AB118" s="2">
        <f t="shared" si="419"/>
        <v>0</v>
      </c>
      <c r="AC118" s="2">
        <f t="shared" si="419"/>
        <v>0</v>
      </c>
      <c r="AD118" s="2">
        <f t="shared" si="419"/>
        <v>0</v>
      </c>
      <c r="AE118" s="2">
        <f t="shared" si="419"/>
        <v>0</v>
      </c>
      <c r="AF118" s="114">
        <v>17</v>
      </c>
      <c r="AG118" s="2">
        <f t="shared" ref="AG118:AP118" si="420">AG18+AG70</f>
        <v>0</v>
      </c>
      <c r="AH118" s="2">
        <f t="shared" si="420"/>
        <v>37305934.523736335</v>
      </c>
      <c r="AI118" s="2">
        <f t="shared" si="420"/>
        <v>0</v>
      </c>
      <c r="AJ118" s="2">
        <f t="shared" si="420"/>
        <v>0</v>
      </c>
      <c r="AK118" s="2">
        <f t="shared" si="420"/>
        <v>0</v>
      </c>
      <c r="AL118" s="2">
        <f t="shared" si="420"/>
        <v>0</v>
      </c>
      <c r="AM118" s="2">
        <f t="shared" si="420"/>
        <v>0</v>
      </c>
      <c r="AN118" s="2">
        <f t="shared" si="420"/>
        <v>0</v>
      </c>
      <c r="AO118" s="2">
        <f t="shared" si="420"/>
        <v>0</v>
      </c>
      <c r="AP118" s="2">
        <f t="shared" si="420"/>
        <v>0</v>
      </c>
      <c r="AQ118" s="74"/>
      <c r="AR118" s="1"/>
      <c r="AS118" s="1"/>
      <c r="AT118" s="1"/>
      <c r="AU118" s="1"/>
      <c r="AV118" s="1"/>
      <c r="AW118" s="1"/>
      <c r="BK118" s="114">
        <v>17</v>
      </c>
      <c r="BL118" s="2">
        <f t="shared" ref="BL118:BV118" si="421">BL18+BL70</f>
        <v>0</v>
      </c>
      <c r="BM118" s="2">
        <f t="shared" si="421"/>
        <v>2772579.6871305942</v>
      </c>
      <c r="BN118" s="2">
        <f t="shared" si="421"/>
        <v>693144.92178264854</v>
      </c>
      <c r="BO118" s="2">
        <f t="shared" si="421"/>
        <v>0</v>
      </c>
      <c r="BP118" s="2">
        <f t="shared" si="421"/>
        <v>0</v>
      </c>
      <c r="BQ118" s="2">
        <f t="shared" si="421"/>
        <v>0</v>
      </c>
      <c r="BR118" s="2">
        <f t="shared" si="421"/>
        <v>0</v>
      </c>
      <c r="BS118" s="2">
        <f t="shared" si="421"/>
        <v>0</v>
      </c>
      <c r="BT118" s="2">
        <f t="shared" si="421"/>
        <v>0</v>
      </c>
      <c r="BU118" s="2">
        <f t="shared" si="421"/>
        <v>0</v>
      </c>
      <c r="BV118" s="2">
        <f t="shared" si="421"/>
        <v>0</v>
      </c>
      <c r="BW118" s="114">
        <v>17</v>
      </c>
      <c r="BX118" s="2">
        <f t="shared" ref="BX118:CG118" si="422">BX18+BX70</f>
        <v>0</v>
      </c>
      <c r="BY118" s="2">
        <f t="shared" si="422"/>
        <v>47133854.681220099</v>
      </c>
      <c r="BZ118" s="2">
        <f t="shared" si="422"/>
        <v>11783463.670305025</v>
      </c>
      <c r="CA118" s="2">
        <f t="shared" si="422"/>
        <v>0</v>
      </c>
      <c r="CB118" s="2">
        <f t="shared" si="422"/>
        <v>0</v>
      </c>
      <c r="CC118" s="2">
        <f t="shared" si="422"/>
        <v>0</v>
      </c>
      <c r="CD118" s="2">
        <f t="shared" si="422"/>
        <v>0</v>
      </c>
      <c r="CE118" s="2">
        <f t="shared" si="422"/>
        <v>0</v>
      </c>
      <c r="CF118" s="2">
        <f t="shared" si="422"/>
        <v>0</v>
      </c>
      <c r="CG118" s="2">
        <f t="shared" si="422"/>
        <v>0</v>
      </c>
      <c r="CH118" s="74"/>
      <c r="CM118" s="638"/>
      <c r="CN118" s="638"/>
      <c r="CO118" s="638"/>
      <c r="CP118" s="638"/>
      <c r="CQ118" s="638"/>
      <c r="CR118" s="638"/>
      <c r="CS118" s="638"/>
      <c r="CT118" s="638"/>
      <c r="CU118" s="638"/>
      <c r="CV118" s="638"/>
      <c r="CW118" s="638"/>
      <c r="CX118" s="638"/>
      <c r="CY118" s="638"/>
      <c r="CZ118" s="638"/>
      <c r="DA118" s="638"/>
      <c r="DB118" s="638"/>
      <c r="DC118" s="638"/>
      <c r="DD118" s="638"/>
      <c r="DE118" s="638"/>
      <c r="DF118" s="638"/>
      <c r="DG118" s="647">
        <v>15</v>
      </c>
      <c r="DH118" s="451">
        <f t="shared" ref="DH118:DR118" si="423">DH18+DH70</f>
        <v>100</v>
      </c>
      <c r="DI118" s="451">
        <f t="shared" si="423"/>
        <v>0</v>
      </c>
      <c r="DJ118" s="451">
        <f t="shared" si="423"/>
        <v>0</v>
      </c>
      <c r="DK118" s="451">
        <f t="shared" si="423"/>
        <v>0</v>
      </c>
      <c r="DL118" s="451">
        <f t="shared" si="423"/>
        <v>0</v>
      </c>
      <c r="DM118" s="451">
        <f t="shared" si="423"/>
        <v>0</v>
      </c>
      <c r="DN118" s="451">
        <f t="shared" si="423"/>
        <v>0</v>
      </c>
      <c r="DO118" s="451">
        <f t="shared" si="423"/>
        <v>0</v>
      </c>
      <c r="DP118" s="451">
        <f t="shared" si="423"/>
        <v>0</v>
      </c>
      <c r="DQ118" s="451">
        <f t="shared" si="423"/>
        <v>0</v>
      </c>
      <c r="DR118" s="451">
        <f t="shared" si="423"/>
        <v>0</v>
      </c>
      <c r="DS118" s="123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</row>
    <row r="119" spans="20:134" ht="14.4" thickTop="1" thickBot="1">
      <c r="T119" s="114">
        <v>18</v>
      </c>
      <c r="U119" s="2">
        <f t="shared" ref="U119:AE119" si="424">U19+U71</f>
        <v>0</v>
      </c>
      <c r="V119" s="2">
        <f t="shared" si="424"/>
        <v>2825569.7027253299</v>
      </c>
      <c r="W119" s="2">
        <f t="shared" si="424"/>
        <v>75173.09510811104</v>
      </c>
      <c r="X119" s="2">
        <f t="shared" si="424"/>
        <v>0</v>
      </c>
      <c r="Y119" s="2">
        <f t="shared" si="424"/>
        <v>0</v>
      </c>
      <c r="Z119" s="2">
        <f t="shared" si="424"/>
        <v>0</v>
      </c>
      <c r="AA119" s="2">
        <f t="shared" si="424"/>
        <v>0</v>
      </c>
      <c r="AB119" s="2">
        <f t="shared" si="424"/>
        <v>0</v>
      </c>
      <c r="AC119" s="2">
        <f t="shared" si="424"/>
        <v>0</v>
      </c>
      <c r="AD119" s="2">
        <f t="shared" si="424"/>
        <v>0</v>
      </c>
      <c r="AE119" s="2">
        <f t="shared" si="424"/>
        <v>0</v>
      </c>
      <c r="AF119" s="114">
        <v>18</v>
      </c>
      <c r="AG119" s="2">
        <f t="shared" ref="AG119:AP119" si="425">AG19+AG71</f>
        <v>0</v>
      </c>
      <c r="AH119" s="2">
        <f t="shared" si="425"/>
        <v>50860254.649055935</v>
      </c>
      <c r="AI119" s="2">
        <f t="shared" si="425"/>
        <v>1353115.7119459987</v>
      </c>
      <c r="AJ119" s="2">
        <f t="shared" si="425"/>
        <v>0</v>
      </c>
      <c r="AK119" s="2">
        <f t="shared" si="425"/>
        <v>0</v>
      </c>
      <c r="AL119" s="2">
        <f t="shared" si="425"/>
        <v>0</v>
      </c>
      <c r="AM119" s="2">
        <f t="shared" si="425"/>
        <v>0</v>
      </c>
      <c r="AN119" s="2">
        <f t="shared" si="425"/>
        <v>0</v>
      </c>
      <c r="AO119" s="2">
        <f t="shared" si="425"/>
        <v>0</v>
      </c>
      <c r="AP119" s="2">
        <f t="shared" si="425"/>
        <v>0</v>
      </c>
      <c r="AQ119" s="74"/>
      <c r="AR119" s="1"/>
      <c r="AS119" s="1"/>
      <c r="AT119" s="1"/>
      <c r="AU119" s="1"/>
      <c r="AV119" s="1"/>
      <c r="AW119" s="1"/>
      <c r="BK119" s="114">
        <v>18</v>
      </c>
      <c r="BL119" s="2">
        <f t="shared" ref="BL119:BV119" si="426">BL19+BL71</f>
        <v>0</v>
      </c>
      <c r="BM119" s="2">
        <f t="shared" si="426"/>
        <v>985337.53002905322</v>
      </c>
      <c r="BN119" s="2">
        <f t="shared" si="426"/>
        <v>3941350.1201162129</v>
      </c>
      <c r="BO119" s="2">
        <f t="shared" si="426"/>
        <v>0</v>
      </c>
      <c r="BP119" s="2">
        <f t="shared" si="426"/>
        <v>0</v>
      </c>
      <c r="BQ119" s="2">
        <f t="shared" si="426"/>
        <v>0</v>
      </c>
      <c r="BR119" s="2">
        <f t="shared" si="426"/>
        <v>0</v>
      </c>
      <c r="BS119" s="2">
        <f t="shared" si="426"/>
        <v>0</v>
      </c>
      <c r="BT119" s="2">
        <f t="shared" si="426"/>
        <v>0</v>
      </c>
      <c r="BU119" s="2">
        <f t="shared" si="426"/>
        <v>0</v>
      </c>
      <c r="BV119" s="2">
        <f t="shared" si="426"/>
        <v>0</v>
      </c>
      <c r="BW119" s="114">
        <v>18</v>
      </c>
      <c r="BX119" s="2">
        <f t="shared" ref="BX119:CG119" si="427">BX19+BX71</f>
        <v>0</v>
      </c>
      <c r="BY119" s="2">
        <f t="shared" si="427"/>
        <v>17736075.540522959</v>
      </c>
      <c r="BZ119" s="2">
        <f t="shared" si="427"/>
        <v>70944302.162091836</v>
      </c>
      <c r="CA119" s="2">
        <f t="shared" si="427"/>
        <v>0</v>
      </c>
      <c r="CB119" s="2">
        <f t="shared" si="427"/>
        <v>0</v>
      </c>
      <c r="CC119" s="2">
        <f t="shared" si="427"/>
        <v>0</v>
      </c>
      <c r="CD119" s="2">
        <f t="shared" si="427"/>
        <v>0</v>
      </c>
      <c r="CE119" s="2">
        <f t="shared" si="427"/>
        <v>0</v>
      </c>
      <c r="CF119" s="2">
        <f t="shared" si="427"/>
        <v>0</v>
      </c>
      <c r="CG119" s="2">
        <f t="shared" si="427"/>
        <v>0</v>
      </c>
      <c r="CH119" s="74"/>
      <c r="CM119" s="638"/>
      <c r="CN119" s="638"/>
      <c r="CO119" s="638"/>
      <c r="CP119" s="638"/>
      <c r="CQ119" s="638"/>
      <c r="CR119" s="638"/>
      <c r="CS119" s="638"/>
      <c r="CT119" s="638"/>
      <c r="CU119" s="638"/>
      <c r="CV119" s="638"/>
      <c r="CW119" s="638"/>
      <c r="CX119" s="638"/>
      <c r="CY119" s="638"/>
      <c r="CZ119" s="638"/>
      <c r="DA119" s="638"/>
      <c r="DB119" s="638"/>
      <c r="DC119" s="638"/>
      <c r="DD119" s="638"/>
      <c r="DE119" s="638"/>
      <c r="DF119" s="638"/>
      <c r="DG119" s="647">
        <v>16</v>
      </c>
      <c r="DH119" s="451">
        <f t="shared" ref="DH119:DR119" si="428">DH19+DH71</f>
        <v>100</v>
      </c>
      <c r="DI119" s="451">
        <f t="shared" si="428"/>
        <v>0</v>
      </c>
      <c r="DJ119" s="451">
        <f t="shared" si="428"/>
        <v>0</v>
      </c>
      <c r="DK119" s="451">
        <f t="shared" si="428"/>
        <v>0</v>
      </c>
      <c r="DL119" s="451">
        <f t="shared" si="428"/>
        <v>0</v>
      </c>
      <c r="DM119" s="451">
        <f t="shared" si="428"/>
        <v>0</v>
      </c>
      <c r="DN119" s="451">
        <f t="shared" si="428"/>
        <v>0</v>
      </c>
      <c r="DO119" s="451">
        <f t="shared" si="428"/>
        <v>0</v>
      </c>
      <c r="DP119" s="451">
        <f t="shared" si="428"/>
        <v>0</v>
      </c>
      <c r="DQ119" s="451">
        <f t="shared" si="428"/>
        <v>0</v>
      </c>
      <c r="DR119" s="451">
        <f t="shared" si="428"/>
        <v>0</v>
      </c>
      <c r="DS119" s="123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</row>
    <row r="120" spans="20:134" ht="14.4" thickTop="1" thickBot="1">
      <c r="T120" s="114">
        <v>19</v>
      </c>
      <c r="U120" s="2">
        <f t="shared" ref="U120:AE120" si="429">U20+U72</f>
        <v>0</v>
      </c>
      <c r="V120" s="2">
        <f t="shared" si="429"/>
        <v>2368756.671853744</v>
      </c>
      <c r="W120" s="2">
        <f t="shared" si="429"/>
        <v>1216241.6056858879</v>
      </c>
      <c r="X120" s="2">
        <f t="shared" si="429"/>
        <v>0</v>
      </c>
      <c r="Y120" s="2">
        <f t="shared" si="429"/>
        <v>0</v>
      </c>
      <c r="Z120" s="2">
        <f t="shared" si="429"/>
        <v>0</v>
      </c>
      <c r="AA120" s="2">
        <f t="shared" si="429"/>
        <v>0</v>
      </c>
      <c r="AB120" s="2">
        <f t="shared" si="429"/>
        <v>0</v>
      </c>
      <c r="AC120" s="2">
        <f t="shared" si="429"/>
        <v>0</v>
      </c>
      <c r="AD120" s="2">
        <f t="shared" si="429"/>
        <v>0</v>
      </c>
      <c r="AE120" s="2">
        <f t="shared" si="429"/>
        <v>0</v>
      </c>
      <c r="AF120" s="114">
        <v>19</v>
      </c>
      <c r="AG120" s="2">
        <f t="shared" ref="AG120:AP120" si="430">AG20+AG72</f>
        <v>0</v>
      </c>
      <c r="AH120" s="2">
        <f t="shared" si="430"/>
        <v>45006376.765221134</v>
      </c>
      <c r="AI120" s="2">
        <f t="shared" si="430"/>
        <v>23108590.508031867</v>
      </c>
      <c r="AJ120" s="2">
        <f t="shared" si="430"/>
        <v>0</v>
      </c>
      <c r="AK120" s="2">
        <f t="shared" si="430"/>
        <v>0</v>
      </c>
      <c r="AL120" s="2">
        <f t="shared" si="430"/>
        <v>0</v>
      </c>
      <c r="AM120" s="2">
        <f t="shared" si="430"/>
        <v>0</v>
      </c>
      <c r="AN120" s="2">
        <f t="shared" si="430"/>
        <v>0</v>
      </c>
      <c r="AO120" s="2">
        <f t="shared" si="430"/>
        <v>0</v>
      </c>
      <c r="AP120" s="2">
        <f t="shared" si="430"/>
        <v>0</v>
      </c>
      <c r="AQ120" s="74"/>
      <c r="AR120" s="1"/>
      <c r="AS120" s="1"/>
      <c r="AT120" s="1"/>
      <c r="AU120" s="1"/>
      <c r="AV120" s="1"/>
      <c r="AW120" s="1"/>
      <c r="BK120" s="114">
        <v>19</v>
      </c>
      <c r="BL120" s="2">
        <f t="shared" ref="BL120:BV120" si="431">BL20+BL72</f>
        <v>0</v>
      </c>
      <c r="BM120" s="2">
        <f t="shared" si="431"/>
        <v>2981398.9265371528</v>
      </c>
      <c r="BN120" s="2">
        <f t="shared" si="431"/>
        <v>11486498.88601597</v>
      </c>
      <c r="BO120" s="2">
        <f t="shared" si="431"/>
        <v>0</v>
      </c>
      <c r="BP120" s="2">
        <f t="shared" si="431"/>
        <v>0</v>
      </c>
      <c r="BQ120" s="2">
        <f t="shared" si="431"/>
        <v>0</v>
      </c>
      <c r="BR120" s="2">
        <f t="shared" si="431"/>
        <v>0</v>
      </c>
      <c r="BS120" s="2">
        <f t="shared" si="431"/>
        <v>0</v>
      </c>
      <c r="BT120" s="2">
        <f t="shared" si="431"/>
        <v>0</v>
      </c>
      <c r="BU120" s="2">
        <f t="shared" si="431"/>
        <v>0</v>
      </c>
      <c r="BV120" s="2">
        <f t="shared" si="431"/>
        <v>0</v>
      </c>
      <c r="BW120" s="114">
        <v>19</v>
      </c>
      <c r="BX120" s="2">
        <f t="shared" ref="BX120:CG120" si="432">BX20+BX72</f>
        <v>0</v>
      </c>
      <c r="BY120" s="2">
        <f t="shared" si="432"/>
        <v>56646579.604205906</v>
      </c>
      <c r="BZ120" s="2">
        <f t="shared" si="432"/>
        <v>218243478.83430347</v>
      </c>
      <c r="CA120" s="2">
        <f t="shared" si="432"/>
        <v>0</v>
      </c>
      <c r="CB120" s="2">
        <f t="shared" si="432"/>
        <v>0</v>
      </c>
      <c r="CC120" s="2">
        <f t="shared" si="432"/>
        <v>0</v>
      </c>
      <c r="CD120" s="2">
        <f t="shared" si="432"/>
        <v>0</v>
      </c>
      <c r="CE120" s="2">
        <f t="shared" si="432"/>
        <v>0</v>
      </c>
      <c r="CF120" s="2">
        <f t="shared" si="432"/>
        <v>0</v>
      </c>
      <c r="CG120" s="2">
        <f t="shared" si="432"/>
        <v>0</v>
      </c>
      <c r="CH120" s="74"/>
      <c r="CM120" s="638"/>
      <c r="CN120" s="638"/>
      <c r="CO120" s="638"/>
      <c r="CP120" s="638"/>
      <c r="CQ120" s="638"/>
      <c r="CR120" s="638"/>
      <c r="CS120" s="638"/>
      <c r="CT120" s="638"/>
      <c r="CU120" s="638"/>
      <c r="CV120" s="638"/>
      <c r="CW120" s="638"/>
      <c r="CX120" s="638"/>
      <c r="CY120" s="638"/>
      <c r="CZ120" s="638"/>
      <c r="DA120" s="638"/>
      <c r="DB120" s="638"/>
      <c r="DC120" s="638"/>
      <c r="DD120" s="638"/>
      <c r="DE120" s="638"/>
      <c r="DF120" s="638"/>
      <c r="DG120" s="647">
        <v>17</v>
      </c>
      <c r="DH120" s="451">
        <f t="shared" ref="DH120:DR120" si="433">DH20+DH72</f>
        <v>100</v>
      </c>
      <c r="DI120" s="451">
        <f t="shared" si="433"/>
        <v>0</v>
      </c>
      <c r="DJ120" s="451">
        <f t="shared" si="433"/>
        <v>0</v>
      </c>
      <c r="DK120" s="451">
        <f t="shared" si="433"/>
        <v>0</v>
      </c>
      <c r="DL120" s="451">
        <f t="shared" si="433"/>
        <v>0</v>
      </c>
      <c r="DM120" s="451">
        <f t="shared" si="433"/>
        <v>0</v>
      </c>
      <c r="DN120" s="451">
        <f t="shared" si="433"/>
        <v>0</v>
      </c>
      <c r="DO120" s="451">
        <f t="shared" si="433"/>
        <v>0</v>
      </c>
      <c r="DP120" s="451">
        <f t="shared" si="433"/>
        <v>0</v>
      </c>
      <c r="DQ120" s="451">
        <f t="shared" si="433"/>
        <v>0</v>
      </c>
      <c r="DR120" s="451">
        <f t="shared" si="433"/>
        <v>0</v>
      </c>
      <c r="DS120" s="123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</row>
    <row r="121" spans="20:134" ht="14.4" thickTop="1" thickBot="1">
      <c r="T121" s="114">
        <v>20</v>
      </c>
      <c r="U121" s="2">
        <f t="shared" ref="U121:AE121" si="434">U21+U73</f>
        <v>0</v>
      </c>
      <c r="V121" s="2">
        <f t="shared" si="434"/>
        <v>2594278.7596048601</v>
      </c>
      <c r="W121" s="2">
        <f t="shared" si="434"/>
        <v>3625868.2088641543</v>
      </c>
      <c r="X121" s="2">
        <f t="shared" si="434"/>
        <v>0</v>
      </c>
      <c r="Y121" s="2">
        <f t="shared" si="434"/>
        <v>0</v>
      </c>
      <c r="Z121" s="2">
        <f t="shared" si="434"/>
        <v>0</v>
      </c>
      <c r="AA121" s="2">
        <f t="shared" si="434"/>
        <v>0</v>
      </c>
      <c r="AB121" s="2">
        <f t="shared" si="434"/>
        <v>0</v>
      </c>
      <c r="AC121" s="2">
        <f t="shared" si="434"/>
        <v>0</v>
      </c>
      <c r="AD121" s="2">
        <f t="shared" si="434"/>
        <v>0</v>
      </c>
      <c r="AE121" s="2">
        <f t="shared" si="434"/>
        <v>0</v>
      </c>
      <c r="AF121" s="114">
        <v>20</v>
      </c>
      <c r="AG121" s="2">
        <f t="shared" ref="AG121:AP121" si="435">AG21+AG73</f>
        <v>0</v>
      </c>
      <c r="AH121" s="2">
        <f t="shared" si="435"/>
        <v>51885575.192097202</v>
      </c>
      <c r="AI121" s="2">
        <f t="shared" si="435"/>
        <v>72517364.177283078</v>
      </c>
      <c r="AJ121" s="2">
        <f t="shared" si="435"/>
        <v>0</v>
      </c>
      <c r="AK121" s="2">
        <f t="shared" si="435"/>
        <v>0</v>
      </c>
      <c r="AL121" s="2">
        <f t="shared" si="435"/>
        <v>0</v>
      </c>
      <c r="AM121" s="2">
        <f t="shared" si="435"/>
        <v>0</v>
      </c>
      <c r="AN121" s="2">
        <f t="shared" si="435"/>
        <v>0</v>
      </c>
      <c r="AO121" s="2">
        <f t="shared" si="435"/>
        <v>0</v>
      </c>
      <c r="AP121" s="2">
        <f t="shared" si="435"/>
        <v>0</v>
      </c>
      <c r="AQ121" s="74"/>
      <c r="AR121" s="1"/>
      <c r="AS121" s="1"/>
      <c r="AT121" s="1"/>
      <c r="AU121" s="1"/>
      <c r="AV121" s="1"/>
      <c r="AW121" s="1"/>
      <c r="BK121" s="114">
        <v>20</v>
      </c>
      <c r="BL121" s="2">
        <f t="shared" ref="BL121:BV121" si="436">BL21+BL73</f>
        <v>0</v>
      </c>
      <c r="BM121" s="2">
        <f t="shared" si="436"/>
        <v>0</v>
      </c>
      <c r="BN121" s="2">
        <f t="shared" si="436"/>
        <v>31959982.195533771</v>
      </c>
      <c r="BO121" s="2">
        <f t="shared" si="436"/>
        <v>0</v>
      </c>
      <c r="BP121" s="2">
        <f t="shared" si="436"/>
        <v>0</v>
      </c>
      <c r="BQ121" s="2">
        <f t="shared" si="436"/>
        <v>0</v>
      </c>
      <c r="BR121" s="2">
        <f t="shared" si="436"/>
        <v>0</v>
      </c>
      <c r="BS121" s="2">
        <f t="shared" si="436"/>
        <v>0</v>
      </c>
      <c r="BT121" s="2">
        <f t="shared" si="436"/>
        <v>0</v>
      </c>
      <c r="BU121" s="2">
        <f t="shared" si="436"/>
        <v>0</v>
      </c>
      <c r="BV121" s="2">
        <f t="shared" si="436"/>
        <v>0</v>
      </c>
      <c r="BW121" s="114">
        <v>20</v>
      </c>
      <c r="BX121" s="2">
        <f t="shared" ref="BX121:CG121" si="437">BX21+BX73</f>
        <v>0</v>
      </c>
      <c r="BY121" s="2">
        <f t="shared" si="437"/>
        <v>0</v>
      </c>
      <c r="BZ121" s="2">
        <f t="shared" si="437"/>
        <v>639199643.91067529</v>
      </c>
      <c r="CA121" s="2">
        <f t="shared" si="437"/>
        <v>0</v>
      </c>
      <c r="CB121" s="2">
        <f t="shared" si="437"/>
        <v>0</v>
      </c>
      <c r="CC121" s="2">
        <f t="shared" si="437"/>
        <v>0</v>
      </c>
      <c r="CD121" s="2">
        <f t="shared" si="437"/>
        <v>0</v>
      </c>
      <c r="CE121" s="2">
        <f t="shared" si="437"/>
        <v>0</v>
      </c>
      <c r="CF121" s="2">
        <f t="shared" si="437"/>
        <v>0</v>
      </c>
      <c r="CG121" s="2">
        <f t="shared" si="437"/>
        <v>0</v>
      </c>
      <c r="CH121" s="74"/>
      <c r="CM121" s="638"/>
      <c r="CN121" s="638"/>
      <c r="CO121" s="638"/>
      <c r="CP121" s="638"/>
      <c r="CQ121" s="638"/>
      <c r="CR121" s="638"/>
      <c r="CS121" s="638"/>
      <c r="CT121" s="638"/>
      <c r="CU121" s="638"/>
      <c r="CV121" s="638"/>
      <c r="CW121" s="638"/>
      <c r="CX121" s="638"/>
      <c r="CY121" s="638"/>
      <c r="CZ121" s="638"/>
      <c r="DA121" s="638"/>
      <c r="DB121" s="638"/>
      <c r="DC121" s="638"/>
      <c r="DD121" s="638"/>
      <c r="DE121" s="638"/>
      <c r="DF121" s="638"/>
      <c r="DG121" s="647">
        <v>18</v>
      </c>
      <c r="DH121" s="451" t="e">
        <f t="shared" ref="DH121:DR121" si="438">DH21+DH73</f>
        <v>#VALUE!</v>
      </c>
      <c r="DI121" s="451">
        <f t="shared" si="438"/>
        <v>0</v>
      </c>
      <c r="DJ121" s="451">
        <f t="shared" si="438"/>
        <v>0</v>
      </c>
      <c r="DK121" s="451">
        <f t="shared" si="438"/>
        <v>0</v>
      </c>
      <c r="DL121" s="451">
        <f t="shared" si="438"/>
        <v>0</v>
      </c>
      <c r="DM121" s="451">
        <f t="shared" si="438"/>
        <v>0</v>
      </c>
      <c r="DN121" s="451">
        <f t="shared" si="438"/>
        <v>0</v>
      </c>
      <c r="DO121" s="451">
        <f t="shared" si="438"/>
        <v>0</v>
      </c>
      <c r="DP121" s="451">
        <f t="shared" si="438"/>
        <v>0</v>
      </c>
      <c r="DQ121" s="451">
        <f t="shared" si="438"/>
        <v>0</v>
      </c>
      <c r="DR121" s="451">
        <f t="shared" si="438"/>
        <v>0</v>
      </c>
      <c r="DS121" s="123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</row>
    <row r="122" spans="20:134" ht="14.4" thickTop="1" thickBot="1">
      <c r="T122" s="114">
        <v>21</v>
      </c>
      <c r="U122" s="2">
        <f t="shared" ref="U122:AE122" si="439">U22+U74</f>
        <v>0</v>
      </c>
      <c r="V122" s="2">
        <f t="shared" si="439"/>
        <v>1322446.6351107105</v>
      </c>
      <c r="W122" s="2">
        <f t="shared" si="439"/>
        <v>12280938.303951327</v>
      </c>
      <c r="X122" s="2">
        <f t="shared" si="439"/>
        <v>1095521.699090203</v>
      </c>
      <c r="Y122" s="2">
        <f t="shared" si="439"/>
        <v>0</v>
      </c>
      <c r="Z122" s="2">
        <f t="shared" si="439"/>
        <v>0</v>
      </c>
      <c r="AA122" s="2">
        <f t="shared" si="439"/>
        <v>0</v>
      </c>
      <c r="AB122" s="2">
        <f t="shared" si="439"/>
        <v>0</v>
      </c>
      <c r="AC122" s="2">
        <f t="shared" si="439"/>
        <v>0</v>
      </c>
      <c r="AD122" s="2">
        <f t="shared" si="439"/>
        <v>0</v>
      </c>
      <c r="AE122" s="2">
        <f t="shared" si="439"/>
        <v>0</v>
      </c>
      <c r="AF122" s="114">
        <v>21</v>
      </c>
      <c r="AG122" s="2">
        <f t="shared" ref="AG122:AP122" si="440">AG22+AG74</f>
        <v>0</v>
      </c>
      <c r="AH122" s="2">
        <f t="shared" si="440"/>
        <v>27771379.337324921</v>
      </c>
      <c r="AI122" s="2">
        <f t="shared" si="440"/>
        <v>257899704.38297784</v>
      </c>
      <c r="AJ122" s="2">
        <f t="shared" si="440"/>
        <v>23005955.680894263</v>
      </c>
      <c r="AK122" s="2">
        <f t="shared" si="440"/>
        <v>0</v>
      </c>
      <c r="AL122" s="2">
        <f t="shared" si="440"/>
        <v>0</v>
      </c>
      <c r="AM122" s="2">
        <f t="shared" si="440"/>
        <v>0</v>
      </c>
      <c r="AN122" s="2">
        <f t="shared" si="440"/>
        <v>0</v>
      </c>
      <c r="AO122" s="2">
        <f t="shared" si="440"/>
        <v>0</v>
      </c>
      <c r="AP122" s="2">
        <f t="shared" si="440"/>
        <v>0</v>
      </c>
      <c r="AQ122" s="74"/>
      <c r="AR122" s="1"/>
      <c r="AS122" s="1"/>
      <c r="AT122" s="1"/>
      <c r="AU122" s="1"/>
      <c r="AV122" s="1"/>
      <c r="AW122" s="1"/>
      <c r="BK122" s="114">
        <v>21</v>
      </c>
      <c r="BL122" s="2">
        <f t="shared" ref="BL122:BV122" si="441">BL22+BL74</f>
        <v>0</v>
      </c>
      <c r="BM122" s="2">
        <f t="shared" si="441"/>
        <v>0</v>
      </c>
      <c r="BN122" s="2">
        <f t="shared" si="441"/>
        <v>20207087.825212419</v>
      </c>
      <c r="BO122" s="2">
        <f t="shared" si="441"/>
        <v>4697749.2261273116</v>
      </c>
      <c r="BP122" s="2">
        <f t="shared" si="441"/>
        <v>0</v>
      </c>
      <c r="BQ122" s="2">
        <f t="shared" si="441"/>
        <v>0</v>
      </c>
      <c r="BR122" s="2">
        <f t="shared" si="441"/>
        <v>0</v>
      </c>
      <c r="BS122" s="2">
        <f t="shared" si="441"/>
        <v>0</v>
      </c>
      <c r="BT122" s="2">
        <f t="shared" si="441"/>
        <v>0</v>
      </c>
      <c r="BU122" s="2">
        <f t="shared" si="441"/>
        <v>0</v>
      </c>
      <c r="BV122" s="2">
        <f t="shared" si="441"/>
        <v>0</v>
      </c>
      <c r="BW122" s="114">
        <v>21</v>
      </c>
      <c r="BX122" s="2">
        <f t="shared" ref="BX122:CG122" si="442">BX22+BX74</f>
        <v>0</v>
      </c>
      <c r="BY122" s="2">
        <f t="shared" si="442"/>
        <v>0</v>
      </c>
      <c r="BZ122" s="2">
        <f t="shared" si="442"/>
        <v>424348844.3294608</v>
      </c>
      <c r="CA122" s="2">
        <f t="shared" si="442"/>
        <v>98652733.748673543</v>
      </c>
      <c r="CB122" s="2">
        <f t="shared" si="442"/>
        <v>0</v>
      </c>
      <c r="CC122" s="2">
        <f t="shared" si="442"/>
        <v>0</v>
      </c>
      <c r="CD122" s="2">
        <f t="shared" si="442"/>
        <v>0</v>
      </c>
      <c r="CE122" s="2">
        <f t="shared" si="442"/>
        <v>0</v>
      </c>
      <c r="CF122" s="2">
        <f t="shared" si="442"/>
        <v>0</v>
      </c>
      <c r="CG122" s="2">
        <f t="shared" si="442"/>
        <v>0</v>
      </c>
      <c r="CH122" s="74"/>
      <c r="CM122" s="638"/>
      <c r="CN122" s="638"/>
      <c r="CO122" s="638"/>
      <c r="CP122" s="638"/>
      <c r="CQ122" s="638"/>
      <c r="CR122" s="638"/>
      <c r="CS122" s="638"/>
      <c r="CT122" s="638"/>
      <c r="CU122" s="638"/>
      <c r="CV122" s="638"/>
      <c r="CW122" s="638"/>
      <c r="CX122" s="638"/>
      <c r="CY122" s="638"/>
      <c r="CZ122" s="638"/>
      <c r="DA122" s="638"/>
      <c r="DB122" s="638"/>
      <c r="DC122" s="638"/>
      <c r="DD122" s="638"/>
      <c r="DE122" s="638"/>
      <c r="DF122" s="638"/>
      <c r="DG122" s="647">
        <v>19</v>
      </c>
      <c r="DH122" s="451">
        <f t="shared" ref="DH122:DR122" si="443">DH22+DH74</f>
        <v>100</v>
      </c>
      <c r="DI122" s="451">
        <f t="shared" si="443"/>
        <v>0</v>
      </c>
      <c r="DJ122" s="451">
        <f t="shared" si="443"/>
        <v>0</v>
      </c>
      <c r="DK122" s="451">
        <f t="shared" si="443"/>
        <v>0</v>
      </c>
      <c r="DL122" s="451">
        <f t="shared" si="443"/>
        <v>0</v>
      </c>
      <c r="DM122" s="451">
        <f t="shared" si="443"/>
        <v>0</v>
      </c>
      <c r="DN122" s="451">
        <f t="shared" si="443"/>
        <v>0</v>
      </c>
      <c r="DO122" s="451">
        <f t="shared" si="443"/>
        <v>0</v>
      </c>
      <c r="DP122" s="451">
        <f t="shared" si="443"/>
        <v>0</v>
      </c>
      <c r="DQ122" s="451">
        <f t="shared" si="443"/>
        <v>0</v>
      </c>
      <c r="DR122" s="451">
        <f t="shared" si="443"/>
        <v>0</v>
      </c>
      <c r="DS122" s="123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</row>
    <row r="123" spans="20:134" ht="14.4" thickTop="1" thickBot="1">
      <c r="T123" s="114">
        <v>22</v>
      </c>
      <c r="U123" s="2">
        <f t="shared" ref="U123:AE123" si="444">U23+U75</f>
        <v>0</v>
      </c>
      <c r="V123" s="2">
        <f t="shared" si="444"/>
        <v>850891.40066556272</v>
      </c>
      <c r="W123" s="2">
        <f t="shared" si="444"/>
        <v>32027941.027663082</v>
      </c>
      <c r="X123" s="2">
        <f t="shared" si="444"/>
        <v>14946677.360274604</v>
      </c>
      <c r="Y123" s="2">
        <f t="shared" si="444"/>
        <v>0</v>
      </c>
      <c r="Z123" s="2">
        <f t="shared" si="444"/>
        <v>0</v>
      </c>
      <c r="AA123" s="2">
        <f t="shared" si="444"/>
        <v>0</v>
      </c>
      <c r="AB123" s="2">
        <f t="shared" si="444"/>
        <v>0</v>
      </c>
      <c r="AC123" s="2">
        <f t="shared" si="444"/>
        <v>0</v>
      </c>
      <c r="AD123" s="2">
        <f t="shared" si="444"/>
        <v>0</v>
      </c>
      <c r="AE123" s="2">
        <f t="shared" si="444"/>
        <v>0</v>
      </c>
      <c r="AF123" s="114">
        <v>22</v>
      </c>
      <c r="AG123" s="2">
        <f t="shared" ref="AG123:AP123" si="445">AG23+AG75</f>
        <v>0</v>
      </c>
      <c r="AH123" s="2">
        <f t="shared" si="445"/>
        <v>18719610.814642381</v>
      </c>
      <c r="AI123" s="2">
        <f t="shared" si="445"/>
        <v>704614702.60858786</v>
      </c>
      <c r="AJ123" s="2">
        <f t="shared" si="445"/>
        <v>328826901.92604125</v>
      </c>
      <c r="AK123" s="2">
        <f t="shared" si="445"/>
        <v>0</v>
      </c>
      <c r="AL123" s="2">
        <f t="shared" si="445"/>
        <v>0</v>
      </c>
      <c r="AM123" s="2">
        <f t="shared" si="445"/>
        <v>0</v>
      </c>
      <c r="AN123" s="2">
        <f t="shared" si="445"/>
        <v>0</v>
      </c>
      <c r="AO123" s="2">
        <f t="shared" si="445"/>
        <v>0</v>
      </c>
      <c r="AP123" s="2">
        <f t="shared" si="445"/>
        <v>0</v>
      </c>
      <c r="AQ123" s="74"/>
      <c r="AR123" s="1"/>
      <c r="AS123" s="1"/>
      <c r="AT123" s="1"/>
      <c r="AU123" s="1"/>
      <c r="AV123" s="1"/>
      <c r="AW123" s="1"/>
      <c r="BK123" s="114">
        <v>22</v>
      </c>
      <c r="BL123" s="2">
        <f t="shared" ref="BL123:BV123" si="446">BL23+BL75</f>
        <v>0</v>
      </c>
      <c r="BM123" s="2">
        <f t="shared" si="446"/>
        <v>0</v>
      </c>
      <c r="BN123" s="2">
        <f t="shared" si="446"/>
        <v>30385489.810643613</v>
      </c>
      <c r="BO123" s="2">
        <f t="shared" si="446"/>
        <v>15351348.797316648</v>
      </c>
      <c r="BP123" s="2">
        <f t="shared" si="446"/>
        <v>0</v>
      </c>
      <c r="BQ123" s="2">
        <f t="shared" si="446"/>
        <v>0</v>
      </c>
      <c r="BR123" s="2">
        <f t="shared" si="446"/>
        <v>0</v>
      </c>
      <c r="BS123" s="2">
        <f t="shared" si="446"/>
        <v>0</v>
      </c>
      <c r="BT123" s="2">
        <f t="shared" si="446"/>
        <v>0</v>
      </c>
      <c r="BU123" s="2">
        <f t="shared" si="446"/>
        <v>0</v>
      </c>
      <c r="BV123" s="2">
        <f t="shared" si="446"/>
        <v>0</v>
      </c>
      <c r="BW123" s="114">
        <v>22</v>
      </c>
      <c r="BX123" s="2">
        <f t="shared" ref="BX123:CG123" si="447">BX23+BX75</f>
        <v>0</v>
      </c>
      <c r="BY123" s="2">
        <f t="shared" si="447"/>
        <v>0</v>
      </c>
      <c r="BZ123" s="2">
        <f t="shared" si="447"/>
        <v>668480775.83415949</v>
      </c>
      <c r="CA123" s="2">
        <f t="shared" si="447"/>
        <v>337729673.54096627</v>
      </c>
      <c r="CB123" s="2">
        <f t="shared" si="447"/>
        <v>0</v>
      </c>
      <c r="CC123" s="2">
        <f t="shared" si="447"/>
        <v>0</v>
      </c>
      <c r="CD123" s="2">
        <f t="shared" si="447"/>
        <v>0</v>
      </c>
      <c r="CE123" s="2">
        <f t="shared" si="447"/>
        <v>0</v>
      </c>
      <c r="CF123" s="2">
        <f t="shared" si="447"/>
        <v>0</v>
      </c>
      <c r="CG123" s="2">
        <f t="shared" si="447"/>
        <v>0</v>
      </c>
      <c r="CH123" s="74"/>
      <c r="CM123" s="638"/>
      <c r="CN123" s="638"/>
      <c r="CO123" s="638"/>
      <c r="CP123" s="638"/>
      <c r="CQ123" s="638"/>
      <c r="CR123" s="638"/>
      <c r="CS123" s="638"/>
      <c r="CT123" s="638"/>
      <c r="CU123" s="638"/>
      <c r="CV123" s="638"/>
      <c r="CW123" s="638"/>
      <c r="CX123" s="638"/>
      <c r="CY123" s="638"/>
      <c r="CZ123" s="638"/>
      <c r="DA123" s="638"/>
      <c r="DB123" s="638"/>
      <c r="DC123" s="638"/>
      <c r="DD123" s="638"/>
      <c r="DE123" s="638"/>
      <c r="DF123" s="638"/>
      <c r="DG123" s="647">
        <v>20</v>
      </c>
      <c r="DH123" s="451">
        <f t="shared" ref="DH123:DR123" si="448">DH23+DH75</f>
        <v>0</v>
      </c>
      <c r="DI123" s="451">
        <f t="shared" si="448"/>
        <v>23057.756182920166</v>
      </c>
      <c r="DJ123" s="451">
        <f t="shared" si="448"/>
        <v>34436.634274380245</v>
      </c>
      <c r="DK123" s="451">
        <f t="shared" si="448"/>
        <v>0</v>
      </c>
      <c r="DL123" s="451">
        <f t="shared" si="448"/>
        <v>0</v>
      </c>
      <c r="DM123" s="451">
        <f t="shared" si="448"/>
        <v>0</v>
      </c>
      <c r="DN123" s="451">
        <f t="shared" si="448"/>
        <v>0</v>
      </c>
      <c r="DO123" s="451">
        <f t="shared" si="448"/>
        <v>0</v>
      </c>
      <c r="DP123" s="451">
        <f t="shared" si="448"/>
        <v>0</v>
      </c>
      <c r="DQ123" s="451">
        <f t="shared" si="448"/>
        <v>0</v>
      </c>
      <c r="DR123" s="451">
        <f t="shared" si="448"/>
        <v>0</v>
      </c>
      <c r="DS123" s="123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</row>
    <row r="124" spans="20:134" ht="14.4" thickTop="1" thickBot="1">
      <c r="T124" s="114">
        <v>23</v>
      </c>
      <c r="U124" s="2">
        <f t="shared" ref="U124:AE124" si="449">U24+U76</f>
        <v>0</v>
      </c>
      <c r="V124" s="2">
        <f t="shared" si="449"/>
        <v>0</v>
      </c>
      <c r="W124" s="2">
        <f t="shared" si="449"/>
        <v>12907868.611991227</v>
      </c>
      <c r="X124" s="2">
        <f t="shared" si="449"/>
        <v>61765609.251189396</v>
      </c>
      <c r="Y124" s="2">
        <f t="shared" si="449"/>
        <v>16781.457951852222</v>
      </c>
      <c r="Z124" s="2">
        <f t="shared" si="449"/>
        <v>0</v>
      </c>
      <c r="AA124" s="2">
        <f t="shared" si="449"/>
        <v>0</v>
      </c>
      <c r="AB124" s="2">
        <f t="shared" si="449"/>
        <v>0</v>
      </c>
      <c r="AC124" s="2">
        <f t="shared" si="449"/>
        <v>0</v>
      </c>
      <c r="AD124" s="2">
        <f t="shared" si="449"/>
        <v>0</v>
      </c>
      <c r="AE124" s="2">
        <f t="shared" si="449"/>
        <v>0</v>
      </c>
      <c r="AF124" s="114">
        <v>23</v>
      </c>
      <c r="AG124" s="2">
        <f t="shared" ref="AG124:AP124" si="450">AG24+AG76</f>
        <v>0</v>
      </c>
      <c r="AH124" s="2">
        <f t="shared" si="450"/>
        <v>0</v>
      </c>
      <c r="AI124" s="2">
        <f t="shared" si="450"/>
        <v>296880978.07579827</v>
      </c>
      <c r="AJ124" s="2">
        <f t="shared" si="450"/>
        <v>1420609012.7773561</v>
      </c>
      <c r="AK124" s="2">
        <f t="shared" si="450"/>
        <v>385973.5328926011</v>
      </c>
      <c r="AL124" s="2">
        <f t="shared" si="450"/>
        <v>0</v>
      </c>
      <c r="AM124" s="2">
        <f t="shared" si="450"/>
        <v>0</v>
      </c>
      <c r="AN124" s="2">
        <f t="shared" si="450"/>
        <v>0</v>
      </c>
      <c r="AO124" s="2">
        <f t="shared" si="450"/>
        <v>0</v>
      </c>
      <c r="AP124" s="2">
        <f t="shared" si="450"/>
        <v>0</v>
      </c>
      <c r="AQ124" s="74"/>
      <c r="AR124" s="1"/>
      <c r="AS124" s="1"/>
      <c r="AT124" s="1"/>
      <c r="AU124" s="1"/>
      <c r="AV124" s="1"/>
      <c r="AW124" s="1"/>
      <c r="BK124" s="114">
        <v>23</v>
      </c>
      <c r="BL124" s="2">
        <f t="shared" ref="BL124:BV124" si="451">BL24+BL76</f>
        <v>0</v>
      </c>
      <c r="BM124" s="2">
        <f t="shared" si="451"/>
        <v>0</v>
      </c>
      <c r="BN124" s="2">
        <f t="shared" si="451"/>
        <v>25898010.888113789</v>
      </c>
      <c r="BO124" s="2">
        <f t="shared" si="451"/>
        <v>26493865.075674519</v>
      </c>
      <c r="BP124" s="2">
        <f t="shared" si="451"/>
        <v>0</v>
      </c>
      <c r="BQ124" s="2">
        <f t="shared" si="451"/>
        <v>0</v>
      </c>
      <c r="BR124" s="2">
        <f t="shared" si="451"/>
        <v>0</v>
      </c>
      <c r="BS124" s="2">
        <f t="shared" si="451"/>
        <v>0</v>
      </c>
      <c r="BT124" s="2">
        <f t="shared" si="451"/>
        <v>0</v>
      </c>
      <c r="BU124" s="2">
        <f t="shared" si="451"/>
        <v>0</v>
      </c>
      <c r="BV124" s="2">
        <f t="shared" si="451"/>
        <v>0</v>
      </c>
      <c r="BW124" s="114">
        <v>23</v>
      </c>
      <c r="BX124" s="2">
        <f t="shared" ref="BX124:CG124" si="452">BX24+BX76</f>
        <v>0</v>
      </c>
      <c r="BY124" s="2">
        <f t="shared" si="452"/>
        <v>0</v>
      </c>
      <c r="BZ124" s="2">
        <f t="shared" si="452"/>
        <v>595654250.42661715</v>
      </c>
      <c r="CA124" s="2">
        <f t="shared" si="452"/>
        <v>609358896.7405138</v>
      </c>
      <c r="CB124" s="2">
        <f t="shared" si="452"/>
        <v>0</v>
      </c>
      <c r="CC124" s="2">
        <f t="shared" si="452"/>
        <v>0</v>
      </c>
      <c r="CD124" s="2">
        <f t="shared" si="452"/>
        <v>0</v>
      </c>
      <c r="CE124" s="2">
        <f t="shared" si="452"/>
        <v>0</v>
      </c>
      <c r="CF124" s="2">
        <f t="shared" si="452"/>
        <v>0</v>
      </c>
      <c r="CG124" s="2">
        <f t="shared" si="452"/>
        <v>0</v>
      </c>
      <c r="CH124" s="74"/>
      <c r="CM124" s="638"/>
      <c r="CN124" s="638"/>
      <c r="CO124" s="638"/>
      <c r="CP124" s="638"/>
      <c r="CQ124" s="638"/>
      <c r="CR124" s="638"/>
      <c r="CS124" s="638"/>
      <c r="CT124" s="638"/>
      <c r="CU124" s="638"/>
      <c r="CV124" s="638"/>
      <c r="CW124" s="638"/>
      <c r="CX124" s="638"/>
      <c r="CY124" s="638"/>
      <c r="CZ124" s="638"/>
      <c r="DA124" s="638"/>
      <c r="DB124" s="638"/>
      <c r="DC124" s="638"/>
      <c r="DD124" s="638"/>
      <c r="DE124" s="638"/>
      <c r="DF124" s="638"/>
      <c r="DG124" s="647">
        <v>21</v>
      </c>
      <c r="DH124" s="451">
        <f t="shared" ref="DH124:DR124" si="453">DH24+DH76</f>
        <v>0</v>
      </c>
      <c r="DI124" s="451">
        <f t="shared" si="453"/>
        <v>135386.95326984837</v>
      </c>
      <c r="DJ124" s="451">
        <f t="shared" si="453"/>
        <v>1218482.5794286353</v>
      </c>
      <c r="DK124" s="451">
        <f t="shared" si="453"/>
        <v>0</v>
      </c>
      <c r="DL124" s="451">
        <f t="shared" si="453"/>
        <v>0</v>
      </c>
      <c r="DM124" s="451">
        <f t="shared" si="453"/>
        <v>0</v>
      </c>
      <c r="DN124" s="451">
        <f t="shared" si="453"/>
        <v>0</v>
      </c>
      <c r="DO124" s="451">
        <f t="shared" si="453"/>
        <v>0</v>
      </c>
      <c r="DP124" s="451">
        <f t="shared" si="453"/>
        <v>0</v>
      </c>
      <c r="DQ124" s="451">
        <f t="shared" si="453"/>
        <v>0</v>
      </c>
      <c r="DR124" s="451">
        <f t="shared" si="453"/>
        <v>0</v>
      </c>
      <c r="DS124" s="123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</row>
    <row r="125" spans="20:134" ht="14.4" thickTop="1" thickBot="1">
      <c r="T125" s="114">
        <v>24</v>
      </c>
      <c r="U125" s="2">
        <f t="shared" ref="U125:AE125" si="454">U25+U77</f>
        <v>0</v>
      </c>
      <c r="V125" s="2">
        <f t="shared" si="454"/>
        <v>0</v>
      </c>
      <c r="W125" s="2">
        <f t="shared" si="454"/>
        <v>1631488.6346776199</v>
      </c>
      <c r="X125" s="2">
        <f t="shared" si="454"/>
        <v>52816022.306029625</v>
      </c>
      <c r="Y125" s="2">
        <f t="shared" si="454"/>
        <v>7479982.8429238964</v>
      </c>
      <c r="Z125" s="2">
        <f t="shared" si="454"/>
        <v>0</v>
      </c>
      <c r="AA125" s="2">
        <f t="shared" si="454"/>
        <v>0</v>
      </c>
      <c r="AB125" s="2">
        <f t="shared" si="454"/>
        <v>0</v>
      </c>
      <c r="AC125" s="2">
        <f t="shared" si="454"/>
        <v>0</v>
      </c>
      <c r="AD125" s="2">
        <f t="shared" si="454"/>
        <v>0</v>
      </c>
      <c r="AE125" s="2">
        <f t="shared" si="454"/>
        <v>0</v>
      </c>
      <c r="AF125" s="114">
        <v>24</v>
      </c>
      <c r="AG125" s="2">
        <f t="shared" ref="AG125:AP125" si="455">AG25+AG77</f>
        <v>0</v>
      </c>
      <c r="AH125" s="2">
        <f t="shared" si="455"/>
        <v>0</v>
      </c>
      <c r="AI125" s="2">
        <f t="shared" si="455"/>
        <v>39155727.23226288</v>
      </c>
      <c r="AJ125" s="2">
        <f t="shared" si="455"/>
        <v>1267584535.3447111</v>
      </c>
      <c r="AK125" s="2">
        <f t="shared" si="455"/>
        <v>179519588.23017353</v>
      </c>
      <c r="AL125" s="2">
        <f t="shared" si="455"/>
        <v>0</v>
      </c>
      <c r="AM125" s="2">
        <f t="shared" si="455"/>
        <v>0</v>
      </c>
      <c r="AN125" s="2">
        <f t="shared" si="455"/>
        <v>0</v>
      </c>
      <c r="AO125" s="2">
        <f t="shared" si="455"/>
        <v>0</v>
      </c>
      <c r="AP125" s="2">
        <f t="shared" si="455"/>
        <v>0</v>
      </c>
      <c r="AQ125" s="74"/>
      <c r="AR125" s="1"/>
      <c r="AS125" s="1"/>
      <c r="AT125" s="1"/>
      <c r="AU125" s="1"/>
      <c r="AV125" s="1"/>
      <c r="AW125" s="1"/>
      <c r="BK125" s="114">
        <v>24</v>
      </c>
      <c r="BL125" s="2">
        <f t="shared" ref="BL125:BV125" si="456">BL25+BL77</f>
        <v>0</v>
      </c>
      <c r="BM125" s="2">
        <f t="shared" si="456"/>
        <v>0</v>
      </c>
      <c r="BN125" s="2">
        <f t="shared" si="456"/>
        <v>2809634.0342250848</v>
      </c>
      <c r="BO125" s="2">
        <f t="shared" si="456"/>
        <v>44444613.663628802</v>
      </c>
      <c r="BP125" s="2">
        <f t="shared" si="456"/>
        <v>3384659.8217882188</v>
      </c>
      <c r="BQ125" s="2">
        <f t="shared" si="456"/>
        <v>0</v>
      </c>
      <c r="BR125" s="2">
        <f t="shared" si="456"/>
        <v>0</v>
      </c>
      <c r="BS125" s="2">
        <f t="shared" si="456"/>
        <v>0</v>
      </c>
      <c r="BT125" s="2">
        <f t="shared" si="456"/>
        <v>0</v>
      </c>
      <c r="BU125" s="2">
        <f t="shared" si="456"/>
        <v>0</v>
      </c>
      <c r="BV125" s="2">
        <f t="shared" si="456"/>
        <v>0</v>
      </c>
      <c r="BW125" s="114">
        <v>24</v>
      </c>
      <c r="BX125" s="2">
        <f t="shared" ref="BX125:CG125" si="457">BX25+BX77</f>
        <v>0</v>
      </c>
      <c r="BY125" s="2">
        <f t="shared" si="457"/>
        <v>0</v>
      </c>
      <c r="BZ125" s="2">
        <f t="shared" si="457"/>
        <v>67431216.821402043</v>
      </c>
      <c r="CA125" s="2">
        <f t="shared" si="457"/>
        <v>1066670727.9270914</v>
      </c>
      <c r="CB125" s="2">
        <f t="shared" si="457"/>
        <v>81231835.722917259</v>
      </c>
      <c r="CC125" s="2">
        <f t="shared" si="457"/>
        <v>0</v>
      </c>
      <c r="CD125" s="2">
        <f t="shared" si="457"/>
        <v>0</v>
      </c>
      <c r="CE125" s="2">
        <f t="shared" si="457"/>
        <v>0</v>
      </c>
      <c r="CF125" s="2">
        <f t="shared" si="457"/>
        <v>0</v>
      </c>
      <c r="CG125" s="2">
        <f t="shared" si="457"/>
        <v>0</v>
      </c>
      <c r="CH125" s="74"/>
      <c r="CM125" s="638"/>
      <c r="CN125" s="638"/>
      <c r="CO125" s="638"/>
      <c r="CP125" s="638"/>
      <c r="CQ125" s="638"/>
      <c r="CR125" s="638"/>
      <c r="CS125" s="638"/>
      <c r="CT125" s="638"/>
      <c r="CU125" s="638"/>
      <c r="CV125" s="638"/>
      <c r="CW125" s="638"/>
      <c r="CX125" s="638"/>
      <c r="CY125" s="638"/>
      <c r="CZ125" s="638"/>
      <c r="DA125" s="638"/>
      <c r="DB125" s="638"/>
      <c r="DC125" s="638"/>
      <c r="DD125" s="638"/>
      <c r="DE125" s="638"/>
      <c r="DF125" s="638"/>
      <c r="DG125" s="647">
        <v>22</v>
      </c>
      <c r="DH125" s="451">
        <f t="shared" ref="DH125:DR125" si="458">DH25+DH77</f>
        <v>0</v>
      </c>
      <c r="DI125" s="451">
        <f t="shared" si="458"/>
        <v>0</v>
      </c>
      <c r="DJ125" s="451">
        <f t="shared" si="458"/>
        <v>3554240.857439877</v>
      </c>
      <c r="DK125" s="451">
        <f t="shared" si="458"/>
        <v>710849.98966979363</v>
      </c>
      <c r="DL125" s="451">
        <f t="shared" si="458"/>
        <v>0</v>
      </c>
      <c r="DM125" s="451">
        <f t="shared" si="458"/>
        <v>0</v>
      </c>
      <c r="DN125" s="451">
        <f t="shared" si="458"/>
        <v>0</v>
      </c>
      <c r="DO125" s="451">
        <f t="shared" si="458"/>
        <v>0</v>
      </c>
      <c r="DP125" s="451">
        <f t="shared" si="458"/>
        <v>0</v>
      </c>
      <c r="DQ125" s="451">
        <f t="shared" si="458"/>
        <v>0</v>
      </c>
      <c r="DR125" s="451">
        <f t="shared" si="458"/>
        <v>0</v>
      </c>
      <c r="DS125" s="123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</row>
    <row r="126" spans="20:134" ht="14.4" thickTop="1" thickBot="1">
      <c r="T126" s="114">
        <v>25</v>
      </c>
      <c r="U126" s="2">
        <f t="shared" ref="U126:AE126" si="459">U26+U78</f>
        <v>0</v>
      </c>
      <c r="V126" s="2">
        <f t="shared" si="459"/>
        <v>0</v>
      </c>
      <c r="W126" s="2">
        <f t="shared" si="459"/>
        <v>352613.96447913977</v>
      </c>
      <c r="X126" s="2">
        <f t="shared" si="459"/>
        <v>35413686.856280178</v>
      </c>
      <c r="Y126" s="2">
        <f t="shared" si="459"/>
        <v>23833831.292918481</v>
      </c>
      <c r="Z126" s="2">
        <f t="shared" si="459"/>
        <v>0</v>
      </c>
      <c r="AA126" s="2">
        <f t="shared" si="459"/>
        <v>0</v>
      </c>
      <c r="AB126" s="2">
        <f t="shared" si="459"/>
        <v>0</v>
      </c>
      <c r="AC126" s="2">
        <f t="shared" si="459"/>
        <v>0</v>
      </c>
      <c r="AD126" s="2">
        <f t="shared" si="459"/>
        <v>0</v>
      </c>
      <c r="AE126" s="2">
        <f t="shared" si="459"/>
        <v>0</v>
      </c>
      <c r="AF126" s="114">
        <v>25</v>
      </c>
      <c r="AG126" s="2">
        <f t="shared" ref="AG126:AP126" si="460">AG26+AG78</f>
        <v>0</v>
      </c>
      <c r="AH126" s="2">
        <f t="shared" si="460"/>
        <v>0</v>
      </c>
      <c r="AI126" s="2">
        <f t="shared" si="460"/>
        <v>8815349.1119784936</v>
      </c>
      <c r="AJ126" s="2">
        <f t="shared" si="460"/>
        <v>885342171.40700436</v>
      </c>
      <c r="AK126" s="2">
        <f t="shared" si="460"/>
        <v>595845782.32296205</v>
      </c>
      <c r="AL126" s="2">
        <f t="shared" si="460"/>
        <v>0</v>
      </c>
      <c r="AM126" s="2">
        <f t="shared" si="460"/>
        <v>0</v>
      </c>
      <c r="AN126" s="2">
        <f t="shared" si="460"/>
        <v>0</v>
      </c>
      <c r="AO126" s="2">
        <f t="shared" si="460"/>
        <v>0</v>
      </c>
      <c r="AP126" s="2">
        <f t="shared" si="460"/>
        <v>0</v>
      </c>
      <c r="AQ126" s="74"/>
      <c r="AR126" s="1"/>
      <c r="AS126" s="1"/>
      <c r="AT126" s="1"/>
      <c r="AU126" s="1"/>
      <c r="AV126" s="1"/>
      <c r="AW126" s="1"/>
      <c r="BK126" s="114">
        <v>25</v>
      </c>
      <c r="BL126" s="2">
        <f t="shared" ref="BL126:BV126" si="461">BL26+BL78</f>
        <v>0</v>
      </c>
      <c r="BM126" s="2">
        <f t="shared" si="461"/>
        <v>0</v>
      </c>
      <c r="BN126" s="2">
        <f t="shared" si="461"/>
        <v>0</v>
      </c>
      <c r="BO126" s="2">
        <f t="shared" si="461"/>
        <v>26096947.48648617</v>
      </c>
      <c r="BP126" s="2">
        <f t="shared" si="461"/>
        <v>12550222.144323684</v>
      </c>
      <c r="BQ126" s="2">
        <f t="shared" si="461"/>
        <v>0</v>
      </c>
      <c r="BR126" s="2">
        <f t="shared" si="461"/>
        <v>0</v>
      </c>
      <c r="BS126" s="2">
        <f t="shared" si="461"/>
        <v>0</v>
      </c>
      <c r="BT126" s="2">
        <f t="shared" si="461"/>
        <v>0</v>
      </c>
      <c r="BU126" s="2">
        <f t="shared" si="461"/>
        <v>0</v>
      </c>
      <c r="BV126" s="2">
        <f t="shared" si="461"/>
        <v>0</v>
      </c>
      <c r="BW126" s="114">
        <v>25</v>
      </c>
      <c r="BX126" s="2">
        <f t="shared" ref="BX126:CG126" si="462">BX26+BX78</f>
        <v>0</v>
      </c>
      <c r="BY126" s="2">
        <f t="shared" si="462"/>
        <v>0</v>
      </c>
      <c r="BZ126" s="2">
        <f t="shared" si="462"/>
        <v>0</v>
      </c>
      <c r="CA126" s="2">
        <f t="shared" si="462"/>
        <v>652423687.1621542</v>
      </c>
      <c r="CB126" s="2">
        <f t="shared" si="462"/>
        <v>313755553.60809207</v>
      </c>
      <c r="CC126" s="2">
        <f t="shared" si="462"/>
        <v>0</v>
      </c>
      <c r="CD126" s="2">
        <f t="shared" si="462"/>
        <v>0</v>
      </c>
      <c r="CE126" s="2">
        <f t="shared" si="462"/>
        <v>0</v>
      </c>
      <c r="CF126" s="2">
        <f t="shared" si="462"/>
        <v>0</v>
      </c>
      <c r="CG126" s="2">
        <f t="shared" si="462"/>
        <v>0</v>
      </c>
      <c r="CH126" s="74"/>
      <c r="CM126" s="638"/>
      <c r="CN126" s="638"/>
      <c r="CO126" s="638"/>
      <c r="CP126" s="638"/>
      <c r="CQ126" s="638"/>
      <c r="CR126" s="638"/>
      <c r="CS126" s="638"/>
      <c r="CT126" s="638"/>
      <c r="CU126" s="638"/>
      <c r="CV126" s="638"/>
      <c r="CW126" s="638"/>
      <c r="CX126" s="638"/>
      <c r="CY126" s="638"/>
      <c r="CZ126" s="638"/>
      <c r="DA126" s="638"/>
      <c r="DB126" s="638"/>
      <c r="DC126" s="638"/>
      <c r="DD126" s="638"/>
      <c r="DE126" s="638"/>
      <c r="DF126" s="638"/>
      <c r="DG126" s="647">
        <v>23</v>
      </c>
      <c r="DH126" s="451">
        <f t="shared" ref="DH126:DR126" si="463">DH26+DH78</f>
        <v>0</v>
      </c>
      <c r="DI126" s="451">
        <f t="shared" si="463"/>
        <v>0</v>
      </c>
      <c r="DJ126" s="451">
        <f t="shared" si="463"/>
        <v>2142076.4252767507</v>
      </c>
      <c r="DK126" s="451">
        <f t="shared" si="463"/>
        <v>2142068.7329690587</v>
      </c>
      <c r="DL126" s="451">
        <f t="shared" si="463"/>
        <v>0</v>
      </c>
      <c r="DM126" s="451">
        <f t="shared" si="463"/>
        <v>0</v>
      </c>
      <c r="DN126" s="451">
        <f t="shared" si="463"/>
        <v>0</v>
      </c>
      <c r="DO126" s="451">
        <f t="shared" si="463"/>
        <v>0</v>
      </c>
      <c r="DP126" s="451">
        <f t="shared" si="463"/>
        <v>0</v>
      </c>
      <c r="DQ126" s="451">
        <f t="shared" si="463"/>
        <v>0</v>
      </c>
      <c r="DR126" s="451">
        <f t="shared" si="463"/>
        <v>0</v>
      </c>
      <c r="DS126" s="123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</row>
    <row r="127" spans="20:134" ht="14.4" thickTop="1" thickBot="1">
      <c r="T127" s="114">
        <v>26</v>
      </c>
      <c r="U127" s="2">
        <f t="shared" ref="U127:AE127" si="464">U27+U79</f>
        <v>0</v>
      </c>
      <c r="V127" s="2">
        <f t="shared" si="464"/>
        <v>0</v>
      </c>
      <c r="W127" s="2">
        <f t="shared" si="464"/>
        <v>88008.443617726414</v>
      </c>
      <c r="X127" s="2">
        <f t="shared" si="464"/>
        <v>19897294.827502515</v>
      </c>
      <c r="Y127" s="2">
        <f t="shared" si="464"/>
        <v>35129993.742804036</v>
      </c>
      <c r="Z127" s="2">
        <f t="shared" si="464"/>
        <v>2656327.2163573601</v>
      </c>
      <c r="AA127" s="2">
        <f t="shared" si="464"/>
        <v>0</v>
      </c>
      <c r="AB127" s="2">
        <f t="shared" si="464"/>
        <v>0</v>
      </c>
      <c r="AC127" s="2">
        <f t="shared" si="464"/>
        <v>0</v>
      </c>
      <c r="AD127" s="2">
        <f t="shared" si="464"/>
        <v>0</v>
      </c>
      <c r="AE127" s="2">
        <f t="shared" si="464"/>
        <v>0</v>
      </c>
      <c r="AF127" s="114">
        <v>26</v>
      </c>
      <c r="AG127" s="2">
        <f t="shared" ref="AG127:AP127" si="465">AG27+AG79</f>
        <v>0</v>
      </c>
      <c r="AH127" s="2">
        <f t="shared" si="465"/>
        <v>0</v>
      </c>
      <c r="AI127" s="2">
        <f t="shared" si="465"/>
        <v>2288219.5340608866</v>
      </c>
      <c r="AJ127" s="2">
        <f t="shared" si="465"/>
        <v>517329665.51506537</v>
      </c>
      <c r="AK127" s="2">
        <f t="shared" si="465"/>
        <v>913379837.31290495</v>
      </c>
      <c r="AL127" s="2">
        <f t="shared" si="465"/>
        <v>69064507.625291362</v>
      </c>
      <c r="AM127" s="2">
        <f t="shared" si="465"/>
        <v>0</v>
      </c>
      <c r="AN127" s="2">
        <f t="shared" si="465"/>
        <v>0</v>
      </c>
      <c r="AO127" s="2">
        <f t="shared" si="465"/>
        <v>0</v>
      </c>
      <c r="AP127" s="2">
        <f t="shared" si="465"/>
        <v>0</v>
      </c>
      <c r="AQ127" s="74"/>
      <c r="AR127" s="1"/>
      <c r="AS127" s="1"/>
      <c r="AT127" s="1"/>
      <c r="AU127" s="1"/>
      <c r="AV127" s="1"/>
      <c r="AW127" s="1"/>
      <c r="BK127" s="114">
        <v>26</v>
      </c>
      <c r="BL127" s="2">
        <f t="shared" ref="BL127:BV127" si="466">BL27+BL79</f>
        <v>0</v>
      </c>
      <c r="BM127" s="2">
        <f t="shared" si="466"/>
        <v>0</v>
      </c>
      <c r="BN127" s="2">
        <f t="shared" si="466"/>
        <v>0</v>
      </c>
      <c r="BO127" s="2">
        <f t="shared" si="466"/>
        <v>16086130.297743194</v>
      </c>
      <c r="BP127" s="2">
        <f t="shared" si="466"/>
        <v>20213633.590555109</v>
      </c>
      <c r="BQ127" s="2">
        <f t="shared" si="466"/>
        <v>1033682.9612471168</v>
      </c>
      <c r="BR127" s="2">
        <f t="shared" si="466"/>
        <v>0</v>
      </c>
      <c r="BS127" s="2">
        <f t="shared" si="466"/>
        <v>0</v>
      </c>
      <c r="BT127" s="2">
        <f t="shared" si="466"/>
        <v>0</v>
      </c>
      <c r="BU127" s="2">
        <f t="shared" si="466"/>
        <v>0</v>
      </c>
      <c r="BV127" s="2">
        <f t="shared" si="466"/>
        <v>0</v>
      </c>
      <c r="BW127" s="114">
        <v>26</v>
      </c>
      <c r="BX127" s="2">
        <f t="shared" ref="BX127:CG127" si="467">BX27+BX79</f>
        <v>0</v>
      </c>
      <c r="BY127" s="2">
        <f t="shared" si="467"/>
        <v>0</v>
      </c>
      <c r="BZ127" s="2">
        <f t="shared" si="467"/>
        <v>0</v>
      </c>
      <c r="CA127" s="2">
        <f t="shared" si="467"/>
        <v>418239387.74132305</v>
      </c>
      <c r="CB127" s="2">
        <f t="shared" si="467"/>
        <v>525554473.35443282</v>
      </c>
      <c r="CC127" s="2">
        <f t="shared" si="467"/>
        <v>26875756.992425036</v>
      </c>
      <c r="CD127" s="2">
        <f t="shared" si="467"/>
        <v>0</v>
      </c>
      <c r="CE127" s="2">
        <f t="shared" si="467"/>
        <v>0</v>
      </c>
      <c r="CF127" s="2">
        <f t="shared" si="467"/>
        <v>0</v>
      </c>
      <c r="CG127" s="2">
        <f t="shared" si="467"/>
        <v>0</v>
      </c>
      <c r="CH127" s="74"/>
      <c r="CM127" s="638"/>
      <c r="CN127" s="638"/>
      <c r="CO127" s="638"/>
      <c r="CP127" s="638"/>
      <c r="CQ127" s="638"/>
      <c r="CR127" s="638"/>
      <c r="CS127" s="638"/>
      <c r="CT127" s="638"/>
      <c r="CU127" s="638"/>
      <c r="CV127" s="638"/>
      <c r="CW127" s="638"/>
      <c r="CX127" s="638"/>
      <c r="CY127" s="638"/>
      <c r="CZ127" s="638"/>
      <c r="DA127" s="638"/>
      <c r="DB127" s="638"/>
      <c r="DC127" s="638"/>
      <c r="DD127" s="638"/>
      <c r="DE127" s="638"/>
      <c r="DF127" s="638"/>
      <c r="DG127" s="647">
        <v>24</v>
      </c>
      <c r="DH127" s="451">
        <f t="shared" ref="DH127:DR127" si="468">DH27+DH79</f>
        <v>0</v>
      </c>
      <c r="DI127" s="451">
        <f t="shared" si="468"/>
        <v>0</v>
      </c>
      <c r="DJ127" s="451">
        <f t="shared" si="468"/>
        <v>338281.31788390089</v>
      </c>
      <c r="DK127" s="451">
        <f t="shared" si="468"/>
        <v>2029716.4787319771</v>
      </c>
      <c r="DL127" s="451">
        <f t="shared" si="468"/>
        <v>1014820.1441278933</v>
      </c>
      <c r="DM127" s="451">
        <f t="shared" si="468"/>
        <v>0</v>
      </c>
      <c r="DN127" s="451">
        <f t="shared" si="468"/>
        <v>0</v>
      </c>
      <c r="DO127" s="451">
        <f t="shared" si="468"/>
        <v>0</v>
      </c>
      <c r="DP127" s="451">
        <f t="shared" si="468"/>
        <v>0</v>
      </c>
      <c r="DQ127" s="451">
        <f t="shared" si="468"/>
        <v>0</v>
      </c>
      <c r="DR127" s="451">
        <f t="shared" si="468"/>
        <v>0</v>
      </c>
      <c r="DS127" s="123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</row>
    <row r="128" spans="20:134" ht="14.4" thickTop="1" thickBot="1">
      <c r="T128" s="114">
        <v>27</v>
      </c>
      <c r="U128" s="2">
        <f t="shared" ref="U128:AE128" si="469">U28+U80</f>
        <v>0</v>
      </c>
      <c r="V128" s="2">
        <f t="shared" si="469"/>
        <v>0</v>
      </c>
      <c r="W128" s="2">
        <f t="shared" si="469"/>
        <v>0</v>
      </c>
      <c r="X128" s="2">
        <f t="shared" si="469"/>
        <v>6349735.4654659191</v>
      </c>
      <c r="Y128" s="2">
        <f t="shared" si="469"/>
        <v>46799302.284018345</v>
      </c>
      <c r="Z128" s="2">
        <f t="shared" si="469"/>
        <v>11633316.620187428</v>
      </c>
      <c r="AA128" s="2">
        <f t="shared" si="469"/>
        <v>0</v>
      </c>
      <c r="AB128" s="2">
        <f t="shared" si="469"/>
        <v>0</v>
      </c>
      <c r="AC128" s="2">
        <f t="shared" si="469"/>
        <v>0</v>
      </c>
      <c r="AD128" s="2">
        <f t="shared" si="469"/>
        <v>0</v>
      </c>
      <c r="AE128" s="2">
        <f t="shared" si="469"/>
        <v>0</v>
      </c>
      <c r="AF128" s="114">
        <v>27</v>
      </c>
      <c r="AG128" s="2">
        <f t="shared" ref="AG128:AP128" si="470">AG28+AG80</f>
        <v>0</v>
      </c>
      <c r="AH128" s="2">
        <f t="shared" si="470"/>
        <v>0</v>
      </c>
      <c r="AI128" s="2">
        <f t="shared" si="470"/>
        <v>0</v>
      </c>
      <c r="AJ128" s="2">
        <f t="shared" si="470"/>
        <v>171442857.56757981</v>
      </c>
      <c r="AK128" s="2">
        <f t="shared" si="470"/>
        <v>1263581161.6684952</v>
      </c>
      <c r="AL128" s="2">
        <f t="shared" si="470"/>
        <v>314099548.74506056</v>
      </c>
      <c r="AM128" s="2">
        <f t="shared" si="470"/>
        <v>0</v>
      </c>
      <c r="AN128" s="2">
        <f t="shared" si="470"/>
        <v>0</v>
      </c>
      <c r="AO128" s="2">
        <f t="shared" si="470"/>
        <v>0</v>
      </c>
      <c r="AP128" s="2">
        <f t="shared" si="470"/>
        <v>0</v>
      </c>
      <c r="AQ128" s="74"/>
      <c r="AR128" s="1"/>
      <c r="AS128" s="1"/>
      <c r="AT128" s="1"/>
      <c r="AU128" s="1"/>
      <c r="AV128" s="1"/>
      <c r="AW128" s="1"/>
      <c r="BK128" s="114">
        <v>27</v>
      </c>
      <c r="BL128" s="2">
        <f t="shared" ref="BL128:BV128" si="471">BL28+BL80</f>
        <v>0</v>
      </c>
      <c r="BM128" s="2">
        <f t="shared" si="471"/>
        <v>0</v>
      </c>
      <c r="BN128" s="2">
        <f t="shared" si="471"/>
        <v>0</v>
      </c>
      <c r="BO128" s="2">
        <f t="shared" si="471"/>
        <v>0</v>
      </c>
      <c r="BP128" s="2">
        <f t="shared" si="471"/>
        <v>44047875.396251708</v>
      </c>
      <c r="BQ128" s="2">
        <f t="shared" si="471"/>
        <v>2283193.0648666476</v>
      </c>
      <c r="BR128" s="2">
        <f t="shared" si="471"/>
        <v>0</v>
      </c>
      <c r="BS128" s="2">
        <f t="shared" si="471"/>
        <v>0</v>
      </c>
      <c r="BT128" s="2">
        <f t="shared" si="471"/>
        <v>0</v>
      </c>
      <c r="BU128" s="2">
        <f t="shared" si="471"/>
        <v>0</v>
      </c>
      <c r="BV128" s="2">
        <f t="shared" si="471"/>
        <v>0</v>
      </c>
      <c r="BW128" s="114">
        <v>27</v>
      </c>
      <c r="BX128" s="2">
        <f t="shared" ref="BX128:CG128" si="472">BX28+BX80</f>
        <v>0</v>
      </c>
      <c r="BY128" s="2">
        <f t="shared" si="472"/>
        <v>0</v>
      </c>
      <c r="BZ128" s="2">
        <f t="shared" si="472"/>
        <v>0</v>
      </c>
      <c r="CA128" s="2">
        <f t="shared" si="472"/>
        <v>0</v>
      </c>
      <c r="CB128" s="2">
        <f t="shared" si="472"/>
        <v>1189292635.6987963</v>
      </c>
      <c r="CC128" s="2">
        <f t="shared" si="472"/>
        <v>61646212.751399487</v>
      </c>
      <c r="CD128" s="2">
        <f t="shared" si="472"/>
        <v>0</v>
      </c>
      <c r="CE128" s="2">
        <f t="shared" si="472"/>
        <v>0</v>
      </c>
      <c r="CF128" s="2">
        <f t="shared" si="472"/>
        <v>0</v>
      </c>
      <c r="CG128" s="2">
        <f t="shared" si="472"/>
        <v>0</v>
      </c>
      <c r="CH128" s="74"/>
      <c r="CM128" s="638"/>
      <c r="CN128" s="638"/>
      <c r="CO128" s="638"/>
      <c r="CP128" s="638"/>
      <c r="CQ128" s="638"/>
      <c r="CR128" s="638"/>
      <c r="CS128" s="638"/>
      <c r="CT128" s="638"/>
      <c r="CU128" s="638"/>
      <c r="CV128" s="638"/>
      <c r="CW128" s="638"/>
      <c r="CX128" s="638"/>
      <c r="CY128" s="638"/>
      <c r="CZ128" s="638"/>
      <c r="DA128" s="638"/>
      <c r="DB128" s="638"/>
      <c r="DC128" s="638"/>
      <c r="DD128" s="638"/>
      <c r="DE128" s="638"/>
      <c r="DF128" s="638"/>
      <c r="DG128" s="647">
        <v>25</v>
      </c>
      <c r="DH128" s="451">
        <f t="shared" ref="DH128:DR128" si="473">DH28+DH80</f>
        <v>0</v>
      </c>
      <c r="DI128" s="451">
        <f t="shared" si="473"/>
        <v>0</v>
      </c>
      <c r="DJ128" s="451">
        <f t="shared" si="473"/>
        <v>0</v>
      </c>
      <c r="DK128" s="451">
        <f t="shared" si="473"/>
        <v>1592977.5094345212</v>
      </c>
      <c r="DL128" s="451">
        <f t="shared" si="473"/>
        <v>1592917.5094345212</v>
      </c>
      <c r="DM128" s="451">
        <f t="shared" si="473"/>
        <v>0</v>
      </c>
      <c r="DN128" s="451">
        <f t="shared" si="473"/>
        <v>0</v>
      </c>
      <c r="DO128" s="451">
        <f t="shared" si="473"/>
        <v>0</v>
      </c>
      <c r="DP128" s="451">
        <f t="shared" si="473"/>
        <v>0</v>
      </c>
      <c r="DQ128" s="451">
        <f t="shared" si="473"/>
        <v>0</v>
      </c>
      <c r="DR128" s="451">
        <f t="shared" si="473"/>
        <v>0</v>
      </c>
      <c r="DS128" s="123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</row>
    <row r="129" spans="20:134" ht="14.4" thickTop="1" thickBot="1">
      <c r="T129" s="114">
        <v>28</v>
      </c>
      <c r="U129" s="2">
        <f t="shared" ref="U129:AE129" si="474">U29+U81</f>
        <v>0</v>
      </c>
      <c r="V129" s="2">
        <f t="shared" si="474"/>
        <v>0</v>
      </c>
      <c r="W129" s="2">
        <f t="shared" si="474"/>
        <v>0</v>
      </c>
      <c r="X129" s="2">
        <f t="shared" si="474"/>
        <v>3457884.177065203</v>
      </c>
      <c r="Y129" s="2">
        <f t="shared" si="474"/>
        <v>25851881.292426839</v>
      </c>
      <c r="Z129" s="2">
        <f t="shared" si="474"/>
        <v>22206260.574478239</v>
      </c>
      <c r="AA129" s="2">
        <f t="shared" si="474"/>
        <v>0</v>
      </c>
      <c r="AB129" s="2">
        <f t="shared" si="474"/>
        <v>0</v>
      </c>
      <c r="AC129" s="2">
        <f t="shared" si="474"/>
        <v>0</v>
      </c>
      <c r="AD129" s="2">
        <f t="shared" si="474"/>
        <v>0</v>
      </c>
      <c r="AE129" s="2">
        <f t="shared" si="474"/>
        <v>0</v>
      </c>
      <c r="AF129" s="114">
        <v>28</v>
      </c>
      <c r="AG129" s="2">
        <f t="shared" ref="AG129:AP129" si="475">AG29+AG81</f>
        <v>0</v>
      </c>
      <c r="AH129" s="2">
        <f t="shared" si="475"/>
        <v>0</v>
      </c>
      <c r="AI129" s="2">
        <f t="shared" si="475"/>
        <v>0</v>
      </c>
      <c r="AJ129" s="2">
        <f t="shared" si="475"/>
        <v>96820756.957825676</v>
      </c>
      <c r="AK129" s="2">
        <f t="shared" si="475"/>
        <v>723852676.18795156</v>
      </c>
      <c r="AL129" s="2">
        <f t="shared" si="475"/>
        <v>621775296.08539081</v>
      </c>
      <c r="AM129" s="2">
        <f t="shared" si="475"/>
        <v>0</v>
      </c>
      <c r="AN129" s="2">
        <f t="shared" si="475"/>
        <v>0</v>
      </c>
      <c r="AO129" s="2">
        <f t="shared" si="475"/>
        <v>0</v>
      </c>
      <c r="AP129" s="2">
        <f t="shared" si="475"/>
        <v>0</v>
      </c>
      <c r="AQ129" s="74"/>
      <c r="AR129" s="1"/>
      <c r="AS129" s="1"/>
      <c r="AT129" s="1"/>
      <c r="AU129" s="1"/>
      <c r="AV129" s="1"/>
      <c r="AW129" s="1"/>
      <c r="BK129" s="114">
        <v>28</v>
      </c>
      <c r="BL129" s="2">
        <f t="shared" ref="BL129:BV129" si="476">BL29+BL81</f>
        <v>0</v>
      </c>
      <c r="BM129" s="2">
        <f t="shared" si="476"/>
        <v>0</v>
      </c>
      <c r="BN129" s="2">
        <f t="shared" si="476"/>
        <v>0</v>
      </c>
      <c r="BO129" s="2">
        <f t="shared" si="476"/>
        <v>0</v>
      </c>
      <c r="BP129" s="2">
        <f t="shared" si="476"/>
        <v>19189236.197430767</v>
      </c>
      <c r="BQ129" s="2">
        <f t="shared" si="476"/>
        <v>9702271.6333828084</v>
      </c>
      <c r="BR129" s="2">
        <f t="shared" si="476"/>
        <v>0</v>
      </c>
      <c r="BS129" s="2">
        <f t="shared" si="476"/>
        <v>0</v>
      </c>
      <c r="BT129" s="2">
        <f t="shared" si="476"/>
        <v>0</v>
      </c>
      <c r="BU129" s="2">
        <f t="shared" si="476"/>
        <v>0</v>
      </c>
      <c r="BV129" s="2">
        <f t="shared" si="476"/>
        <v>0</v>
      </c>
      <c r="BW129" s="114">
        <v>28</v>
      </c>
      <c r="BX129" s="2">
        <f t="shared" ref="BX129:CG129" si="477">BX29+BX81</f>
        <v>0</v>
      </c>
      <c r="BY129" s="2">
        <f t="shared" si="477"/>
        <v>0</v>
      </c>
      <c r="BZ129" s="2">
        <f t="shared" si="477"/>
        <v>0</v>
      </c>
      <c r="CA129" s="2">
        <f t="shared" si="477"/>
        <v>0</v>
      </c>
      <c r="CB129" s="2">
        <f t="shared" si="477"/>
        <v>537298613.52806151</v>
      </c>
      <c r="CC129" s="2">
        <f t="shared" si="477"/>
        <v>271663605.73471862</v>
      </c>
      <c r="CD129" s="2">
        <f t="shared" si="477"/>
        <v>0</v>
      </c>
      <c r="CE129" s="2">
        <f t="shared" si="477"/>
        <v>0</v>
      </c>
      <c r="CF129" s="2">
        <f t="shared" si="477"/>
        <v>0</v>
      </c>
      <c r="CG129" s="2">
        <f t="shared" si="477"/>
        <v>0</v>
      </c>
      <c r="CH129" s="74"/>
      <c r="CM129" s="638"/>
      <c r="CN129" s="638"/>
      <c r="CO129" s="638"/>
      <c r="CP129" s="638"/>
      <c r="CQ129" s="638"/>
      <c r="CR129" s="638"/>
      <c r="CS129" s="638"/>
      <c r="CT129" s="638"/>
      <c r="CU129" s="638"/>
      <c r="CV129" s="638"/>
      <c r="CW129" s="638"/>
      <c r="CX129" s="638"/>
      <c r="CY129" s="638"/>
      <c r="CZ129" s="638"/>
      <c r="DA129" s="638"/>
      <c r="DB129" s="638"/>
      <c r="DC129" s="638"/>
      <c r="DD129" s="638"/>
      <c r="DE129" s="638"/>
      <c r="DF129" s="638"/>
      <c r="DG129" s="647">
        <v>26</v>
      </c>
      <c r="DH129" s="451">
        <f t="shared" ref="DH129:DR129" si="478">DH29+DH81</f>
        <v>0</v>
      </c>
      <c r="DI129" s="451">
        <f t="shared" si="478"/>
        <v>0</v>
      </c>
      <c r="DJ129" s="451">
        <f t="shared" si="478"/>
        <v>0</v>
      </c>
      <c r="DK129" s="451">
        <f t="shared" si="478"/>
        <v>870901.52177427197</v>
      </c>
      <c r="DL129" s="451">
        <f t="shared" si="478"/>
        <v>2032103.5508066348</v>
      </c>
      <c r="DM129" s="451">
        <f t="shared" si="478"/>
        <v>0</v>
      </c>
      <c r="DN129" s="451">
        <f t="shared" si="478"/>
        <v>0</v>
      </c>
      <c r="DO129" s="451">
        <f t="shared" si="478"/>
        <v>0</v>
      </c>
      <c r="DP129" s="451">
        <f t="shared" si="478"/>
        <v>0</v>
      </c>
      <c r="DQ129" s="451">
        <f t="shared" si="478"/>
        <v>0</v>
      </c>
      <c r="DR129" s="451">
        <f t="shared" si="478"/>
        <v>0</v>
      </c>
      <c r="DS129" s="123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</row>
    <row r="130" spans="20:134" ht="14.4" thickTop="1" thickBot="1">
      <c r="T130" s="114">
        <v>29</v>
      </c>
      <c r="U130" s="2">
        <f t="shared" ref="U130:AE130" si="479">U30+U82</f>
        <v>0</v>
      </c>
      <c r="V130" s="2">
        <f t="shared" si="479"/>
        <v>0</v>
      </c>
      <c r="W130" s="2">
        <f t="shared" si="479"/>
        <v>0</v>
      </c>
      <c r="X130" s="2">
        <f t="shared" si="479"/>
        <v>1574743.5367682711</v>
      </c>
      <c r="Y130" s="2">
        <f t="shared" si="479"/>
        <v>7490063.3710468039</v>
      </c>
      <c r="Z130" s="2">
        <f t="shared" si="479"/>
        <v>25265333.58675414</v>
      </c>
      <c r="AA130" s="2">
        <f t="shared" si="479"/>
        <v>2093935.3050967513</v>
      </c>
      <c r="AB130" s="2">
        <f t="shared" si="479"/>
        <v>0</v>
      </c>
      <c r="AC130" s="2">
        <f t="shared" si="479"/>
        <v>0</v>
      </c>
      <c r="AD130" s="2">
        <f t="shared" si="479"/>
        <v>0</v>
      </c>
      <c r="AE130" s="2">
        <f t="shared" si="479"/>
        <v>0</v>
      </c>
      <c r="AF130" s="114">
        <v>29</v>
      </c>
      <c r="AG130" s="2">
        <f t="shared" ref="AG130:AP130" si="480">AG30+AG82</f>
        <v>0</v>
      </c>
      <c r="AH130" s="2">
        <f t="shared" si="480"/>
        <v>0</v>
      </c>
      <c r="AI130" s="2">
        <f t="shared" si="480"/>
        <v>0</v>
      </c>
      <c r="AJ130" s="2">
        <f t="shared" si="480"/>
        <v>45667562.566279866</v>
      </c>
      <c r="AK130" s="2">
        <f t="shared" si="480"/>
        <v>217211837.76035732</v>
      </c>
      <c r="AL130" s="2">
        <f t="shared" si="480"/>
        <v>732694674.01587009</v>
      </c>
      <c r="AM130" s="2">
        <f t="shared" si="480"/>
        <v>60724123.847805783</v>
      </c>
      <c r="AN130" s="2">
        <f t="shared" si="480"/>
        <v>0</v>
      </c>
      <c r="AO130" s="2">
        <f t="shared" si="480"/>
        <v>0</v>
      </c>
      <c r="AP130" s="2">
        <f t="shared" si="480"/>
        <v>0</v>
      </c>
      <c r="AQ130" s="74"/>
      <c r="AR130" s="1"/>
      <c r="AS130" s="1"/>
      <c r="AT130" s="1"/>
      <c r="AU130" s="1"/>
      <c r="AV130" s="1"/>
      <c r="AW130" s="1"/>
      <c r="BK130" s="114">
        <v>29</v>
      </c>
      <c r="BL130" s="2">
        <f t="shared" ref="BL130:BV130" si="481">BL30+BL82</f>
        <v>0</v>
      </c>
      <c r="BM130" s="2">
        <f t="shared" si="481"/>
        <v>0</v>
      </c>
      <c r="BN130" s="2">
        <f t="shared" si="481"/>
        <v>0</v>
      </c>
      <c r="BO130" s="2">
        <f t="shared" si="481"/>
        <v>0</v>
      </c>
      <c r="BP130" s="2">
        <f t="shared" si="481"/>
        <v>10203808.640364148</v>
      </c>
      <c r="BQ130" s="2">
        <f t="shared" si="481"/>
        <v>12780011.875769807</v>
      </c>
      <c r="BR130" s="2">
        <f t="shared" si="481"/>
        <v>0</v>
      </c>
      <c r="BS130" s="2">
        <f t="shared" si="481"/>
        <v>0</v>
      </c>
      <c r="BT130" s="2">
        <f t="shared" si="481"/>
        <v>0</v>
      </c>
      <c r="BU130" s="2">
        <f t="shared" si="481"/>
        <v>0</v>
      </c>
      <c r="BV130" s="2">
        <f t="shared" si="481"/>
        <v>0</v>
      </c>
      <c r="BW130" s="114">
        <v>29</v>
      </c>
      <c r="BX130" s="2">
        <f t="shared" ref="BX130:CG130" si="482">BX30+BX82</f>
        <v>0</v>
      </c>
      <c r="BY130" s="2">
        <f t="shared" si="482"/>
        <v>0</v>
      </c>
      <c r="BZ130" s="2">
        <f t="shared" si="482"/>
        <v>0</v>
      </c>
      <c r="CA130" s="2">
        <f t="shared" si="482"/>
        <v>0</v>
      </c>
      <c r="CB130" s="2">
        <f t="shared" si="482"/>
        <v>295910450.57056034</v>
      </c>
      <c r="CC130" s="2">
        <f t="shared" si="482"/>
        <v>370620344.39732444</v>
      </c>
      <c r="CD130" s="2">
        <f t="shared" si="482"/>
        <v>0</v>
      </c>
      <c r="CE130" s="2">
        <f t="shared" si="482"/>
        <v>0</v>
      </c>
      <c r="CF130" s="2">
        <f t="shared" si="482"/>
        <v>0</v>
      </c>
      <c r="CG130" s="2">
        <f t="shared" si="482"/>
        <v>0</v>
      </c>
      <c r="CH130" s="74"/>
      <c r="CM130" s="638"/>
      <c r="CN130" s="638"/>
      <c r="CO130" s="638"/>
      <c r="CP130" s="638"/>
      <c r="CQ130" s="638"/>
      <c r="CR130" s="638"/>
      <c r="CS130" s="638"/>
      <c r="CT130" s="638"/>
      <c r="CU130" s="638"/>
      <c r="CV130" s="638"/>
      <c r="CW130" s="638"/>
      <c r="CX130" s="638"/>
      <c r="CY130" s="638"/>
      <c r="CZ130" s="638"/>
      <c r="DA130" s="638"/>
      <c r="DB130" s="638"/>
      <c r="DC130" s="638"/>
      <c r="DD130" s="638"/>
      <c r="DE130" s="638"/>
      <c r="DF130" s="638"/>
      <c r="DG130" s="647">
        <v>27</v>
      </c>
      <c r="DH130" s="451">
        <f t="shared" ref="DH130:DR130" si="483">DH30+DH82</f>
        <v>0</v>
      </c>
      <c r="DI130" s="451">
        <f t="shared" si="483"/>
        <v>0</v>
      </c>
      <c r="DJ130" s="451">
        <f t="shared" si="483"/>
        <v>0</v>
      </c>
      <c r="DK130" s="451">
        <f t="shared" si="483"/>
        <v>615206.25315566896</v>
      </c>
      <c r="DL130" s="451">
        <f t="shared" si="483"/>
        <v>615249.11029852612</v>
      </c>
      <c r="DM130" s="451">
        <f t="shared" si="483"/>
        <v>307600.74562545354</v>
      </c>
      <c r="DN130" s="451">
        <f t="shared" si="483"/>
        <v>0</v>
      </c>
      <c r="DO130" s="451">
        <f t="shared" si="483"/>
        <v>0</v>
      </c>
      <c r="DP130" s="451">
        <f t="shared" si="483"/>
        <v>0</v>
      </c>
      <c r="DQ130" s="451">
        <f t="shared" si="483"/>
        <v>0</v>
      </c>
      <c r="DR130" s="451">
        <f t="shared" si="483"/>
        <v>0</v>
      </c>
      <c r="DS130" s="123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</row>
    <row r="131" spans="20:134" ht="14.4" thickTop="1" thickBot="1">
      <c r="T131" s="114">
        <v>30</v>
      </c>
      <c r="U131" s="2">
        <f t="shared" ref="U131:AE131" si="484">U31+U83</f>
        <v>0</v>
      </c>
      <c r="V131" s="2">
        <f t="shared" si="484"/>
        <v>0</v>
      </c>
      <c r="W131" s="2">
        <f t="shared" si="484"/>
        <v>0</v>
      </c>
      <c r="X131" s="2">
        <f t="shared" si="484"/>
        <v>0</v>
      </c>
      <c r="Y131" s="2">
        <f t="shared" si="484"/>
        <v>1393994.3440315872</v>
      </c>
      <c r="Z131" s="2">
        <f t="shared" si="484"/>
        <v>16243783.855443889</v>
      </c>
      <c r="AA131" s="2">
        <f t="shared" si="484"/>
        <v>7056580.0929567516</v>
      </c>
      <c r="AB131" s="2">
        <f t="shared" si="484"/>
        <v>0</v>
      </c>
      <c r="AC131" s="2">
        <f t="shared" si="484"/>
        <v>0</v>
      </c>
      <c r="AD131" s="2">
        <f t="shared" si="484"/>
        <v>0</v>
      </c>
      <c r="AE131" s="2">
        <f t="shared" si="484"/>
        <v>0</v>
      </c>
      <c r="AF131" s="114">
        <v>30</v>
      </c>
      <c r="AG131" s="2">
        <f t="shared" ref="AG131:AP131" si="485">AG31+AG83</f>
        <v>0</v>
      </c>
      <c r="AH131" s="2">
        <f t="shared" si="485"/>
        <v>0</v>
      </c>
      <c r="AI131" s="2">
        <f t="shared" si="485"/>
        <v>0</v>
      </c>
      <c r="AJ131" s="2">
        <f t="shared" si="485"/>
        <v>0</v>
      </c>
      <c r="AK131" s="2">
        <f t="shared" si="485"/>
        <v>41819830.320947617</v>
      </c>
      <c r="AL131" s="2">
        <f t="shared" si="485"/>
        <v>487313515.66331667</v>
      </c>
      <c r="AM131" s="2">
        <f t="shared" si="485"/>
        <v>211697402.78870255</v>
      </c>
      <c r="AN131" s="2">
        <f t="shared" si="485"/>
        <v>0</v>
      </c>
      <c r="AO131" s="2">
        <f t="shared" si="485"/>
        <v>0</v>
      </c>
      <c r="AP131" s="2">
        <f t="shared" si="485"/>
        <v>0</v>
      </c>
      <c r="AQ131" s="74"/>
      <c r="AR131" s="1"/>
      <c r="AS131" s="1"/>
      <c r="AT131" s="1"/>
      <c r="AU131" s="1"/>
      <c r="AV131" s="1"/>
      <c r="AW131" s="1"/>
      <c r="BK131" s="114">
        <v>30</v>
      </c>
      <c r="BL131" s="2">
        <f t="shared" ref="BL131:BV131" si="486">BL31+BL83</f>
        <v>0</v>
      </c>
      <c r="BM131" s="2">
        <f t="shared" si="486"/>
        <v>0</v>
      </c>
      <c r="BN131" s="2">
        <f t="shared" si="486"/>
        <v>0</v>
      </c>
      <c r="BO131" s="2">
        <f t="shared" si="486"/>
        <v>0</v>
      </c>
      <c r="BP131" s="2">
        <f t="shared" si="486"/>
        <v>0</v>
      </c>
      <c r="BQ131" s="2">
        <f t="shared" si="486"/>
        <v>15759059.259914018</v>
      </c>
      <c r="BR131" s="2">
        <f t="shared" si="486"/>
        <v>8205658.149458291</v>
      </c>
      <c r="BS131" s="2">
        <f t="shared" si="486"/>
        <v>0</v>
      </c>
      <c r="BT131" s="2">
        <f t="shared" si="486"/>
        <v>0</v>
      </c>
      <c r="BU131" s="2">
        <f t="shared" si="486"/>
        <v>0</v>
      </c>
      <c r="BV131" s="2">
        <f t="shared" si="486"/>
        <v>0</v>
      </c>
      <c r="BW131" s="114">
        <v>30</v>
      </c>
      <c r="BX131" s="2">
        <f t="shared" ref="BX131:CG131" si="487">BX31+BX83</f>
        <v>0</v>
      </c>
      <c r="BY131" s="2">
        <f t="shared" si="487"/>
        <v>0</v>
      </c>
      <c r="BZ131" s="2">
        <f t="shared" si="487"/>
        <v>0</v>
      </c>
      <c r="CA131" s="2">
        <f t="shared" si="487"/>
        <v>0</v>
      </c>
      <c r="CB131" s="2">
        <f t="shared" si="487"/>
        <v>0</v>
      </c>
      <c r="CC131" s="2">
        <f t="shared" si="487"/>
        <v>472771777.7974205</v>
      </c>
      <c r="CD131" s="2">
        <f t="shared" si="487"/>
        <v>246169744.48374873</v>
      </c>
      <c r="CE131" s="2">
        <f t="shared" si="487"/>
        <v>0</v>
      </c>
      <c r="CF131" s="2">
        <f t="shared" si="487"/>
        <v>0</v>
      </c>
      <c r="CG131" s="2">
        <f t="shared" si="487"/>
        <v>0</v>
      </c>
      <c r="CH131" s="74"/>
      <c r="CM131" s="638"/>
      <c r="CN131" s="638"/>
      <c r="CO131" s="638"/>
      <c r="CP131" s="638"/>
      <c r="CQ131" s="638"/>
      <c r="CR131" s="638"/>
      <c r="CS131" s="638"/>
      <c r="CT131" s="638"/>
      <c r="CU131" s="638"/>
      <c r="CV131" s="638"/>
      <c r="CW131" s="638"/>
      <c r="CX131" s="638"/>
      <c r="CY131" s="638"/>
      <c r="CZ131" s="638"/>
      <c r="DA131" s="638"/>
      <c r="DB131" s="638"/>
      <c r="DC131" s="638"/>
      <c r="DD131" s="638"/>
      <c r="DE131" s="638"/>
      <c r="DF131" s="638"/>
      <c r="DG131" s="647">
        <v>28</v>
      </c>
      <c r="DH131" s="451">
        <f t="shared" ref="DH131:DR131" si="488">DH31+DH83</f>
        <v>0</v>
      </c>
      <c r="DI131" s="451">
        <f t="shared" si="488"/>
        <v>0</v>
      </c>
      <c r="DJ131" s="451">
        <f t="shared" si="488"/>
        <v>0</v>
      </c>
      <c r="DK131" s="451">
        <f t="shared" si="488"/>
        <v>202168.9782471479</v>
      </c>
      <c r="DL131" s="451">
        <f t="shared" si="488"/>
        <v>505422.44561786979</v>
      </c>
      <c r="DM131" s="451">
        <f t="shared" si="488"/>
        <v>303242.35625961074</v>
      </c>
      <c r="DN131" s="451">
        <f t="shared" si="488"/>
        <v>0</v>
      </c>
      <c r="DO131" s="451">
        <f t="shared" si="488"/>
        <v>0</v>
      </c>
      <c r="DP131" s="451">
        <f t="shared" si="488"/>
        <v>0</v>
      </c>
      <c r="DQ131" s="451">
        <f t="shared" si="488"/>
        <v>0</v>
      </c>
      <c r="DR131" s="451">
        <f t="shared" si="488"/>
        <v>0</v>
      </c>
      <c r="DS131" s="123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</row>
    <row r="132" spans="20:134" ht="14.4" thickTop="1" thickBot="1">
      <c r="T132" s="114">
        <v>31</v>
      </c>
      <c r="U132" s="2">
        <f t="shared" ref="U132:AE132" si="489">U32+U84</f>
        <v>0</v>
      </c>
      <c r="V132" s="2">
        <f t="shared" si="489"/>
        <v>0</v>
      </c>
      <c r="W132" s="2">
        <f t="shared" si="489"/>
        <v>0</v>
      </c>
      <c r="X132" s="2">
        <f t="shared" si="489"/>
        <v>0</v>
      </c>
      <c r="Y132" s="2">
        <f t="shared" si="489"/>
        <v>100521.34275639635</v>
      </c>
      <c r="Z132" s="2">
        <f t="shared" si="489"/>
        <v>11011795.766695479</v>
      </c>
      <c r="AA132" s="2">
        <f t="shared" si="489"/>
        <v>9478317.5652001165</v>
      </c>
      <c r="AB132" s="2">
        <f t="shared" si="489"/>
        <v>0</v>
      </c>
      <c r="AC132" s="2">
        <f t="shared" si="489"/>
        <v>0</v>
      </c>
      <c r="AD132" s="2">
        <f t="shared" si="489"/>
        <v>0</v>
      </c>
      <c r="AE132" s="2">
        <f t="shared" si="489"/>
        <v>0</v>
      </c>
      <c r="AF132" s="114">
        <v>31</v>
      </c>
      <c r="AG132" s="2">
        <f t="shared" ref="AG132:AP132" si="490">AG32+AG84</f>
        <v>0</v>
      </c>
      <c r="AH132" s="2">
        <f t="shared" si="490"/>
        <v>0</v>
      </c>
      <c r="AI132" s="2">
        <f t="shared" si="490"/>
        <v>0</v>
      </c>
      <c r="AJ132" s="2">
        <f t="shared" si="490"/>
        <v>0</v>
      </c>
      <c r="AK132" s="2">
        <f t="shared" si="490"/>
        <v>3116161.625448287</v>
      </c>
      <c r="AL132" s="2">
        <f t="shared" si="490"/>
        <v>341365668.76755983</v>
      </c>
      <c r="AM132" s="2">
        <f t="shared" si="490"/>
        <v>293827844.52120364</v>
      </c>
      <c r="AN132" s="2">
        <f t="shared" si="490"/>
        <v>0</v>
      </c>
      <c r="AO132" s="2">
        <f t="shared" si="490"/>
        <v>0</v>
      </c>
      <c r="AP132" s="2">
        <f t="shared" si="490"/>
        <v>0</v>
      </c>
      <c r="AQ132" s="74"/>
      <c r="AR132" s="1"/>
      <c r="AS132" s="1"/>
      <c r="AT132" s="1"/>
      <c r="AU132" s="1"/>
      <c r="AV132" s="1"/>
      <c r="AW132" s="1"/>
      <c r="BK132" s="114">
        <v>31</v>
      </c>
      <c r="BL132" s="2">
        <f t="shared" ref="BL132:BV132" si="491">BL32+BL84</f>
        <v>0</v>
      </c>
      <c r="BM132" s="2">
        <f t="shared" si="491"/>
        <v>0</v>
      </c>
      <c r="BN132" s="2">
        <f t="shared" si="491"/>
        <v>0</v>
      </c>
      <c r="BO132" s="2">
        <f t="shared" si="491"/>
        <v>0</v>
      </c>
      <c r="BP132" s="2">
        <f t="shared" si="491"/>
        <v>0</v>
      </c>
      <c r="BQ132" s="2">
        <f t="shared" si="491"/>
        <v>6581911.6572066806</v>
      </c>
      <c r="BR132" s="2">
        <f t="shared" si="491"/>
        <v>20190590.20851098</v>
      </c>
      <c r="BS132" s="2">
        <f t="shared" si="491"/>
        <v>0</v>
      </c>
      <c r="BT132" s="2">
        <f t="shared" si="491"/>
        <v>0</v>
      </c>
      <c r="BU132" s="2">
        <f t="shared" si="491"/>
        <v>0</v>
      </c>
      <c r="BV132" s="2">
        <f t="shared" si="491"/>
        <v>0</v>
      </c>
      <c r="BW132" s="114">
        <v>31</v>
      </c>
      <c r="BX132" s="2">
        <f t="shared" ref="BX132:CG132" si="492">BX32+BX84</f>
        <v>0</v>
      </c>
      <c r="BY132" s="2">
        <f t="shared" si="492"/>
        <v>0</v>
      </c>
      <c r="BZ132" s="2">
        <f t="shared" si="492"/>
        <v>0</v>
      </c>
      <c r="CA132" s="2">
        <f t="shared" si="492"/>
        <v>0</v>
      </c>
      <c r="CB132" s="2">
        <f t="shared" si="492"/>
        <v>0</v>
      </c>
      <c r="CC132" s="2">
        <f t="shared" si="492"/>
        <v>204039261.37340713</v>
      </c>
      <c r="CD132" s="2">
        <f t="shared" si="492"/>
        <v>625908296.46384037</v>
      </c>
      <c r="CE132" s="2">
        <f t="shared" si="492"/>
        <v>0</v>
      </c>
      <c r="CF132" s="2">
        <f t="shared" si="492"/>
        <v>0</v>
      </c>
      <c r="CG132" s="2">
        <f t="shared" si="492"/>
        <v>0</v>
      </c>
      <c r="CH132" s="74"/>
      <c r="CM132" s="638"/>
      <c r="CN132" s="638"/>
      <c r="CO132" s="638"/>
      <c r="CP132" s="638"/>
      <c r="CQ132" s="638"/>
      <c r="CR132" s="638"/>
      <c r="CS132" s="638"/>
      <c r="CT132" s="638"/>
      <c r="CU132" s="638"/>
      <c r="CV132" s="638"/>
      <c r="CW132" s="638"/>
      <c r="CX132" s="638"/>
      <c r="CY132" s="638"/>
      <c r="CZ132" s="638"/>
      <c r="DA132" s="638"/>
      <c r="DB132" s="638"/>
      <c r="DC132" s="638"/>
      <c r="DD132" s="638"/>
      <c r="DE132" s="638"/>
      <c r="DF132" s="638"/>
      <c r="DG132" s="647">
        <v>29</v>
      </c>
      <c r="DH132" s="451">
        <f t="shared" ref="DH132:DR132" si="493">DH32+DH84</f>
        <v>0</v>
      </c>
      <c r="DI132" s="451">
        <f t="shared" si="493"/>
        <v>0</v>
      </c>
      <c r="DJ132" s="451">
        <f t="shared" si="493"/>
        <v>0</v>
      </c>
      <c r="DK132" s="451">
        <f t="shared" si="493"/>
        <v>78830.043707953169</v>
      </c>
      <c r="DL132" s="451">
        <f t="shared" si="493"/>
        <v>473017.76224771905</v>
      </c>
      <c r="DM132" s="451">
        <f t="shared" si="493"/>
        <v>236546.38112385952</v>
      </c>
      <c r="DN132" s="451">
        <f t="shared" si="493"/>
        <v>6.25</v>
      </c>
      <c r="DO132" s="451">
        <f t="shared" si="493"/>
        <v>0</v>
      </c>
      <c r="DP132" s="451">
        <f t="shared" si="493"/>
        <v>0</v>
      </c>
      <c r="DQ132" s="451">
        <f t="shared" si="493"/>
        <v>0</v>
      </c>
      <c r="DR132" s="451">
        <f t="shared" si="493"/>
        <v>0</v>
      </c>
      <c r="DS132" s="123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</row>
    <row r="133" spans="20:134" ht="14.4" thickTop="1" thickBot="1">
      <c r="T133" s="114">
        <v>32</v>
      </c>
      <c r="U133" s="2">
        <f t="shared" ref="U133:AE133" si="494">U33+U85</f>
        <v>0</v>
      </c>
      <c r="V133" s="2">
        <f t="shared" si="494"/>
        <v>0</v>
      </c>
      <c r="W133" s="2">
        <f t="shared" si="494"/>
        <v>0</v>
      </c>
      <c r="X133" s="2">
        <f t="shared" si="494"/>
        <v>0</v>
      </c>
      <c r="Y133" s="2">
        <f t="shared" si="494"/>
        <v>0</v>
      </c>
      <c r="Z133" s="2">
        <f t="shared" si="494"/>
        <v>3624526.1739589903</v>
      </c>
      <c r="AA133" s="2">
        <f t="shared" si="494"/>
        <v>9171501.5956441239</v>
      </c>
      <c r="AB133" s="2">
        <f t="shared" si="494"/>
        <v>762683.63856174937</v>
      </c>
      <c r="AC133" s="2">
        <f t="shared" si="494"/>
        <v>0</v>
      </c>
      <c r="AD133" s="2">
        <f t="shared" si="494"/>
        <v>0</v>
      </c>
      <c r="AE133" s="2">
        <f t="shared" si="494"/>
        <v>0</v>
      </c>
      <c r="AF133" s="114">
        <v>32</v>
      </c>
      <c r="AG133" s="2">
        <f t="shared" ref="AG133:AP133" si="495">AG33+AG85</f>
        <v>0</v>
      </c>
      <c r="AH133" s="2">
        <f t="shared" si="495"/>
        <v>0</v>
      </c>
      <c r="AI133" s="2">
        <f t="shared" si="495"/>
        <v>0</v>
      </c>
      <c r="AJ133" s="2">
        <f t="shared" si="495"/>
        <v>0</v>
      </c>
      <c r="AK133" s="2">
        <f t="shared" si="495"/>
        <v>0</v>
      </c>
      <c r="AL133" s="2">
        <f t="shared" si="495"/>
        <v>115984837.56668769</v>
      </c>
      <c r="AM133" s="2">
        <f t="shared" si="495"/>
        <v>293488051.06061196</v>
      </c>
      <c r="AN133" s="2">
        <f t="shared" si="495"/>
        <v>24405876.43397598</v>
      </c>
      <c r="AO133" s="2">
        <f t="shared" si="495"/>
        <v>0</v>
      </c>
      <c r="AP133" s="2">
        <f t="shared" si="495"/>
        <v>0</v>
      </c>
      <c r="AQ133" s="74"/>
      <c r="AR133" s="1"/>
      <c r="AS133" s="1"/>
      <c r="AT133" s="1"/>
      <c r="AU133" s="1"/>
      <c r="AV133" s="1"/>
      <c r="AW133" s="1"/>
      <c r="BK133" s="114">
        <v>32</v>
      </c>
      <c r="BL133" s="2">
        <f t="shared" ref="BL133:BV133" si="496">BL33+BL85</f>
        <v>0</v>
      </c>
      <c r="BM133" s="2">
        <f t="shared" si="496"/>
        <v>0</v>
      </c>
      <c r="BN133" s="2">
        <f t="shared" si="496"/>
        <v>0</v>
      </c>
      <c r="BO133" s="2">
        <f t="shared" si="496"/>
        <v>0</v>
      </c>
      <c r="BP133" s="2">
        <f t="shared" si="496"/>
        <v>0</v>
      </c>
      <c r="BQ133" s="2">
        <f t="shared" si="496"/>
        <v>2829552.308978111</v>
      </c>
      <c r="BR133" s="2">
        <f t="shared" si="496"/>
        <v>13263615.943834081</v>
      </c>
      <c r="BS133" s="2">
        <f t="shared" si="496"/>
        <v>4126112.8406180055</v>
      </c>
      <c r="BT133" s="2">
        <f t="shared" si="496"/>
        <v>0</v>
      </c>
      <c r="BU133" s="2">
        <f t="shared" si="496"/>
        <v>0</v>
      </c>
      <c r="BV133" s="2">
        <f t="shared" si="496"/>
        <v>0</v>
      </c>
      <c r="BW133" s="114">
        <v>32</v>
      </c>
      <c r="BX133" s="2">
        <f t="shared" ref="BX133:CG133" si="497">BX33+BX85</f>
        <v>0</v>
      </c>
      <c r="BY133" s="2">
        <f t="shared" si="497"/>
        <v>0</v>
      </c>
      <c r="BZ133" s="2">
        <f t="shared" si="497"/>
        <v>0</v>
      </c>
      <c r="CA133" s="2">
        <f t="shared" si="497"/>
        <v>0</v>
      </c>
      <c r="CB133" s="2">
        <f t="shared" si="497"/>
        <v>0</v>
      </c>
      <c r="CC133" s="2">
        <f t="shared" si="497"/>
        <v>90545673.887299553</v>
      </c>
      <c r="CD133" s="2">
        <f t="shared" si="497"/>
        <v>424435710.2026906</v>
      </c>
      <c r="CE133" s="2">
        <f t="shared" si="497"/>
        <v>132035610.89977618</v>
      </c>
      <c r="CF133" s="2">
        <f t="shared" si="497"/>
        <v>0</v>
      </c>
      <c r="CG133" s="2">
        <f t="shared" si="497"/>
        <v>0</v>
      </c>
      <c r="CH133" s="74"/>
      <c r="CM133" s="638"/>
      <c r="CN133" s="638"/>
      <c r="CO133" s="638"/>
      <c r="CP133" s="638"/>
      <c r="CQ133" s="638"/>
      <c r="CR133" s="638"/>
      <c r="CS133" s="638"/>
      <c r="CT133" s="638"/>
      <c r="CU133" s="638"/>
      <c r="CV133" s="638"/>
      <c r="CW133" s="638"/>
      <c r="CX133" s="638"/>
      <c r="CY133" s="638"/>
      <c r="CZ133" s="638"/>
      <c r="DA133" s="638"/>
      <c r="DB133" s="638"/>
      <c r="DC133" s="638"/>
      <c r="DD133" s="638"/>
      <c r="DE133" s="638"/>
      <c r="DF133" s="638"/>
      <c r="DG133" s="647">
        <v>30</v>
      </c>
      <c r="DH133" s="451">
        <f t="shared" ref="DH133:DR133" si="498">DH33+DH85</f>
        <v>0</v>
      </c>
      <c r="DI133" s="451">
        <f t="shared" si="498"/>
        <v>0</v>
      </c>
      <c r="DJ133" s="451">
        <f t="shared" si="498"/>
        <v>0</v>
      </c>
      <c r="DK133" s="451">
        <f t="shared" si="498"/>
        <v>0</v>
      </c>
      <c r="DL133" s="451">
        <f t="shared" si="498"/>
        <v>53291.381983744526</v>
      </c>
      <c r="DM133" s="451">
        <f t="shared" si="498"/>
        <v>159915.81261790023</v>
      </c>
      <c r="DN133" s="451">
        <f t="shared" si="498"/>
        <v>53308.04865041119</v>
      </c>
      <c r="DO133" s="451">
        <f t="shared" si="498"/>
        <v>0</v>
      </c>
      <c r="DP133" s="451">
        <f t="shared" si="498"/>
        <v>0</v>
      </c>
      <c r="DQ133" s="451">
        <f t="shared" si="498"/>
        <v>0</v>
      </c>
      <c r="DR133" s="451">
        <f t="shared" si="498"/>
        <v>0</v>
      </c>
      <c r="DS133" s="123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</row>
    <row r="134" spans="20:134" ht="14.4" thickTop="1" thickBot="1">
      <c r="T134" s="114">
        <v>33</v>
      </c>
      <c r="U134" s="2">
        <f t="shared" ref="U134:AE134" si="499">U34+U86</f>
        <v>0</v>
      </c>
      <c r="V134" s="2">
        <f t="shared" si="499"/>
        <v>0</v>
      </c>
      <c r="W134" s="2">
        <f t="shared" si="499"/>
        <v>0</v>
      </c>
      <c r="X134" s="2">
        <f t="shared" si="499"/>
        <v>0</v>
      </c>
      <c r="Y134" s="2">
        <f t="shared" si="499"/>
        <v>0</v>
      </c>
      <c r="Z134" s="2">
        <f t="shared" si="499"/>
        <v>685877.8995474613</v>
      </c>
      <c r="AA134" s="2">
        <f t="shared" si="499"/>
        <v>11532436.591384707</v>
      </c>
      <c r="AB134" s="2">
        <f t="shared" si="499"/>
        <v>4616694.0380145712</v>
      </c>
      <c r="AC134" s="2">
        <f t="shared" si="499"/>
        <v>475290.22161872225</v>
      </c>
      <c r="AD134" s="2">
        <f t="shared" si="499"/>
        <v>0</v>
      </c>
      <c r="AE134" s="2">
        <f t="shared" si="499"/>
        <v>0</v>
      </c>
      <c r="AF134" s="114">
        <v>33</v>
      </c>
      <c r="AG134" s="2">
        <f t="shared" ref="AG134:AP134" si="500">AG34+AG86</f>
        <v>0</v>
      </c>
      <c r="AH134" s="2">
        <f t="shared" si="500"/>
        <v>0</v>
      </c>
      <c r="AI134" s="2">
        <f t="shared" si="500"/>
        <v>0</v>
      </c>
      <c r="AJ134" s="2">
        <f t="shared" si="500"/>
        <v>0</v>
      </c>
      <c r="AK134" s="2">
        <f t="shared" si="500"/>
        <v>0</v>
      </c>
      <c r="AL134" s="2">
        <f t="shared" si="500"/>
        <v>22633970.685066223</v>
      </c>
      <c r="AM134" s="2">
        <f t="shared" si="500"/>
        <v>380570407.51569533</v>
      </c>
      <c r="AN134" s="2">
        <f t="shared" si="500"/>
        <v>152350903.25448084</v>
      </c>
      <c r="AO134" s="2">
        <f t="shared" si="500"/>
        <v>15684577.313417835</v>
      </c>
      <c r="AP134" s="2">
        <f t="shared" si="500"/>
        <v>0</v>
      </c>
      <c r="AQ134" s="74"/>
      <c r="AR134" s="1"/>
      <c r="AS134" s="1"/>
      <c r="AT134" s="1"/>
      <c r="AU134" s="1"/>
      <c r="AV134" s="1"/>
      <c r="AW134" s="1"/>
      <c r="BK134" s="114">
        <v>33</v>
      </c>
      <c r="BL134" s="2">
        <f t="shared" ref="BL134:BV134" si="501">BL34+BL86</f>
        <v>0</v>
      </c>
      <c r="BM134" s="2">
        <f t="shared" si="501"/>
        <v>0</v>
      </c>
      <c r="BN134" s="2">
        <f t="shared" si="501"/>
        <v>0</v>
      </c>
      <c r="BO134" s="2">
        <f t="shared" si="501"/>
        <v>0</v>
      </c>
      <c r="BP134" s="2">
        <f t="shared" si="501"/>
        <v>0</v>
      </c>
      <c r="BQ134" s="2">
        <f t="shared" si="501"/>
        <v>0</v>
      </c>
      <c r="BR134" s="2">
        <f t="shared" si="501"/>
        <v>5156452.3446278395</v>
      </c>
      <c r="BS134" s="2">
        <f t="shared" si="501"/>
        <v>13598703.780489603</v>
      </c>
      <c r="BT134" s="2">
        <f t="shared" si="501"/>
        <v>1408199.6105288246</v>
      </c>
      <c r="BU134" s="2">
        <f t="shared" si="501"/>
        <v>0</v>
      </c>
      <c r="BV134" s="2">
        <f t="shared" si="501"/>
        <v>0</v>
      </c>
      <c r="BW134" s="114">
        <v>33</v>
      </c>
      <c r="BX134" s="2">
        <f t="shared" ref="BX134:CG134" si="502">BX34+BX86</f>
        <v>0</v>
      </c>
      <c r="BY134" s="2">
        <f t="shared" si="502"/>
        <v>0</v>
      </c>
      <c r="BZ134" s="2">
        <f t="shared" si="502"/>
        <v>0</v>
      </c>
      <c r="CA134" s="2">
        <f t="shared" si="502"/>
        <v>0</v>
      </c>
      <c r="CB134" s="2">
        <f t="shared" si="502"/>
        <v>0</v>
      </c>
      <c r="CC134" s="2">
        <f t="shared" si="502"/>
        <v>0</v>
      </c>
      <c r="CD134" s="2">
        <f t="shared" si="502"/>
        <v>170162927.37271869</v>
      </c>
      <c r="CE134" s="2">
        <f t="shared" si="502"/>
        <v>448757224.75615686</v>
      </c>
      <c r="CF134" s="2">
        <f t="shared" si="502"/>
        <v>46470587.147451214</v>
      </c>
      <c r="CG134" s="2">
        <f t="shared" si="502"/>
        <v>0</v>
      </c>
      <c r="CH134" s="74"/>
      <c r="CM134" s="638"/>
      <c r="CN134" s="638"/>
      <c r="CO134" s="638"/>
      <c r="CP134" s="638"/>
      <c r="CQ134" s="638"/>
      <c r="CR134" s="638"/>
      <c r="CS134" s="638"/>
      <c r="CT134" s="638"/>
      <c r="CU134" s="638"/>
      <c r="CV134" s="638"/>
      <c r="CW134" s="638"/>
      <c r="CX134" s="638"/>
      <c r="CY134" s="638"/>
      <c r="CZ134" s="638"/>
      <c r="DA134" s="638"/>
      <c r="DB134" s="638"/>
      <c r="DC134" s="638"/>
      <c r="DD134" s="638"/>
      <c r="DE134" s="638"/>
      <c r="DF134" s="638"/>
      <c r="DG134" s="647">
        <v>31</v>
      </c>
      <c r="DH134" s="451">
        <f t="shared" ref="DH134:DR134" si="503">DH34+DH86</f>
        <v>0</v>
      </c>
      <c r="DI134" s="451">
        <f t="shared" si="503"/>
        <v>0</v>
      </c>
      <c r="DJ134" s="451">
        <f t="shared" si="503"/>
        <v>0</v>
      </c>
      <c r="DK134" s="451">
        <f t="shared" si="503"/>
        <v>0</v>
      </c>
      <c r="DL134" s="451">
        <f t="shared" si="503"/>
        <v>17830.778940966822</v>
      </c>
      <c r="DM134" s="451">
        <f t="shared" si="503"/>
        <v>35728.224548600308</v>
      </c>
      <c r="DN134" s="451">
        <f t="shared" si="503"/>
        <v>35694.89121526698</v>
      </c>
      <c r="DO134" s="451">
        <f t="shared" si="503"/>
        <v>17830.778940966822</v>
      </c>
      <c r="DP134" s="451">
        <f t="shared" si="503"/>
        <v>0</v>
      </c>
      <c r="DQ134" s="451">
        <f t="shared" si="503"/>
        <v>0</v>
      </c>
      <c r="DR134" s="451">
        <f t="shared" si="503"/>
        <v>0</v>
      </c>
      <c r="DS134" s="123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</row>
    <row r="135" spans="20:134" ht="14.4" thickTop="1" thickBot="1">
      <c r="T135" s="114">
        <v>34</v>
      </c>
      <c r="U135" s="2">
        <f t="shared" ref="U135:AE135" si="504">U35+U87</f>
        <v>0</v>
      </c>
      <c r="V135" s="2">
        <f t="shared" si="504"/>
        <v>0</v>
      </c>
      <c r="W135" s="2">
        <f t="shared" si="504"/>
        <v>0</v>
      </c>
      <c r="X135" s="2">
        <f t="shared" si="504"/>
        <v>0</v>
      </c>
      <c r="Y135" s="2">
        <f t="shared" si="504"/>
        <v>0</v>
      </c>
      <c r="Z135" s="2">
        <f t="shared" si="504"/>
        <v>0</v>
      </c>
      <c r="AA135" s="2">
        <f t="shared" si="504"/>
        <v>1499167.0972338847</v>
      </c>
      <c r="AB135" s="2">
        <f t="shared" si="504"/>
        <v>6837101.7016713405</v>
      </c>
      <c r="AC135" s="2">
        <f t="shared" si="504"/>
        <v>1097017.0594712598</v>
      </c>
      <c r="AD135" s="2">
        <f t="shared" si="504"/>
        <v>0</v>
      </c>
      <c r="AE135" s="2">
        <f t="shared" si="504"/>
        <v>0</v>
      </c>
      <c r="AF135" s="114">
        <v>34</v>
      </c>
      <c r="AG135" s="2">
        <f t="shared" ref="AG135:AP135" si="505">AG35+AG87</f>
        <v>0</v>
      </c>
      <c r="AH135" s="2">
        <f t="shared" si="505"/>
        <v>0</v>
      </c>
      <c r="AI135" s="2">
        <f t="shared" si="505"/>
        <v>0</v>
      </c>
      <c r="AJ135" s="2">
        <f t="shared" si="505"/>
        <v>0</v>
      </c>
      <c r="AK135" s="2">
        <f t="shared" si="505"/>
        <v>0</v>
      </c>
      <c r="AL135" s="2">
        <f t="shared" si="505"/>
        <v>0</v>
      </c>
      <c r="AM135" s="2">
        <f t="shared" si="505"/>
        <v>50971681.30595208</v>
      </c>
      <c r="AN135" s="2">
        <f t="shared" si="505"/>
        <v>232461457.85682559</v>
      </c>
      <c r="AO135" s="2">
        <f t="shared" si="505"/>
        <v>37298580.022022836</v>
      </c>
      <c r="AP135" s="2">
        <f t="shared" si="505"/>
        <v>0</v>
      </c>
      <c r="AQ135" s="74"/>
      <c r="AR135" s="1"/>
      <c r="AS135" s="1"/>
      <c r="AT135" s="1"/>
      <c r="AU135" s="1"/>
      <c r="AV135" s="1"/>
      <c r="AW135" s="1"/>
      <c r="BK135" s="114">
        <v>34</v>
      </c>
      <c r="BL135" s="2">
        <f t="shared" ref="BL135:BV135" si="506">BL35+BL87</f>
        <v>0</v>
      </c>
      <c r="BM135" s="2">
        <f t="shared" si="506"/>
        <v>0</v>
      </c>
      <c r="BN135" s="2">
        <f t="shared" si="506"/>
        <v>0</v>
      </c>
      <c r="BO135" s="2">
        <f t="shared" si="506"/>
        <v>0</v>
      </c>
      <c r="BP135" s="2">
        <f t="shared" si="506"/>
        <v>0</v>
      </c>
      <c r="BQ135" s="2">
        <f t="shared" si="506"/>
        <v>0</v>
      </c>
      <c r="BR135" s="2">
        <f t="shared" si="506"/>
        <v>1659991.162255896</v>
      </c>
      <c r="BS135" s="2">
        <f t="shared" si="506"/>
        <v>6639964.6490235841</v>
      </c>
      <c r="BT135" s="2">
        <f t="shared" si="506"/>
        <v>3363515.784627791</v>
      </c>
      <c r="BU135" s="2">
        <f t="shared" si="506"/>
        <v>0</v>
      </c>
      <c r="BV135" s="2">
        <f t="shared" si="506"/>
        <v>0</v>
      </c>
      <c r="BW135" s="114">
        <v>34</v>
      </c>
      <c r="BX135" s="2">
        <f t="shared" ref="BX135:CG135" si="507">BX35+BX87</f>
        <v>0</v>
      </c>
      <c r="BY135" s="2">
        <f t="shared" si="507"/>
        <v>0</v>
      </c>
      <c r="BZ135" s="2">
        <f t="shared" si="507"/>
        <v>0</v>
      </c>
      <c r="CA135" s="2">
        <f t="shared" si="507"/>
        <v>0</v>
      </c>
      <c r="CB135" s="2">
        <f t="shared" si="507"/>
        <v>0</v>
      </c>
      <c r="CC135" s="2">
        <f t="shared" si="507"/>
        <v>0</v>
      </c>
      <c r="CD135" s="2">
        <f t="shared" si="507"/>
        <v>56439699.516700462</v>
      </c>
      <c r="CE135" s="2">
        <f t="shared" si="507"/>
        <v>225758798.06680185</v>
      </c>
      <c r="CF135" s="2">
        <f t="shared" si="507"/>
        <v>114359536.67734489</v>
      </c>
      <c r="CG135" s="2">
        <f t="shared" si="507"/>
        <v>0</v>
      </c>
      <c r="CH135" s="74"/>
      <c r="CM135" s="638"/>
      <c r="CN135" s="638"/>
      <c r="CO135" s="638"/>
      <c r="CP135" s="638"/>
      <c r="CQ135" s="638"/>
      <c r="CR135" s="638"/>
      <c r="CS135" s="638"/>
      <c r="CT135" s="638"/>
      <c r="CU135" s="638"/>
      <c r="CV135" s="638"/>
      <c r="CW135" s="638"/>
      <c r="CX135" s="638"/>
      <c r="CY135" s="638"/>
      <c r="CZ135" s="638"/>
      <c r="DA135" s="638"/>
      <c r="DB135" s="638"/>
      <c r="DC135" s="638"/>
      <c r="DD135" s="638"/>
      <c r="DE135" s="638"/>
      <c r="DF135" s="638"/>
      <c r="DG135" s="647">
        <v>32</v>
      </c>
      <c r="DH135" s="451">
        <f t="shared" ref="DH135:DR135" si="508">DH35+DH87</f>
        <v>0</v>
      </c>
      <c r="DI135" s="451">
        <f t="shared" si="508"/>
        <v>0</v>
      </c>
      <c r="DJ135" s="451">
        <f t="shared" si="508"/>
        <v>0</v>
      </c>
      <c r="DK135" s="451">
        <f t="shared" si="508"/>
        <v>0</v>
      </c>
      <c r="DL135" s="451">
        <f t="shared" si="508"/>
        <v>0</v>
      </c>
      <c r="DM135" s="451">
        <f t="shared" si="508"/>
        <v>42.857142857142854</v>
      </c>
      <c r="DN135" s="451">
        <f t="shared" si="508"/>
        <v>44403.17418239062</v>
      </c>
      <c r="DO135" s="451">
        <f t="shared" si="508"/>
        <v>44346.031325247764</v>
      </c>
      <c r="DP135" s="451">
        <f t="shared" si="508"/>
        <v>0</v>
      </c>
      <c r="DQ135" s="451">
        <f t="shared" si="508"/>
        <v>0</v>
      </c>
      <c r="DR135" s="451">
        <f t="shared" si="508"/>
        <v>0</v>
      </c>
      <c r="DS135" s="123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</row>
    <row r="136" spans="20:134" ht="14.4" thickTop="1" thickBot="1">
      <c r="T136" s="114">
        <v>35</v>
      </c>
      <c r="U136" s="2">
        <f t="shared" ref="U136:AE136" si="509">U36+U88</f>
        <v>0</v>
      </c>
      <c r="V136" s="2">
        <f t="shared" si="509"/>
        <v>0</v>
      </c>
      <c r="W136" s="2">
        <f t="shared" si="509"/>
        <v>0</v>
      </c>
      <c r="X136" s="2">
        <f t="shared" si="509"/>
        <v>0</v>
      </c>
      <c r="Y136" s="2">
        <f t="shared" si="509"/>
        <v>0</v>
      </c>
      <c r="Z136" s="2">
        <f t="shared" si="509"/>
        <v>0</v>
      </c>
      <c r="AA136" s="2">
        <f t="shared" si="509"/>
        <v>2562026.4563573017</v>
      </c>
      <c r="AB136" s="2">
        <f t="shared" si="509"/>
        <v>10587032.660980653</v>
      </c>
      <c r="AC136" s="2">
        <f t="shared" si="509"/>
        <v>3054078.7613611426</v>
      </c>
      <c r="AD136" s="2">
        <f t="shared" si="509"/>
        <v>0</v>
      </c>
      <c r="AE136" s="2">
        <f t="shared" si="509"/>
        <v>0</v>
      </c>
      <c r="AF136" s="114">
        <v>35</v>
      </c>
      <c r="AG136" s="2">
        <f t="shared" ref="AG136:AP136" si="510">AG36+AG88</f>
        <v>0</v>
      </c>
      <c r="AH136" s="2">
        <f t="shared" si="510"/>
        <v>0</v>
      </c>
      <c r="AI136" s="2">
        <f t="shared" si="510"/>
        <v>0</v>
      </c>
      <c r="AJ136" s="2">
        <f t="shared" si="510"/>
        <v>0</v>
      </c>
      <c r="AK136" s="2">
        <f t="shared" si="510"/>
        <v>0</v>
      </c>
      <c r="AL136" s="2">
        <f t="shared" si="510"/>
        <v>0</v>
      </c>
      <c r="AM136" s="2">
        <f t="shared" si="510"/>
        <v>89670925.972505569</v>
      </c>
      <c r="AN136" s="2">
        <f t="shared" si="510"/>
        <v>370546143.13432282</v>
      </c>
      <c r="AO136" s="2">
        <f t="shared" si="510"/>
        <v>106892756.64763999</v>
      </c>
      <c r="AP136" s="2">
        <f t="shared" si="510"/>
        <v>0</v>
      </c>
      <c r="AQ136" s="74"/>
      <c r="AR136" s="1"/>
      <c r="AS136" s="1"/>
      <c r="AT136" s="1"/>
      <c r="AU136" s="1"/>
      <c r="AV136" s="1"/>
      <c r="AW136" s="1"/>
      <c r="BK136" s="114">
        <v>35</v>
      </c>
      <c r="BL136" s="2">
        <f t="shared" ref="BL136:BV136" si="511">BL36+BL88</f>
        <v>0</v>
      </c>
      <c r="BM136" s="2">
        <f t="shared" si="511"/>
        <v>0</v>
      </c>
      <c r="BN136" s="2">
        <f t="shared" si="511"/>
        <v>0</v>
      </c>
      <c r="BO136" s="2">
        <f t="shared" si="511"/>
        <v>0</v>
      </c>
      <c r="BP136" s="2">
        <f t="shared" si="511"/>
        <v>0</v>
      </c>
      <c r="BQ136" s="2">
        <f t="shared" si="511"/>
        <v>0</v>
      </c>
      <c r="BR136" s="2">
        <f t="shared" si="511"/>
        <v>0</v>
      </c>
      <c r="BS136" s="2">
        <f t="shared" si="511"/>
        <v>2064215.4657036175</v>
      </c>
      <c r="BT136" s="2">
        <f t="shared" si="511"/>
        <v>3526833.494937453</v>
      </c>
      <c r="BU136" s="2">
        <f t="shared" si="511"/>
        <v>0</v>
      </c>
      <c r="BV136" s="2">
        <f t="shared" si="511"/>
        <v>0</v>
      </c>
      <c r="BW136" s="114">
        <v>35</v>
      </c>
      <c r="BX136" s="2">
        <f t="shared" ref="BX136:CG136" si="512">BX36+BX88</f>
        <v>0</v>
      </c>
      <c r="BY136" s="2">
        <f t="shared" si="512"/>
        <v>0</v>
      </c>
      <c r="BZ136" s="2">
        <f t="shared" si="512"/>
        <v>0</v>
      </c>
      <c r="CA136" s="2">
        <f t="shared" si="512"/>
        <v>0</v>
      </c>
      <c r="CB136" s="2">
        <f t="shared" si="512"/>
        <v>0</v>
      </c>
      <c r="CC136" s="2">
        <f t="shared" si="512"/>
        <v>0</v>
      </c>
      <c r="CD136" s="2">
        <f t="shared" si="512"/>
        <v>0</v>
      </c>
      <c r="CE136" s="2">
        <f t="shared" si="512"/>
        <v>72247541.299626619</v>
      </c>
      <c r="CF136" s="2">
        <f t="shared" si="512"/>
        <v>123439172.32281086</v>
      </c>
      <c r="CG136" s="2">
        <f t="shared" si="512"/>
        <v>0</v>
      </c>
      <c r="CH136" s="74"/>
      <c r="CM136" s="638"/>
      <c r="CN136" s="638"/>
      <c r="CO136" s="638"/>
      <c r="CP136" s="638"/>
      <c r="CQ136" s="638"/>
      <c r="CR136" s="638"/>
      <c r="CS136" s="638"/>
      <c r="CT136" s="638"/>
      <c r="CU136" s="638"/>
      <c r="CV136" s="638"/>
      <c r="CW136" s="638"/>
      <c r="CX136" s="638"/>
      <c r="CY136" s="638"/>
      <c r="CZ136" s="638"/>
      <c r="DA136" s="638"/>
      <c r="DB136" s="638"/>
      <c r="DC136" s="638"/>
      <c r="DD136" s="638"/>
      <c r="DE136" s="638"/>
      <c r="DF136" s="638"/>
      <c r="DG136" s="647">
        <v>33</v>
      </c>
      <c r="DH136" s="451">
        <f t="shared" ref="DH136:DR136" si="513">DH36+DH88</f>
        <v>0</v>
      </c>
      <c r="DI136" s="451">
        <f t="shared" si="513"/>
        <v>0</v>
      </c>
      <c r="DJ136" s="451">
        <f t="shared" si="513"/>
        <v>0</v>
      </c>
      <c r="DK136" s="451">
        <f t="shared" si="513"/>
        <v>0</v>
      </c>
      <c r="DL136" s="451">
        <f t="shared" si="513"/>
        <v>0</v>
      </c>
      <c r="DM136" s="451">
        <f t="shared" si="513"/>
        <v>25</v>
      </c>
      <c r="DN136" s="451">
        <f t="shared" si="513"/>
        <v>10459.485284169388</v>
      </c>
      <c r="DO136" s="451">
        <f t="shared" si="513"/>
        <v>31253.455852508163</v>
      </c>
      <c r="DP136" s="451">
        <f t="shared" si="513"/>
        <v>0</v>
      </c>
      <c r="DQ136" s="451">
        <f t="shared" si="513"/>
        <v>0</v>
      </c>
      <c r="DR136" s="451">
        <f t="shared" si="513"/>
        <v>0</v>
      </c>
      <c r="DS136" s="123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</row>
    <row r="137" spans="20:134" ht="14.4" thickTop="1" thickBot="1">
      <c r="T137" s="114">
        <v>36</v>
      </c>
      <c r="U137" s="2">
        <f t="shared" ref="U137:AE137" si="514">U37+U89</f>
        <v>0</v>
      </c>
      <c r="V137" s="2">
        <f t="shared" si="514"/>
        <v>0</v>
      </c>
      <c r="W137" s="2">
        <f t="shared" si="514"/>
        <v>0</v>
      </c>
      <c r="X137" s="2">
        <f t="shared" si="514"/>
        <v>0</v>
      </c>
      <c r="Y137" s="2">
        <f t="shared" si="514"/>
        <v>0</v>
      </c>
      <c r="Z137" s="2">
        <f t="shared" si="514"/>
        <v>0</v>
      </c>
      <c r="AA137" s="2">
        <f t="shared" si="514"/>
        <v>0</v>
      </c>
      <c r="AB137" s="2">
        <f t="shared" si="514"/>
        <v>2154121.7064010035</v>
      </c>
      <c r="AC137" s="2">
        <f t="shared" si="514"/>
        <v>1911700.4083475843</v>
      </c>
      <c r="AD137" s="2">
        <f t="shared" si="514"/>
        <v>0</v>
      </c>
      <c r="AE137" s="2">
        <f t="shared" si="514"/>
        <v>0</v>
      </c>
      <c r="AF137" s="114">
        <v>36</v>
      </c>
      <c r="AG137" s="2">
        <f t="shared" ref="AG137:AP137" si="515">AG37+AG89</f>
        <v>0</v>
      </c>
      <c r="AH137" s="2">
        <f t="shared" si="515"/>
        <v>0</v>
      </c>
      <c r="AI137" s="2">
        <f t="shared" si="515"/>
        <v>0</v>
      </c>
      <c r="AJ137" s="2">
        <f t="shared" si="515"/>
        <v>0</v>
      </c>
      <c r="AK137" s="2">
        <f t="shared" si="515"/>
        <v>0</v>
      </c>
      <c r="AL137" s="2">
        <f t="shared" si="515"/>
        <v>0</v>
      </c>
      <c r="AM137" s="2">
        <f t="shared" si="515"/>
        <v>0</v>
      </c>
      <c r="AN137" s="2">
        <f t="shared" si="515"/>
        <v>77548381.430436134</v>
      </c>
      <c r="AO137" s="2">
        <f t="shared" si="515"/>
        <v>68821214.700513035</v>
      </c>
      <c r="AP137" s="2">
        <f t="shared" si="515"/>
        <v>0</v>
      </c>
      <c r="AQ137" s="74"/>
      <c r="AR137" s="1"/>
      <c r="AS137" s="1"/>
      <c r="AT137" s="1"/>
      <c r="AU137" s="1"/>
      <c r="AV137" s="1"/>
      <c r="AW137" s="1"/>
      <c r="BK137" s="114">
        <v>36</v>
      </c>
      <c r="BL137" s="2">
        <f t="shared" ref="BL137:BV137" si="516">BL37+BL89</f>
        <v>0</v>
      </c>
      <c r="BM137" s="2">
        <f t="shared" si="516"/>
        <v>0</v>
      </c>
      <c r="BN137" s="2">
        <f t="shared" si="516"/>
        <v>0</v>
      </c>
      <c r="BO137" s="2">
        <f t="shared" si="516"/>
        <v>0</v>
      </c>
      <c r="BP137" s="2">
        <f t="shared" si="516"/>
        <v>0</v>
      </c>
      <c r="BQ137" s="2">
        <f t="shared" si="516"/>
        <v>0</v>
      </c>
      <c r="BR137" s="2">
        <f t="shared" si="516"/>
        <v>0</v>
      </c>
      <c r="BS137" s="2">
        <f t="shared" si="516"/>
        <v>823294.34780289093</v>
      </c>
      <c r="BT137" s="2">
        <f t="shared" si="516"/>
        <v>2827465.4860229064</v>
      </c>
      <c r="BU137" s="2">
        <f t="shared" si="516"/>
        <v>0</v>
      </c>
      <c r="BV137" s="2">
        <f t="shared" si="516"/>
        <v>0</v>
      </c>
      <c r="BW137" s="114">
        <v>36</v>
      </c>
      <c r="BX137" s="2">
        <f t="shared" ref="BX137:CG137" si="517">BX37+BX89</f>
        <v>0</v>
      </c>
      <c r="BY137" s="2">
        <f t="shared" si="517"/>
        <v>0</v>
      </c>
      <c r="BZ137" s="2">
        <f t="shared" si="517"/>
        <v>0</v>
      </c>
      <c r="CA137" s="2">
        <f t="shared" si="517"/>
        <v>0</v>
      </c>
      <c r="CB137" s="2">
        <f t="shared" si="517"/>
        <v>0</v>
      </c>
      <c r="CC137" s="2">
        <f t="shared" si="517"/>
        <v>0</v>
      </c>
      <c r="CD137" s="2">
        <f t="shared" si="517"/>
        <v>0</v>
      </c>
      <c r="CE137" s="2">
        <f t="shared" si="517"/>
        <v>29638596.520904072</v>
      </c>
      <c r="CF137" s="2">
        <f t="shared" si="517"/>
        <v>101788757.49682462</v>
      </c>
      <c r="CG137" s="2">
        <f t="shared" si="517"/>
        <v>0</v>
      </c>
      <c r="CH137" s="74"/>
      <c r="CM137" s="638"/>
      <c r="CN137" s="638"/>
      <c r="CO137" s="638"/>
      <c r="CP137" s="638"/>
      <c r="CQ137" s="638"/>
      <c r="CR137" s="638"/>
      <c r="CS137" s="638"/>
      <c r="CT137" s="638"/>
      <c r="CU137" s="638"/>
      <c r="CV137" s="638"/>
      <c r="CW137" s="638"/>
      <c r="CX137" s="638"/>
      <c r="CY137" s="638"/>
      <c r="CZ137" s="638"/>
      <c r="DA137" s="638"/>
      <c r="DB137" s="638"/>
      <c r="DC137" s="638"/>
      <c r="DD137" s="638"/>
      <c r="DE137" s="638"/>
      <c r="DF137" s="638"/>
      <c r="DG137" s="647">
        <v>34</v>
      </c>
      <c r="DH137" s="451">
        <f t="shared" ref="DH137:DR137" si="518">DH37+DH89</f>
        <v>0</v>
      </c>
      <c r="DI137" s="451">
        <f t="shared" si="518"/>
        <v>0</v>
      </c>
      <c r="DJ137" s="451">
        <f t="shared" si="518"/>
        <v>0</v>
      </c>
      <c r="DK137" s="451">
        <f t="shared" si="518"/>
        <v>0</v>
      </c>
      <c r="DL137" s="451">
        <f t="shared" si="518"/>
        <v>0</v>
      </c>
      <c r="DM137" s="451">
        <f t="shared" si="518"/>
        <v>0</v>
      </c>
      <c r="DN137" s="451">
        <f t="shared" si="518"/>
        <v>20</v>
      </c>
      <c r="DO137" s="451">
        <f t="shared" si="518"/>
        <v>18798.527906361465</v>
      </c>
      <c r="DP137" s="451">
        <f t="shared" si="518"/>
        <v>0</v>
      </c>
      <c r="DQ137" s="451">
        <f t="shared" si="518"/>
        <v>0</v>
      </c>
      <c r="DR137" s="451">
        <f t="shared" si="518"/>
        <v>0</v>
      </c>
      <c r="DS137" s="123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</row>
    <row r="138" spans="20:134" ht="14.4" thickTop="1" thickBot="1">
      <c r="T138" s="114">
        <v>37</v>
      </c>
      <c r="U138" s="2">
        <f t="shared" ref="U138:AE138" si="519">U38+U90</f>
        <v>0</v>
      </c>
      <c r="V138" s="2">
        <f t="shared" si="519"/>
        <v>0</v>
      </c>
      <c r="W138" s="2">
        <f t="shared" si="519"/>
        <v>0</v>
      </c>
      <c r="X138" s="2">
        <f t="shared" si="519"/>
        <v>0</v>
      </c>
      <c r="Y138" s="2">
        <f t="shared" si="519"/>
        <v>0</v>
      </c>
      <c r="Z138" s="2">
        <f t="shared" si="519"/>
        <v>0</v>
      </c>
      <c r="AA138" s="2">
        <f t="shared" si="519"/>
        <v>51499.589991475892</v>
      </c>
      <c r="AB138" s="2">
        <f t="shared" si="519"/>
        <v>737811.80284697621</v>
      </c>
      <c r="AC138" s="2">
        <f t="shared" si="519"/>
        <v>2745248.8514220011</v>
      </c>
      <c r="AD138" s="2">
        <f t="shared" si="519"/>
        <v>0</v>
      </c>
      <c r="AE138" s="2">
        <f t="shared" si="519"/>
        <v>0</v>
      </c>
      <c r="AF138" s="114">
        <v>37</v>
      </c>
      <c r="AG138" s="2">
        <f t="shared" ref="AG138:AP138" si="520">AG38+AG90</f>
        <v>0</v>
      </c>
      <c r="AH138" s="2">
        <f t="shared" si="520"/>
        <v>0</v>
      </c>
      <c r="AI138" s="2">
        <f t="shared" si="520"/>
        <v>0</v>
      </c>
      <c r="AJ138" s="2">
        <f t="shared" si="520"/>
        <v>0</v>
      </c>
      <c r="AK138" s="2">
        <f t="shared" si="520"/>
        <v>0</v>
      </c>
      <c r="AL138" s="2">
        <f t="shared" si="520"/>
        <v>0</v>
      </c>
      <c r="AM138" s="2">
        <f t="shared" si="520"/>
        <v>1905484.8296846079</v>
      </c>
      <c r="AN138" s="2">
        <f t="shared" si="520"/>
        <v>27299036.70533812</v>
      </c>
      <c r="AO138" s="2">
        <f t="shared" si="520"/>
        <v>101574207.50261404</v>
      </c>
      <c r="AP138" s="2">
        <f t="shared" si="520"/>
        <v>0</v>
      </c>
      <c r="AQ138" s="74"/>
      <c r="AR138" s="1"/>
      <c r="AS138" s="1"/>
      <c r="AT138" s="1"/>
      <c r="AU138" s="1"/>
      <c r="AV138" s="1"/>
      <c r="AW138" s="1"/>
      <c r="BK138" s="114">
        <v>37</v>
      </c>
      <c r="BL138" s="2">
        <f t="shared" ref="BL138:BV138" si="521">BL38+BL90</f>
        <v>0</v>
      </c>
      <c r="BM138" s="2">
        <f t="shared" si="521"/>
        <v>0</v>
      </c>
      <c r="BN138" s="2">
        <f t="shared" si="521"/>
        <v>0</v>
      </c>
      <c r="BO138" s="2">
        <f t="shared" si="521"/>
        <v>0</v>
      </c>
      <c r="BP138" s="2">
        <f t="shared" si="521"/>
        <v>0</v>
      </c>
      <c r="BQ138" s="2">
        <f t="shared" si="521"/>
        <v>0</v>
      </c>
      <c r="BR138" s="2">
        <f t="shared" si="521"/>
        <v>0</v>
      </c>
      <c r="BS138" s="2">
        <f t="shared" si="521"/>
        <v>0</v>
      </c>
      <c r="BT138" s="2">
        <f t="shared" si="521"/>
        <v>2230481.0244165272</v>
      </c>
      <c r="BU138" s="2">
        <f t="shared" si="521"/>
        <v>1048142.3600047913</v>
      </c>
      <c r="BV138" s="2">
        <f t="shared" si="521"/>
        <v>0</v>
      </c>
      <c r="BW138" s="114">
        <v>37</v>
      </c>
      <c r="BX138" s="2">
        <f t="shared" ref="BX138:CG138" si="522">BX38+BX90</f>
        <v>0</v>
      </c>
      <c r="BY138" s="2">
        <f t="shared" si="522"/>
        <v>0</v>
      </c>
      <c r="BZ138" s="2">
        <f t="shared" si="522"/>
        <v>0</v>
      </c>
      <c r="CA138" s="2">
        <f t="shared" si="522"/>
        <v>0</v>
      </c>
      <c r="CB138" s="2">
        <f t="shared" si="522"/>
        <v>0</v>
      </c>
      <c r="CC138" s="2">
        <f t="shared" si="522"/>
        <v>0</v>
      </c>
      <c r="CD138" s="2">
        <f t="shared" si="522"/>
        <v>0</v>
      </c>
      <c r="CE138" s="2">
        <f t="shared" si="522"/>
        <v>0</v>
      </c>
      <c r="CF138" s="2">
        <f t="shared" si="522"/>
        <v>82527797.903411508</v>
      </c>
      <c r="CG138" s="2">
        <f t="shared" si="522"/>
        <v>38781267.320177279</v>
      </c>
      <c r="CH138" s="74"/>
      <c r="CM138" s="638"/>
      <c r="CN138" s="638"/>
      <c r="CO138" s="638"/>
      <c r="CP138" s="638"/>
      <c r="CQ138" s="638"/>
      <c r="CR138" s="638"/>
      <c r="CS138" s="638"/>
      <c r="CT138" s="638"/>
      <c r="CU138" s="638"/>
      <c r="CV138" s="638"/>
      <c r="CW138" s="638"/>
      <c r="CX138" s="638"/>
      <c r="CY138" s="638"/>
      <c r="CZ138" s="638"/>
      <c r="DA138" s="638"/>
      <c r="DB138" s="638"/>
      <c r="DC138" s="638"/>
      <c r="DD138" s="638"/>
      <c r="DE138" s="638"/>
      <c r="DF138" s="638"/>
      <c r="DG138" s="647">
        <v>35</v>
      </c>
      <c r="DH138" s="451">
        <f t="shared" ref="DH138:DR138" si="523">DH38+DH90</f>
        <v>0</v>
      </c>
      <c r="DI138" s="451">
        <f t="shared" si="523"/>
        <v>0</v>
      </c>
      <c r="DJ138" s="451">
        <f t="shared" si="523"/>
        <v>0</v>
      </c>
      <c r="DK138" s="451">
        <f t="shared" si="523"/>
        <v>0</v>
      </c>
      <c r="DL138" s="451">
        <f t="shared" si="523"/>
        <v>0</v>
      </c>
      <c r="DM138" s="451">
        <f t="shared" si="523"/>
        <v>0</v>
      </c>
      <c r="DN138" s="451">
        <f t="shared" si="523"/>
        <v>0</v>
      </c>
      <c r="DO138" s="451">
        <f t="shared" si="523"/>
        <v>8485.9963206089615</v>
      </c>
      <c r="DP138" s="451">
        <f t="shared" si="523"/>
        <v>8452.6629872756293</v>
      </c>
      <c r="DQ138" s="451">
        <f t="shared" si="523"/>
        <v>0</v>
      </c>
      <c r="DR138" s="451">
        <f t="shared" si="523"/>
        <v>0</v>
      </c>
      <c r="DS138" s="123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</row>
    <row r="139" spans="20:134" ht="14.4" thickTop="1" thickBot="1">
      <c r="T139" s="114">
        <v>38</v>
      </c>
      <c r="U139" s="2">
        <f t="shared" ref="U139:AE139" si="524">U39+U91</f>
        <v>0</v>
      </c>
      <c r="V139" s="2">
        <f t="shared" si="524"/>
        <v>0</v>
      </c>
      <c r="W139" s="2">
        <f t="shared" si="524"/>
        <v>0</v>
      </c>
      <c r="X139" s="2">
        <f t="shared" si="524"/>
        <v>0</v>
      </c>
      <c r="Y139" s="2">
        <f t="shared" si="524"/>
        <v>0</v>
      </c>
      <c r="Z139" s="2">
        <f t="shared" si="524"/>
        <v>0</v>
      </c>
      <c r="AA139" s="2">
        <f t="shared" si="524"/>
        <v>0</v>
      </c>
      <c r="AB139" s="2">
        <f t="shared" si="524"/>
        <v>2717.1362032205425</v>
      </c>
      <c r="AC139" s="2">
        <f t="shared" si="524"/>
        <v>695431.04269744689</v>
      </c>
      <c r="AD139" s="2">
        <f t="shared" si="524"/>
        <v>1159051.7378290782</v>
      </c>
      <c r="AE139" s="2">
        <f t="shared" si="524"/>
        <v>0</v>
      </c>
      <c r="AF139" s="114">
        <v>38</v>
      </c>
      <c r="AG139" s="2">
        <f t="shared" ref="AG139:AP139" si="525">AG39+AG91</f>
        <v>0</v>
      </c>
      <c r="AH139" s="2">
        <f t="shared" si="525"/>
        <v>0</v>
      </c>
      <c r="AI139" s="2">
        <f t="shared" si="525"/>
        <v>0</v>
      </c>
      <c r="AJ139" s="2">
        <f t="shared" si="525"/>
        <v>0</v>
      </c>
      <c r="AK139" s="2">
        <f t="shared" si="525"/>
        <v>0</v>
      </c>
      <c r="AL139" s="2">
        <f t="shared" si="525"/>
        <v>0</v>
      </c>
      <c r="AM139" s="2">
        <f t="shared" si="525"/>
        <v>0</v>
      </c>
      <c r="AN139" s="2">
        <f t="shared" si="525"/>
        <v>103251.17572238062</v>
      </c>
      <c r="AO139" s="2">
        <f t="shared" si="525"/>
        <v>26426379.622502983</v>
      </c>
      <c r="AP139" s="2">
        <f t="shared" si="525"/>
        <v>44043966.037504971</v>
      </c>
      <c r="AQ139" s="74"/>
      <c r="AR139" s="1"/>
      <c r="AS139" s="1"/>
      <c r="AT139" s="1"/>
      <c r="AU139" s="1"/>
      <c r="AV139" s="1"/>
      <c r="AW139" s="1"/>
      <c r="BK139" s="114">
        <v>38</v>
      </c>
      <c r="BL139" s="2">
        <f t="shared" ref="BL139:BV139" si="526">BL39+BL91</f>
        <v>0</v>
      </c>
      <c r="BM139" s="2">
        <f t="shared" si="526"/>
        <v>0</v>
      </c>
      <c r="BN139" s="2">
        <f t="shared" si="526"/>
        <v>0</v>
      </c>
      <c r="BO139" s="2">
        <f t="shared" si="526"/>
        <v>0</v>
      </c>
      <c r="BP139" s="2">
        <f t="shared" si="526"/>
        <v>0</v>
      </c>
      <c r="BQ139" s="2">
        <f t="shared" si="526"/>
        <v>0</v>
      </c>
      <c r="BR139" s="2">
        <f t="shared" si="526"/>
        <v>0</v>
      </c>
      <c r="BS139" s="2">
        <f t="shared" si="526"/>
        <v>0</v>
      </c>
      <c r="BT139" s="2">
        <f t="shared" si="526"/>
        <v>2450978.9244064749</v>
      </c>
      <c r="BU139" s="2">
        <f t="shared" si="526"/>
        <v>288722.80735254497</v>
      </c>
      <c r="BV139" s="2">
        <f t="shared" si="526"/>
        <v>0</v>
      </c>
      <c r="BW139" s="114">
        <v>38</v>
      </c>
      <c r="BX139" s="2">
        <f t="shared" ref="BX139:CG139" si="527">BX39+BX91</f>
        <v>0</v>
      </c>
      <c r="BY139" s="2">
        <f t="shared" si="527"/>
        <v>0</v>
      </c>
      <c r="BZ139" s="2">
        <f t="shared" si="527"/>
        <v>0</v>
      </c>
      <c r="CA139" s="2">
        <f t="shared" si="527"/>
        <v>0</v>
      </c>
      <c r="CB139" s="2">
        <f t="shared" si="527"/>
        <v>0</v>
      </c>
      <c r="CC139" s="2">
        <f t="shared" si="527"/>
        <v>0</v>
      </c>
      <c r="CD139" s="2">
        <f t="shared" si="527"/>
        <v>0</v>
      </c>
      <c r="CE139" s="2">
        <f t="shared" si="527"/>
        <v>0</v>
      </c>
      <c r="CF139" s="2">
        <f t="shared" si="527"/>
        <v>93137199.127446041</v>
      </c>
      <c r="CG139" s="2">
        <f t="shared" si="527"/>
        <v>10971466.679396709</v>
      </c>
      <c r="CH139" s="74"/>
      <c r="CM139" s="638"/>
      <c r="CN139" s="638"/>
      <c r="CO139" s="638"/>
      <c r="CP139" s="638"/>
      <c r="CQ139" s="638"/>
      <c r="CR139" s="638"/>
      <c r="CS139" s="638"/>
      <c r="CT139" s="638"/>
      <c r="CU139" s="638"/>
      <c r="CV139" s="638"/>
      <c r="CW139" s="638"/>
      <c r="CX139" s="638"/>
      <c r="CY139" s="638"/>
      <c r="CZ139" s="638"/>
      <c r="DA139" s="638"/>
      <c r="DB139" s="638"/>
      <c r="DC139" s="638"/>
      <c r="DD139" s="638"/>
      <c r="DE139" s="638"/>
      <c r="DF139" s="638"/>
      <c r="DG139" s="647">
        <v>36</v>
      </c>
      <c r="DH139" s="451">
        <f t="shared" ref="DH139:DR139" si="528">DH39+DH91</f>
        <v>0</v>
      </c>
      <c r="DI139" s="451">
        <f t="shared" si="528"/>
        <v>0</v>
      </c>
      <c r="DJ139" s="451">
        <f t="shared" si="528"/>
        <v>0</v>
      </c>
      <c r="DK139" s="451">
        <f t="shared" si="528"/>
        <v>0</v>
      </c>
      <c r="DL139" s="451">
        <f t="shared" si="528"/>
        <v>0</v>
      </c>
      <c r="DM139" s="451">
        <f t="shared" si="528"/>
        <v>0</v>
      </c>
      <c r="DN139" s="451">
        <f t="shared" si="528"/>
        <v>0</v>
      </c>
      <c r="DO139" s="451">
        <f t="shared" si="528"/>
        <v>2755.1906175095214</v>
      </c>
      <c r="DP139" s="451">
        <f t="shared" si="528"/>
        <v>8165.5718525285647</v>
      </c>
      <c r="DQ139" s="451">
        <f t="shared" si="528"/>
        <v>0</v>
      </c>
      <c r="DR139" s="451">
        <f t="shared" si="528"/>
        <v>0</v>
      </c>
      <c r="DS139" s="123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</row>
    <row r="140" spans="20:134" ht="14.4" thickTop="1" thickBot="1">
      <c r="T140" s="114">
        <v>39</v>
      </c>
      <c r="U140" s="2">
        <f t="shared" ref="U140:AE140" si="529">U40+U92</f>
        <v>0</v>
      </c>
      <c r="V140" s="2">
        <f t="shared" si="529"/>
        <v>0</v>
      </c>
      <c r="W140" s="2">
        <f t="shared" si="529"/>
        <v>0</v>
      </c>
      <c r="X140" s="2">
        <f t="shared" si="529"/>
        <v>0</v>
      </c>
      <c r="Y140" s="2">
        <f t="shared" si="529"/>
        <v>0</v>
      </c>
      <c r="Z140" s="2">
        <f t="shared" si="529"/>
        <v>0</v>
      </c>
      <c r="AA140" s="2">
        <f t="shared" si="529"/>
        <v>0</v>
      </c>
      <c r="AB140" s="2">
        <f t="shared" si="529"/>
        <v>11300.230401670624</v>
      </c>
      <c r="AC140" s="2">
        <f t="shared" si="529"/>
        <v>0</v>
      </c>
      <c r="AD140" s="2">
        <f t="shared" si="529"/>
        <v>749675.81845267024</v>
      </c>
      <c r="AE140" s="2">
        <f t="shared" si="529"/>
        <v>0</v>
      </c>
      <c r="AF140" s="114">
        <v>39</v>
      </c>
      <c r="AG140" s="2">
        <f t="shared" ref="AG140:AP140" si="530">AG40+AG92</f>
        <v>0</v>
      </c>
      <c r="AH140" s="2">
        <f t="shared" si="530"/>
        <v>0</v>
      </c>
      <c r="AI140" s="2">
        <f t="shared" si="530"/>
        <v>0</v>
      </c>
      <c r="AJ140" s="2">
        <f t="shared" si="530"/>
        <v>0</v>
      </c>
      <c r="AK140" s="2">
        <f t="shared" si="530"/>
        <v>0</v>
      </c>
      <c r="AL140" s="2">
        <f t="shared" si="530"/>
        <v>0</v>
      </c>
      <c r="AM140" s="2">
        <f t="shared" si="530"/>
        <v>0</v>
      </c>
      <c r="AN140" s="2">
        <f t="shared" si="530"/>
        <v>440708.98566515435</v>
      </c>
      <c r="AO140" s="2">
        <f t="shared" si="530"/>
        <v>0</v>
      </c>
      <c r="AP140" s="2">
        <f t="shared" si="530"/>
        <v>29237356.919654138</v>
      </c>
      <c r="AQ140" s="74"/>
      <c r="AR140" s="1"/>
      <c r="AS140" s="1"/>
      <c r="AT140" s="1"/>
      <c r="AU140" s="1"/>
      <c r="AV140" s="1"/>
      <c r="AW140" s="1"/>
      <c r="BK140" s="114">
        <v>39</v>
      </c>
      <c r="BL140" s="2">
        <f t="shared" ref="BL140:BV140" si="531">BL40+BL92</f>
        <v>0</v>
      </c>
      <c r="BM140" s="2">
        <f t="shared" si="531"/>
        <v>0</v>
      </c>
      <c r="BN140" s="2">
        <f t="shared" si="531"/>
        <v>0</v>
      </c>
      <c r="BO140" s="2">
        <f t="shared" si="531"/>
        <v>0</v>
      </c>
      <c r="BP140" s="2">
        <f t="shared" si="531"/>
        <v>0</v>
      </c>
      <c r="BQ140" s="2">
        <f t="shared" si="531"/>
        <v>0</v>
      </c>
      <c r="BR140" s="2">
        <f t="shared" si="531"/>
        <v>0</v>
      </c>
      <c r="BS140" s="2">
        <f t="shared" si="531"/>
        <v>0</v>
      </c>
      <c r="BT140" s="2">
        <f t="shared" si="531"/>
        <v>1693817.4875703552</v>
      </c>
      <c r="BU140" s="2">
        <f t="shared" si="531"/>
        <v>419256.9440019165</v>
      </c>
      <c r="BV140" s="2">
        <f t="shared" si="531"/>
        <v>0</v>
      </c>
      <c r="BW140" s="114">
        <v>39</v>
      </c>
      <c r="BX140" s="2">
        <f t="shared" ref="BX140:CG140" si="532">BX40+BX92</f>
        <v>0</v>
      </c>
      <c r="BY140" s="2">
        <f t="shared" si="532"/>
        <v>0</v>
      </c>
      <c r="BZ140" s="2">
        <f t="shared" si="532"/>
        <v>0</v>
      </c>
      <c r="CA140" s="2">
        <f t="shared" si="532"/>
        <v>0</v>
      </c>
      <c r="CB140" s="2">
        <f t="shared" si="532"/>
        <v>0</v>
      </c>
      <c r="CC140" s="2">
        <f t="shared" si="532"/>
        <v>0</v>
      </c>
      <c r="CD140" s="2">
        <f t="shared" si="532"/>
        <v>0</v>
      </c>
      <c r="CE140" s="2">
        <f t="shared" si="532"/>
        <v>0</v>
      </c>
      <c r="CF140" s="2">
        <f t="shared" si="532"/>
        <v>66058882.015243851</v>
      </c>
      <c r="CG140" s="2">
        <f t="shared" si="532"/>
        <v>16351020.816074744</v>
      </c>
      <c r="CH140" s="74"/>
      <c r="CM140" s="638"/>
      <c r="CN140" s="638"/>
      <c r="CO140" s="638"/>
      <c r="CP140" s="638"/>
      <c r="CQ140" s="638"/>
      <c r="CR140" s="638"/>
      <c r="CS140" s="638"/>
      <c r="CT140" s="638"/>
      <c r="CU140" s="638"/>
      <c r="CV140" s="638"/>
      <c r="CW140" s="638"/>
      <c r="CX140" s="638"/>
      <c r="CY140" s="638"/>
      <c r="CZ140" s="638"/>
      <c r="DA140" s="638"/>
      <c r="DB140" s="638"/>
      <c r="DC140" s="638"/>
      <c r="DD140" s="638"/>
      <c r="DE140" s="638"/>
      <c r="DF140" s="638"/>
      <c r="DG140" s="647">
        <v>37</v>
      </c>
      <c r="DH140" s="451">
        <f t="shared" ref="DH140:DR140" si="533">DH40+DH92</f>
        <v>0</v>
      </c>
      <c r="DI140" s="451">
        <f t="shared" si="533"/>
        <v>0</v>
      </c>
      <c r="DJ140" s="451">
        <f t="shared" si="533"/>
        <v>0</v>
      </c>
      <c r="DK140" s="451">
        <f t="shared" si="533"/>
        <v>0</v>
      </c>
      <c r="DL140" s="451">
        <f t="shared" si="533"/>
        <v>0</v>
      </c>
      <c r="DM140" s="451">
        <f t="shared" si="533"/>
        <v>0</v>
      </c>
      <c r="DN140" s="451">
        <f t="shared" si="533"/>
        <v>0</v>
      </c>
      <c r="DO140" s="451">
        <f t="shared" si="533"/>
        <v>0</v>
      </c>
      <c r="DP140" s="451">
        <f t="shared" si="533"/>
        <v>3932.9646838553822</v>
      </c>
      <c r="DQ140" s="451">
        <f t="shared" si="533"/>
        <v>11698.894051566147</v>
      </c>
      <c r="DR140" s="451">
        <f t="shared" si="533"/>
        <v>0</v>
      </c>
      <c r="DS140" s="123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</row>
    <row r="141" spans="20:134" ht="14.4" thickTop="1" thickBot="1">
      <c r="T141" s="114">
        <v>40</v>
      </c>
      <c r="U141" s="2">
        <f t="shared" ref="U141:AE141" si="534">U41+U93</f>
        <v>0</v>
      </c>
      <c r="V141" s="2">
        <f t="shared" si="534"/>
        <v>0</v>
      </c>
      <c r="W141" s="2">
        <f t="shared" si="534"/>
        <v>0</v>
      </c>
      <c r="X141" s="2">
        <f t="shared" si="534"/>
        <v>0</v>
      </c>
      <c r="Y141" s="2">
        <f t="shared" si="534"/>
        <v>0</v>
      </c>
      <c r="Z141" s="2">
        <f t="shared" si="534"/>
        <v>0</v>
      </c>
      <c r="AA141" s="2">
        <f t="shared" si="534"/>
        <v>0</v>
      </c>
      <c r="AB141" s="2">
        <f t="shared" si="534"/>
        <v>0</v>
      </c>
      <c r="AC141" s="2">
        <f t="shared" si="534"/>
        <v>0</v>
      </c>
      <c r="AD141" s="2">
        <f t="shared" si="534"/>
        <v>129336.15818393139</v>
      </c>
      <c r="AE141" s="2">
        <f t="shared" si="534"/>
        <v>0</v>
      </c>
      <c r="AF141" s="114">
        <v>40</v>
      </c>
      <c r="AG141" s="2">
        <f t="shared" ref="AG141:AP141" si="535">AG41+AG93</f>
        <v>0</v>
      </c>
      <c r="AH141" s="2">
        <f t="shared" si="535"/>
        <v>0</v>
      </c>
      <c r="AI141" s="2">
        <f t="shared" si="535"/>
        <v>0</v>
      </c>
      <c r="AJ141" s="2">
        <f t="shared" si="535"/>
        <v>0</v>
      </c>
      <c r="AK141" s="2">
        <f t="shared" si="535"/>
        <v>0</v>
      </c>
      <c r="AL141" s="2">
        <f t="shared" si="535"/>
        <v>0</v>
      </c>
      <c r="AM141" s="2">
        <f t="shared" si="535"/>
        <v>0</v>
      </c>
      <c r="AN141" s="2">
        <f t="shared" si="535"/>
        <v>0</v>
      </c>
      <c r="AO141" s="2">
        <f t="shared" si="535"/>
        <v>0</v>
      </c>
      <c r="AP141" s="2">
        <f t="shared" si="535"/>
        <v>5173446.3273572559</v>
      </c>
      <c r="AQ141" s="74"/>
      <c r="AR141" s="1"/>
      <c r="AS141" s="1"/>
      <c r="AT141" s="1"/>
      <c r="AU141" s="1"/>
      <c r="AV141" s="1"/>
      <c r="AW141" s="1"/>
      <c r="BK141" s="114">
        <v>40</v>
      </c>
      <c r="BL141" s="2">
        <f t="shared" ref="BL141:BV141" si="536">BL41+BL93</f>
        <v>0</v>
      </c>
      <c r="BM141" s="2">
        <f t="shared" si="536"/>
        <v>0</v>
      </c>
      <c r="BN141" s="2">
        <f t="shared" si="536"/>
        <v>0</v>
      </c>
      <c r="BO141" s="2">
        <f t="shared" si="536"/>
        <v>0</v>
      </c>
      <c r="BP141" s="2">
        <f t="shared" si="536"/>
        <v>0</v>
      </c>
      <c r="BQ141" s="2">
        <f t="shared" si="536"/>
        <v>0</v>
      </c>
      <c r="BR141" s="2">
        <f t="shared" si="536"/>
        <v>0</v>
      </c>
      <c r="BS141" s="2">
        <f t="shared" si="536"/>
        <v>0</v>
      </c>
      <c r="BT141" s="2">
        <f t="shared" si="536"/>
        <v>754205.21534966095</v>
      </c>
      <c r="BU141" s="2">
        <f t="shared" si="536"/>
        <v>353989.87567723083</v>
      </c>
      <c r="BV141" s="2">
        <f t="shared" si="536"/>
        <v>0</v>
      </c>
      <c r="BW141" s="114">
        <v>40</v>
      </c>
      <c r="BX141" s="2">
        <f t="shared" ref="BX141:CG141" si="537">BX41+BX93</f>
        <v>0</v>
      </c>
      <c r="BY141" s="2">
        <f t="shared" si="537"/>
        <v>0</v>
      </c>
      <c r="BZ141" s="2">
        <f t="shared" si="537"/>
        <v>0</v>
      </c>
      <c r="CA141" s="2">
        <f t="shared" si="537"/>
        <v>0</v>
      </c>
      <c r="CB141" s="2">
        <f t="shared" si="537"/>
        <v>0</v>
      </c>
      <c r="CC141" s="2">
        <f t="shared" si="537"/>
        <v>0</v>
      </c>
      <c r="CD141" s="2">
        <f t="shared" si="537"/>
        <v>0</v>
      </c>
      <c r="CE141" s="2">
        <f t="shared" si="537"/>
        <v>0</v>
      </c>
      <c r="CF141" s="2">
        <f t="shared" si="537"/>
        <v>30168208.61398644</v>
      </c>
      <c r="CG141" s="2">
        <f t="shared" si="537"/>
        <v>14159595.027089233</v>
      </c>
      <c r="CH141" s="74"/>
      <c r="CM141" s="638"/>
      <c r="CN141" s="638"/>
      <c r="CO141" s="638"/>
      <c r="CP141" s="638"/>
      <c r="CQ141" s="638"/>
      <c r="CR141" s="638"/>
      <c r="CS141" s="638"/>
      <c r="CT141" s="638"/>
      <c r="CU141" s="638"/>
      <c r="CV141" s="638"/>
      <c r="CW141" s="638"/>
      <c r="CX141" s="638"/>
      <c r="CY141" s="638"/>
      <c r="CZ141" s="638"/>
      <c r="DA141" s="638"/>
      <c r="DB141" s="638"/>
      <c r="DC141" s="638"/>
      <c r="DD141" s="638"/>
      <c r="DE141" s="638"/>
      <c r="DF141" s="638"/>
      <c r="DG141" s="647">
        <v>38</v>
      </c>
      <c r="DH141" s="451">
        <f t="shared" ref="DH141:DR141" si="538">DH41+DH93</f>
        <v>0</v>
      </c>
      <c r="DI141" s="451">
        <f t="shared" si="538"/>
        <v>0</v>
      </c>
      <c r="DJ141" s="451">
        <f t="shared" si="538"/>
        <v>0</v>
      </c>
      <c r="DK141" s="451">
        <f t="shared" si="538"/>
        <v>0</v>
      </c>
      <c r="DL141" s="451">
        <f t="shared" si="538"/>
        <v>0</v>
      </c>
      <c r="DM141" s="451">
        <f t="shared" si="538"/>
        <v>0</v>
      </c>
      <c r="DN141" s="451">
        <f t="shared" si="538"/>
        <v>0</v>
      </c>
      <c r="DO141" s="451">
        <f t="shared" si="538"/>
        <v>0</v>
      </c>
      <c r="DP141" s="451">
        <f t="shared" si="538"/>
        <v>0</v>
      </c>
      <c r="DQ141" s="451">
        <f t="shared" si="538"/>
        <v>100</v>
      </c>
      <c r="DR141" s="451">
        <f t="shared" si="538"/>
        <v>0</v>
      </c>
      <c r="DS141" s="123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</row>
    <row r="142" spans="20:134" ht="14.4" thickTop="1" thickBot="1">
      <c r="T142" s="114">
        <v>41</v>
      </c>
      <c r="U142" s="2">
        <f t="shared" ref="U142:AE142" si="539">U42+U94</f>
        <v>0</v>
      </c>
      <c r="V142" s="2">
        <f t="shared" si="539"/>
        <v>0</v>
      </c>
      <c r="W142" s="2">
        <f t="shared" si="539"/>
        <v>0</v>
      </c>
      <c r="X142" s="2">
        <f t="shared" si="539"/>
        <v>0</v>
      </c>
      <c r="Y142" s="2">
        <f t="shared" si="539"/>
        <v>0</v>
      </c>
      <c r="Z142" s="2">
        <f t="shared" si="539"/>
        <v>0</v>
      </c>
      <c r="AA142" s="2">
        <f t="shared" si="539"/>
        <v>0</v>
      </c>
      <c r="AB142" s="2">
        <f t="shared" si="539"/>
        <v>0</v>
      </c>
      <c r="AC142" s="2">
        <f t="shared" si="539"/>
        <v>0</v>
      </c>
      <c r="AD142" s="2">
        <f t="shared" si="539"/>
        <v>0</v>
      </c>
      <c r="AE142" s="2">
        <f t="shared" si="539"/>
        <v>0</v>
      </c>
      <c r="AF142" s="114">
        <v>41</v>
      </c>
      <c r="AG142" s="2">
        <f t="shared" ref="AG142:AP142" si="540">AG42+AG94</f>
        <v>0</v>
      </c>
      <c r="AH142" s="2">
        <f t="shared" si="540"/>
        <v>0</v>
      </c>
      <c r="AI142" s="2">
        <f t="shared" si="540"/>
        <v>0</v>
      </c>
      <c r="AJ142" s="2">
        <f t="shared" si="540"/>
        <v>0</v>
      </c>
      <c r="AK142" s="2">
        <f t="shared" si="540"/>
        <v>0</v>
      </c>
      <c r="AL142" s="2">
        <f t="shared" si="540"/>
        <v>0</v>
      </c>
      <c r="AM142" s="2">
        <f t="shared" si="540"/>
        <v>0</v>
      </c>
      <c r="AN142" s="2">
        <f t="shared" si="540"/>
        <v>0</v>
      </c>
      <c r="AO142" s="2">
        <f t="shared" si="540"/>
        <v>0</v>
      </c>
      <c r="AP142" s="2">
        <f t="shared" si="540"/>
        <v>0</v>
      </c>
      <c r="AQ142" s="74"/>
      <c r="AR142" s="1"/>
      <c r="AS142" s="1"/>
      <c r="AT142" s="1"/>
      <c r="AU142" s="1"/>
      <c r="AV142" s="1"/>
      <c r="AW142" s="1"/>
      <c r="BK142" s="114">
        <v>41</v>
      </c>
      <c r="BL142" s="2">
        <f t="shared" ref="BL142:BV142" si="541">BL42+BL94</f>
        <v>0</v>
      </c>
      <c r="BM142" s="2">
        <f t="shared" si="541"/>
        <v>0</v>
      </c>
      <c r="BN142" s="2">
        <f t="shared" si="541"/>
        <v>0</v>
      </c>
      <c r="BO142" s="2">
        <f t="shared" si="541"/>
        <v>0</v>
      </c>
      <c r="BP142" s="2">
        <f t="shared" si="541"/>
        <v>0</v>
      </c>
      <c r="BQ142" s="2">
        <f t="shared" si="541"/>
        <v>0</v>
      </c>
      <c r="BR142" s="2">
        <f t="shared" si="541"/>
        <v>0</v>
      </c>
      <c r="BS142" s="2">
        <f t="shared" si="541"/>
        <v>0</v>
      </c>
      <c r="BT142" s="2">
        <f t="shared" si="541"/>
        <v>211617.4439599</v>
      </c>
      <c r="BU142" s="2">
        <f t="shared" si="541"/>
        <v>0</v>
      </c>
      <c r="BV142" s="2">
        <f t="shared" si="541"/>
        <v>0</v>
      </c>
      <c r="BW142" s="114">
        <v>41</v>
      </c>
      <c r="BX142" s="2">
        <f t="shared" ref="BX142:CG142" si="542">BX42+BX94</f>
        <v>0</v>
      </c>
      <c r="BY142" s="2">
        <f t="shared" si="542"/>
        <v>0</v>
      </c>
      <c r="BZ142" s="2">
        <f t="shared" si="542"/>
        <v>0</v>
      </c>
      <c r="CA142" s="2">
        <f t="shared" si="542"/>
        <v>0</v>
      </c>
      <c r="CB142" s="2">
        <f t="shared" si="542"/>
        <v>0</v>
      </c>
      <c r="CC142" s="2">
        <f t="shared" si="542"/>
        <v>0</v>
      </c>
      <c r="CD142" s="2">
        <f t="shared" si="542"/>
        <v>0</v>
      </c>
      <c r="CE142" s="2">
        <f t="shared" si="542"/>
        <v>0</v>
      </c>
      <c r="CF142" s="2">
        <f t="shared" si="542"/>
        <v>8676315.2023559008</v>
      </c>
      <c r="CG142" s="2">
        <f t="shared" si="542"/>
        <v>0</v>
      </c>
      <c r="CH142" s="74"/>
      <c r="CM142" s="638"/>
      <c r="CN142" s="638"/>
      <c r="CO142" s="638"/>
      <c r="CP142" s="638"/>
      <c r="CQ142" s="638"/>
      <c r="CR142" s="638"/>
      <c r="CS142" s="638"/>
      <c r="CT142" s="638"/>
      <c r="CU142" s="638"/>
      <c r="CV142" s="638"/>
      <c r="CW142" s="638"/>
      <c r="CX142" s="638"/>
      <c r="CY142" s="638"/>
      <c r="CZ142" s="638"/>
      <c r="DA142" s="638"/>
      <c r="DB142" s="638"/>
      <c r="DC142" s="638"/>
      <c r="DD142" s="638"/>
      <c r="DE142" s="638"/>
      <c r="DF142" s="638"/>
      <c r="DG142" s="647">
        <v>39</v>
      </c>
      <c r="DH142" s="451">
        <f t="shared" ref="DH142:DR142" si="543">DH42+DH94</f>
        <v>0</v>
      </c>
      <c r="DI142" s="451">
        <f t="shared" si="543"/>
        <v>0</v>
      </c>
      <c r="DJ142" s="451">
        <f t="shared" si="543"/>
        <v>0</v>
      </c>
      <c r="DK142" s="451">
        <f t="shared" si="543"/>
        <v>0</v>
      </c>
      <c r="DL142" s="451">
        <f t="shared" si="543"/>
        <v>0</v>
      </c>
      <c r="DM142" s="451">
        <f t="shared" si="543"/>
        <v>0</v>
      </c>
      <c r="DN142" s="451">
        <f t="shared" si="543"/>
        <v>0</v>
      </c>
      <c r="DO142" s="451">
        <f t="shared" si="543"/>
        <v>0</v>
      </c>
      <c r="DP142" s="451">
        <f t="shared" si="543"/>
        <v>0</v>
      </c>
      <c r="DQ142" s="451">
        <f t="shared" si="543"/>
        <v>3358.0748052318891</v>
      </c>
      <c r="DR142" s="451">
        <f t="shared" si="543"/>
        <v>100</v>
      </c>
      <c r="DS142" s="123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</row>
    <row r="143" spans="20:134" ht="14.4" thickTop="1" thickBot="1">
      <c r="T143" s="114">
        <v>42</v>
      </c>
      <c r="U143" s="2">
        <f t="shared" ref="U143:AE143" si="544">U43+U95</f>
        <v>0</v>
      </c>
      <c r="V143" s="2">
        <f t="shared" si="544"/>
        <v>0</v>
      </c>
      <c r="W143" s="2">
        <f t="shared" si="544"/>
        <v>0</v>
      </c>
      <c r="X143" s="2">
        <f t="shared" si="544"/>
        <v>0</v>
      </c>
      <c r="Y143" s="2">
        <f t="shared" si="544"/>
        <v>0</v>
      </c>
      <c r="Z143" s="2">
        <f t="shared" si="544"/>
        <v>0</v>
      </c>
      <c r="AA143" s="2">
        <f t="shared" si="544"/>
        <v>0</v>
      </c>
      <c r="AB143" s="2">
        <f t="shared" si="544"/>
        <v>0</v>
      </c>
      <c r="AC143" s="2">
        <f t="shared" si="544"/>
        <v>0</v>
      </c>
      <c r="AD143" s="2">
        <f t="shared" si="544"/>
        <v>0</v>
      </c>
      <c r="AE143" s="2">
        <f t="shared" si="544"/>
        <v>0</v>
      </c>
      <c r="AF143" s="114">
        <v>42</v>
      </c>
      <c r="AG143" s="2">
        <f t="shared" ref="AG143:AP143" si="545">AG43+AG95</f>
        <v>0</v>
      </c>
      <c r="AH143" s="2">
        <f t="shared" si="545"/>
        <v>0</v>
      </c>
      <c r="AI143" s="2">
        <f t="shared" si="545"/>
        <v>0</v>
      </c>
      <c r="AJ143" s="2">
        <f t="shared" si="545"/>
        <v>0</v>
      </c>
      <c r="AK143" s="2">
        <f t="shared" si="545"/>
        <v>0</v>
      </c>
      <c r="AL143" s="2">
        <f t="shared" si="545"/>
        <v>0</v>
      </c>
      <c r="AM143" s="2">
        <f t="shared" si="545"/>
        <v>0</v>
      </c>
      <c r="AN143" s="2">
        <f t="shared" si="545"/>
        <v>0</v>
      </c>
      <c r="AO143" s="2">
        <f t="shared" si="545"/>
        <v>0</v>
      </c>
      <c r="AP143" s="2">
        <f t="shared" si="545"/>
        <v>0</v>
      </c>
      <c r="AQ143" s="74"/>
      <c r="AR143" s="1"/>
      <c r="AS143" s="1"/>
      <c r="AT143" s="1"/>
      <c r="AU143" s="1"/>
      <c r="AV143" s="1"/>
      <c r="AW143" s="1"/>
      <c r="BK143" s="114">
        <v>42</v>
      </c>
      <c r="BL143" s="2">
        <f t="shared" ref="BL143:BV143" si="546">BL43+BL95</f>
        <v>0</v>
      </c>
      <c r="BM143" s="2">
        <f t="shared" si="546"/>
        <v>0</v>
      </c>
      <c r="BN143" s="2">
        <f t="shared" si="546"/>
        <v>0</v>
      </c>
      <c r="BO143" s="2">
        <f t="shared" si="546"/>
        <v>0</v>
      </c>
      <c r="BP143" s="2">
        <f t="shared" si="546"/>
        <v>0</v>
      </c>
      <c r="BQ143" s="2">
        <f t="shared" si="546"/>
        <v>0</v>
      </c>
      <c r="BR143" s="2">
        <f t="shared" si="546"/>
        <v>0</v>
      </c>
      <c r="BS143" s="2">
        <f t="shared" si="546"/>
        <v>0</v>
      </c>
      <c r="BT143" s="2">
        <f t="shared" si="546"/>
        <v>0</v>
      </c>
      <c r="BU143" s="2">
        <f t="shared" si="546"/>
        <v>0</v>
      </c>
      <c r="BV143" s="2">
        <f t="shared" si="546"/>
        <v>0</v>
      </c>
      <c r="BW143" s="114">
        <v>42</v>
      </c>
      <c r="BX143" s="2">
        <f t="shared" ref="BX143:CG143" si="547">BX43+BX95</f>
        <v>0</v>
      </c>
      <c r="BY143" s="2">
        <f t="shared" si="547"/>
        <v>0</v>
      </c>
      <c r="BZ143" s="2">
        <f t="shared" si="547"/>
        <v>0</v>
      </c>
      <c r="CA143" s="2">
        <f t="shared" si="547"/>
        <v>0</v>
      </c>
      <c r="CB143" s="2">
        <f t="shared" si="547"/>
        <v>0</v>
      </c>
      <c r="CC143" s="2">
        <f t="shared" si="547"/>
        <v>0</v>
      </c>
      <c r="CD143" s="2">
        <f t="shared" si="547"/>
        <v>0</v>
      </c>
      <c r="CE143" s="2">
        <f t="shared" si="547"/>
        <v>0</v>
      </c>
      <c r="CF143" s="2">
        <f t="shared" si="547"/>
        <v>0</v>
      </c>
      <c r="CG143" s="2">
        <f t="shared" si="547"/>
        <v>0</v>
      </c>
      <c r="CH143" s="74"/>
      <c r="CM143" s="638"/>
      <c r="CN143" s="638"/>
      <c r="CO143" s="638"/>
      <c r="CP143" s="638"/>
      <c r="CQ143" s="638"/>
      <c r="CR143" s="638"/>
      <c r="CS143" s="638"/>
      <c r="CT143" s="638"/>
      <c r="CU143" s="638"/>
      <c r="CV143" s="638"/>
      <c r="CW143" s="638"/>
      <c r="CX143" s="638"/>
      <c r="CY143" s="638"/>
      <c r="CZ143" s="638"/>
      <c r="DA143" s="638"/>
      <c r="DB143" s="638"/>
      <c r="DC143" s="638"/>
      <c r="DD143" s="638"/>
      <c r="DE143" s="638"/>
      <c r="DF143" s="638"/>
      <c r="DG143" s="647">
        <v>40</v>
      </c>
      <c r="DH143" s="451">
        <f t="shared" ref="DH143:DR143" si="548">DH43+DH95</f>
        <v>0</v>
      </c>
      <c r="DI143" s="451">
        <f t="shared" si="548"/>
        <v>0</v>
      </c>
      <c r="DJ143" s="451">
        <f t="shared" si="548"/>
        <v>0</v>
      </c>
      <c r="DK143" s="451">
        <f t="shared" si="548"/>
        <v>0</v>
      </c>
      <c r="DL143" s="451">
        <f t="shared" si="548"/>
        <v>0</v>
      </c>
      <c r="DM143" s="451">
        <f t="shared" si="548"/>
        <v>0</v>
      </c>
      <c r="DN143" s="451">
        <f t="shared" si="548"/>
        <v>0</v>
      </c>
      <c r="DO143" s="451">
        <f t="shared" si="548"/>
        <v>0</v>
      </c>
      <c r="DP143" s="451">
        <f t="shared" si="548"/>
        <v>0</v>
      </c>
      <c r="DQ143" s="451">
        <f t="shared" si="548"/>
        <v>5052.1858603401461</v>
      </c>
      <c r="DR143" s="451">
        <f t="shared" si="548"/>
        <v>5052.1858603401461</v>
      </c>
      <c r="DS143" s="123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</row>
    <row r="144" spans="20:134" ht="14.4" thickTop="1" thickBot="1">
      <c r="T144" s="114">
        <v>43</v>
      </c>
      <c r="U144" s="2">
        <f t="shared" ref="U144:AE144" si="549">U44+U96</f>
        <v>0</v>
      </c>
      <c r="V144" s="2">
        <f t="shared" si="549"/>
        <v>0</v>
      </c>
      <c r="W144" s="2">
        <f t="shared" si="549"/>
        <v>0</v>
      </c>
      <c r="X144" s="2">
        <f t="shared" si="549"/>
        <v>0</v>
      </c>
      <c r="Y144" s="2">
        <f t="shared" si="549"/>
        <v>0</v>
      </c>
      <c r="Z144" s="2">
        <f t="shared" si="549"/>
        <v>0</v>
      </c>
      <c r="AA144" s="2">
        <f t="shared" si="549"/>
        <v>0</v>
      </c>
      <c r="AB144" s="2">
        <f t="shared" si="549"/>
        <v>0</v>
      </c>
      <c r="AC144" s="2">
        <f t="shared" si="549"/>
        <v>0</v>
      </c>
      <c r="AD144" s="2">
        <f t="shared" si="549"/>
        <v>0</v>
      </c>
      <c r="AE144" s="2">
        <f t="shared" si="549"/>
        <v>0</v>
      </c>
      <c r="AF144" s="114">
        <v>43</v>
      </c>
      <c r="AG144" s="2">
        <f t="shared" ref="AG144:AP144" si="550">AG44+AG96</f>
        <v>0</v>
      </c>
      <c r="AH144" s="2">
        <f t="shared" si="550"/>
        <v>0</v>
      </c>
      <c r="AI144" s="2">
        <f t="shared" si="550"/>
        <v>0</v>
      </c>
      <c r="AJ144" s="2">
        <f t="shared" si="550"/>
        <v>0</v>
      </c>
      <c r="AK144" s="2">
        <f t="shared" si="550"/>
        <v>0</v>
      </c>
      <c r="AL144" s="2">
        <f t="shared" si="550"/>
        <v>0</v>
      </c>
      <c r="AM144" s="2">
        <f t="shared" si="550"/>
        <v>0</v>
      </c>
      <c r="AN144" s="2">
        <f t="shared" si="550"/>
        <v>0</v>
      </c>
      <c r="AO144" s="2">
        <f t="shared" si="550"/>
        <v>0</v>
      </c>
      <c r="AP144" s="2">
        <f t="shared" si="550"/>
        <v>0</v>
      </c>
      <c r="AQ144" s="74"/>
      <c r="AR144" s="1"/>
      <c r="AS144" s="1"/>
      <c r="AT144" s="1"/>
      <c r="AU144" s="1"/>
      <c r="AV144" s="1"/>
      <c r="AW144" s="1"/>
      <c r="BK144" s="114">
        <v>43</v>
      </c>
      <c r="BL144" s="2">
        <f t="shared" ref="BL144:BV144" si="551">BL44+BL96</f>
        <v>0</v>
      </c>
      <c r="BM144" s="2">
        <f t="shared" si="551"/>
        <v>0</v>
      </c>
      <c r="BN144" s="2">
        <f t="shared" si="551"/>
        <v>0</v>
      </c>
      <c r="BO144" s="2">
        <f t="shared" si="551"/>
        <v>0</v>
      </c>
      <c r="BP144" s="2">
        <f t="shared" si="551"/>
        <v>0</v>
      </c>
      <c r="BQ144" s="2">
        <f t="shared" si="551"/>
        <v>0</v>
      </c>
      <c r="BR144" s="2">
        <f t="shared" si="551"/>
        <v>0</v>
      </c>
      <c r="BS144" s="2">
        <f t="shared" si="551"/>
        <v>0</v>
      </c>
      <c r="BT144" s="2">
        <f t="shared" si="551"/>
        <v>0</v>
      </c>
      <c r="BU144" s="2">
        <f t="shared" si="551"/>
        <v>0</v>
      </c>
      <c r="BV144" s="2">
        <f t="shared" si="551"/>
        <v>0</v>
      </c>
      <c r="BW144" s="114">
        <v>43</v>
      </c>
      <c r="BX144" s="2">
        <f t="shared" ref="BX144:CG144" si="552">BX44+BX96</f>
        <v>0</v>
      </c>
      <c r="BY144" s="2">
        <f t="shared" si="552"/>
        <v>0</v>
      </c>
      <c r="BZ144" s="2">
        <f t="shared" si="552"/>
        <v>0</v>
      </c>
      <c r="CA144" s="2">
        <f t="shared" si="552"/>
        <v>0</v>
      </c>
      <c r="CB144" s="2">
        <f t="shared" si="552"/>
        <v>0</v>
      </c>
      <c r="CC144" s="2">
        <f t="shared" si="552"/>
        <v>0</v>
      </c>
      <c r="CD144" s="2">
        <f t="shared" si="552"/>
        <v>0</v>
      </c>
      <c r="CE144" s="2">
        <f t="shared" si="552"/>
        <v>0</v>
      </c>
      <c r="CF144" s="2">
        <f t="shared" si="552"/>
        <v>0</v>
      </c>
      <c r="CG144" s="2">
        <f t="shared" si="552"/>
        <v>0</v>
      </c>
      <c r="CH144" s="74"/>
      <c r="CM144" s="638"/>
      <c r="CN144" s="638"/>
      <c r="CO144" s="638"/>
      <c r="CP144" s="638"/>
      <c r="CQ144" s="638"/>
      <c r="CR144" s="638"/>
      <c r="CS144" s="638"/>
      <c r="CT144" s="638"/>
      <c r="CU144" s="638"/>
      <c r="CV144" s="638"/>
      <c r="CW144" s="638"/>
      <c r="CX144" s="638"/>
      <c r="CY144" s="638"/>
      <c r="CZ144" s="638"/>
      <c r="DA144" s="638"/>
      <c r="DB144" s="638"/>
      <c r="DC144" s="638"/>
      <c r="DD144" s="638"/>
      <c r="DE144" s="638"/>
      <c r="DF144" s="638"/>
      <c r="DG144" s="647">
        <v>41</v>
      </c>
      <c r="DH144" s="451">
        <f t="shared" ref="DH144:DR144" si="553">DH44+DH96</f>
        <v>0</v>
      </c>
      <c r="DI144" s="451">
        <f t="shared" si="553"/>
        <v>0</v>
      </c>
      <c r="DJ144" s="451">
        <f t="shared" si="553"/>
        <v>0</v>
      </c>
      <c r="DK144" s="451">
        <f t="shared" si="553"/>
        <v>0</v>
      </c>
      <c r="DL144" s="451">
        <f t="shared" si="553"/>
        <v>0</v>
      </c>
      <c r="DM144" s="451">
        <f t="shared" si="553"/>
        <v>0</v>
      </c>
      <c r="DN144" s="451">
        <f t="shared" si="553"/>
        <v>0</v>
      </c>
      <c r="DO144" s="451">
        <f t="shared" si="553"/>
        <v>0</v>
      </c>
      <c r="DP144" s="451">
        <f t="shared" si="553"/>
        <v>0</v>
      </c>
      <c r="DQ144" s="451">
        <f t="shared" si="553"/>
        <v>0</v>
      </c>
      <c r="DR144" s="451">
        <f t="shared" si="553"/>
        <v>511.41199249706506</v>
      </c>
      <c r="DS144" s="123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</row>
    <row r="145" spans="1:134" ht="14.4" thickTop="1" thickBot="1">
      <c r="T145" s="114">
        <v>44</v>
      </c>
      <c r="U145" s="2">
        <f t="shared" ref="U145:AE145" si="554">U45+U97</f>
        <v>0</v>
      </c>
      <c r="V145" s="2">
        <f t="shared" si="554"/>
        <v>0</v>
      </c>
      <c r="W145" s="2">
        <f t="shared" si="554"/>
        <v>0</v>
      </c>
      <c r="X145" s="2">
        <f t="shared" si="554"/>
        <v>0</v>
      </c>
      <c r="Y145" s="2">
        <f t="shared" si="554"/>
        <v>0</v>
      </c>
      <c r="Z145" s="2">
        <f t="shared" si="554"/>
        <v>0</v>
      </c>
      <c r="AA145" s="2">
        <f t="shared" si="554"/>
        <v>0</v>
      </c>
      <c r="AB145" s="2">
        <f t="shared" si="554"/>
        <v>0</v>
      </c>
      <c r="AC145" s="2">
        <f t="shared" si="554"/>
        <v>0</v>
      </c>
      <c r="AD145" s="2">
        <f t="shared" si="554"/>
        <v>0</v>
      </c>
      <c r="AE145" s="2">
        <f t="shared" si="554"/>
        <v>0</v>
      </c>
      <c r="AF145" s="114">
        <v>44</v>
      </c>
      <c r="AG145" s="2">
        <f t="shared" ref="AG145:AP145" si="555">AG45+AG97</f>
        <v>0</v>
      </c>
      <c r="AH145" s="2">
        <f t="shared" si="555"/>
        <v>0</v>
      </c>
      <c r="AI145" s="2">
        <f t="shared" si="555"/>
        <v>0</v>
      </c>
      <c r="AJ145" s="2">
        <f t="shared" si="555"/>
        <v>0</v>
      </c>
      <c r="AK145" s="2">
        <f t="shared" si="555"/>
        <v>0</v>
      </c>
      <c r="AL145" s="2">
        <f t="shared" si="555"/>
        <v>0</v>
      </c>
      <c r="AM145" s="2">
        <f t="shared" si="555"/>
        <v>0</v>
      </c>
      <c r="AN145" s="2">
        <f t="shared" si="555"/>
        <v>0</v>
      </c>
      <c r="AO145" s="2">
        <f t="shared" si="555"/>
        <v>0</v>
      </c>
      <c r="AP145" s="2">
        <f t="shared" si="555"/>
        <v>0</v>
      </c>
      <c r="AQ145" s="74"/>
      <c r="AR145" s="1"/>
      <c r="AS145" s="1"/>
      <c r="AT145" s="1"/>
      <c r="AU145" s="1"/>
      <c r="AV145" s="1"/>
      <c r="AW145" s="1"/>
      <c r="BK145" s="114">
        <v>44</v>
      </c>
      <c r="BL145" s="2">
        <f t="shared" ref="BL145:BV145" si="556">BL45+BL97</f>
        <v>0</v>
      </c>
      <c r="BM145" s="2">
        <f t="shared" si="556"/>
        <v>0</v>
      </c>
      <c r="BN145" s="2">
        <f t="shared" si="556"/>
        <v>0</v>
      </c>
      <c r="BO145" s="2">
        <f t="shared" si="556"/>
        <v>0</v>
      </c>
      <c r="BP145" s="2">
        <f t="shared" si="556"/>
        <v>0</v>
      </c>
      <c r="BQ145" s="2">
        <f t="shared" si="556"/>
        <v>0</v>
      </c>
      <c r="BR145" s="2">
        <f t="shared" si="556"/>
        <v>0</v>
      </c>
      <c r="BS145" s="2">
        <f t="shared" si="556"/>
        <v>0</v>
      </c>
      <c r="BT145" s="2">
        <f t="shared" si="556"/>
        <v>0</v>
      </c>
      <c r="BU145" s="2">
        <f t="shared" si="556"/>
        <v>0</v>
      </c>
      <c r="BV145" s="2">
        <f t="shared" si="556"/>
        <v>0</v>
      </c>
      <c r="BW145" s="114">
        <v>44</v>
      </c>
      <c r="BX145" s="2">
        <f t="shared" ref="BX145:CG145" si="557">BX45+BX97</f>
        <v>0</v>
      </c>
      <c r="BY145" s="2">
        <f t="shared" si="557"/>
        <v>0</v>
      </c>
      <c r="BZ145" s="2">
        <f t="shared" si="557"/>
        <v>0</v>
      </c>
      <c r="CA145" s="2">
        <f t="shared" si="557"/>
        <v>0</v>
      </c>
      <c r="CB145" s="2">
        <f t="shared" si="557"/>
        <v>0</v>
      </c>
      <c r="CC145" s="2">
        <f t="shared" si="557"/>
        <v>0</v>
      </c>
      <c r="CD145" s="2">
        <f t="shared" si="557"/>
        <v>0</v>
      </c>
      <c r="CE145" s="2">
        <f t="shared" si="557"/>
        <v>0</v>
      </c>
      <c r="CF145" s="2">
        <f t="shared" si="557"/>
        <v>0</v>
      </c>
      <c r="CG145" s="2">
        <f t="shared" si="557"/>
        <v>0</v>
      </c>
      <c r="CH145" s="74"/>
      <c r="CM145" s="638"/>
      <c r="CN145" s="638"/>
      <c r="CO145" s="638"/>
      <c r="CP145" s="638"/>
      <c r="CQ145" s="638"/>
      <c r="CR145" s="638"/>
      <c r="CS145" s="638"/>
      <c r="CT145" s="638"/>
      <c r="CU145" s="638"/>
      <c r="CV145" s="638"/>
      <c r="CW145" s="638"/>
      <c r="CX145" s="638"/>
      <c r="CY145" s="638"/>
      <c r="CZ145" s="638"/>
      <c r="DA145" s="638"/>
      <c r="DB145" s="638"/>
      <c r="DC145" s="638"/>
      <c r="DD145" s="638"/>
      <c r="DE145" s="638"/>
      <c r="DF145" s="638"/>
      <c r="DG145" s="647">
        <v>42</v>
      </c>
      <c r="DH145" s="451">
        <f t="shared" ref="DH145:DR145" si="558">DH45+DH97</f>
        <v>0</v>
      </c>
      <c r="DI145" s="451">
        <f t="shared" si="558"/>
        <v>0</v>
      </c>
      <c r="DJ145" s="451">
        <f t="shared" si="558"/>
        <v>0</v>
      </c>
      <c r="DK145" s="451">
        <f t="shared" si="558"/>
        <v>0</v>
      </c>
      <c r="DL145" s="451">
        <f t="shared" si="558"/>
        <v>0</v>
      </c>
      <c r="DM145" s="451">
        <f t="shared" si="558"/>
        <v>0</v>
      </c>
      <c r="DN145" s="451">
        <f t="shared" si="558"/>
        <v>0</v>
      </c>
      <c r="DO145" s="451">
        <f t="shared" si="558"/>
        <v>0</v>
      </c>
      <c r="DP145" s="451">
        <f t="shared" si="558"/>
        <v>0</v>
      </c>
      <c r="DQ145" s="451">
        <f t="shared" si="558"/>
        <v>0</v>
      </c>
      <c r="DR145" s="451">
        <f t="shared" si="558"/>
        <v>0</v>
      </c>
      <c r="DS145" s="123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</row>
    <row r="146" spans="1:134" ht="14.4" thickTop="1" thickBot="1">
      <c r="T146" s="114">
        <v>45</v>
      </c>
      <c r="U146" s="2">
        <f t="shared" ref="U146:AE146" si="559">U46+U98</f>
        <v>0</v>
      </c>
      <c r="V146" s="2">
        <f t="shared" si="559"/>
        <v>0</v>
      </c>
      <c r="W146" s="2">
        <f t="shared" si="559"/>
        <v>0</v>
      </c>
      <c r="X146" s="2">
        <f t="shared" si="559"/>
        <v>0</v>
      </c>
      <c r="Y146" s="2">
        <f t="shared" si="559"/>
        <v>0</v>
      </c>
      <c r="Z146" s="2">
        <f t="shared" si="559"/>
        <v>0</v>
      </c>
      <c r="AA146" s="2">
        <f t="shared" si="559"/>
        <v>0</v>
      </c>
      <c r="AB146" s="2">
        <f t="shared" si="559"/>
        <v>0</v>
      </c>
      <c r="AC146" s="2">
        <f t="shared" si="559"/>
        <v>0</v>
      </c>
      <c r="AD146" s="2">
        <f t="shared" si="559"/>
        <v>0</v>
      </c>
      <c r="AE146" s="2">
        <f t="shared" si="559"/>
        <v>0</v>
      </c>
      <c r="AF146" s="114">
        <v>45</v>
      </c>
      <c r="AG146" s="2">
        <f t="shared" ref="AG146:AP146" si="560">AG46+AG98</f>
        <v>0</v>
      </c>
      <c r="AH146" s="2">
        <f t="shared" si="560"/>
        <v>0</v>
      </c>
      <c r="AI146" s="2">
        <f t="shared" si="560"/>
        <v>0</v>
      </c>
      <c r="AJ146" s="2">
        <f t="shared" si="560"/>
        <v>0</v>
      </c>
      <c r="AK146" s="2">
        <f t="shared" si="560"/>
        <v>0</v>
      </c>
      <c r="AL146" s="2">
        <f t="shared" si="560"/>
        <v>0</v>
      </c>
      <c r="AM146" s="2">
        <f t="shared" si="560"/>
        <v>0</v>
      </c>
      <c r="AN146" s="2">
        <f t="shared" si="560"/>
        <v>0</v>
      </c>
      <c r="AO146" s="2">
        <f t="shared" si="560"/>
        <v>0</v>
      </c>
      <c r="AP146" s="2">
        <f t="shared" si="560"/>
        <v>0</v>
      </c>
      <c r="AQ146" s="74"/>
      <c r="AR146" s="1"/>
      <c r="AS146" s="1"/>
      <c r="AT146" s="1"/>
      <c r="AU146" s="1"/>
      <c r="AV146" s="1"/>
      <c r="AW146" s="1"/>
      <c r="BK146" s="114">
        <v>45</v>
      </c>
      <c r="BL146" s="2">
        <f t="shared" ref="BL146:BV146" si="561">BL46+BL98</f>
        <v>0</v>
      </c>
      <c r="BM146" s="2">
        <f t="shared" si="561"/>
        <v>0</v>
      </c>
      <c r="BN146" s="2">
        <f t="shared" si="561"/>
        <v>0</v>
      </c>
      <c r="BO146" s="2">
        <f t="shared" si="561"/>
        <v>0</v>
      </c>
      <c r="BP146" s="2">
        <f t="shared" si="561"/>
        <v>0</v>
      </c>
      <c r="BQ146" s="2">
        <f t="shared" si="561"/>
        <v>0</v>
      </c>
      <c r="BR146" s="2">
        <f t="shared" si="561"/>
        <v>0</v>
      </c>
      <c r="BS146" s="2">
        <f t="shared" si="561"/>
        <v>0</v>
      </c>
      <c r="BT146" s="2">
        <f t="shared" si="561"/>
        <v>0</v>
      </c>
      <c r="BU146" s="2">
        <f t="shared" si="561"/>
        <v>0</v>
      </c>
      <c r="BV146" s="2">
        <f t="shared" si="561"/>
        <v>0</v>
      </c>
      <c r="BW146" s="114">
        <v>45</v>
      </c>
      <c r="BX146" s="2">
        <f t="shared" ref="BX146:CG146" si="562">BX46+BX98</f>
        <v>0</v>
      </c>
      <c r="BY146" s="2">
        <f t="shared" si="562"/>
        <v>0</v>
      </c>
      <c r="BZ146" s="2">
        <f t="shared" si="562"/>
        <v>0</v>
      </c>
      <c r="CA146" s="2">
        <f t="shared" si="562"/>
        <v>0</v>
      </c>
      <c r="CB146" s="2">
        <f t="shared" si="562"/>
        <v>0</v>
      </c>
      <c r="CC146" s="2">
        <f t="shared" si="562"/>
        <v>0</v>
      </c>
      <c r="CD146" s="2">
        <f t="shared" si="562"/>
        <v>0</v>
      </c>
      <c r="CE146" s="2">
        <f t="shared" si="562"/>
        <v>0</v>
      </c>
      <c r="CF146" s="2">
        <f t="shared" si="562"/>
        <v>0</v>
      </c>
      <c r="CG146" s="2">
        <f t="shared" si="562"/>
        <v>0</v>
      </c>
      <c r="CH146" s="74"/>
      <c r="CM146" s="638"/>
      <c r="CN146" s="638"/>
      <c r="CO146" s="638"/>
      <c r="CP146" s="638"/>
      <c r="CQ146" s="638"/>
      <c r="CR146" s="638"/>
      <c r="CS146" s="638"/>
      <c r="CT146" s="638"/>
      <c r="CU146" s="638"/>
      <c r="CV146" s="638"/>
      <c r="CW146" s="638"/>
      <c r="CX146" s="638"/>
      <c r="CY146" s="638"/>
      <c r="CZ146" s="638"/>
      <c r="DA146" s="638"/>
      <c r="DB146" s="638"/>
      <c r="DC146" s="638"/>
      <c r="DD146" s="638"/>
      <c r="DE146" s="638"/>
      <c r="DF146" s="638"/>
      <c r="DG146" s="647">
        <v>43</v>
      </c>
      <c r="DH146" s="451">
        <f t="shared" ref="DH146:DR146" si="563">DH46+DH98</f>
        <v>0</v>
      </c>
      <c r="DI146" s="451">
        <f t="shared" si="563"/>
        <v>0</v>
      </c>
      <c r="DJ146" s="451">
        <f t="shared" si="563"/>
        <v>0</v>
      </c>
      <c r="DK146" s="451">
        <f t="shared" si="563"/>
        <v>0</v>
      </c>
      <c r="DL146" s="451">
        <f t="shared" si="563"/>
        <v>0</v>
      </c>
      <c r="DM146" s="451">
        <f t="shared" si="563"/>
        <v>0</v>
      </c>
      <c r="DN146" s="451">
        <f t="shared" si="563"/>
        <v>0</v>
      </c>
      <c r="DO146" s="451">
        <f t="shared" si="563"/>
        <v>0</v>
      </c>
      <c r="DP146" s="451">
        <f t="shared" si="563"/>
        <v>0</v>
      </c>
      <c r="DQ146" s="451">
        <f t="shared" si="563"/>
        <v>0</v>
      </c>
      <c r="DR146" s="451">
        <f t="shared" si="563"/>
        <v>0</v>
      </c>
      <c r="DS146" s="123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</row>
    <row r="147" spans="1:134" ht="14.4" thickTop="1" thickBot="1">
      <c r="U147" s="2">
        <f>SUM(U106:U146)</f>
        <v>2718574.5691377949</v>
      </c>
      <c r="V147" s="2">
        <f t="shared" ref="V147:AE147" si="564">SUM(V106:V146)</f>
        <v>13914242.472180922</v>
      </c>
      <c r="W147" s="2">
        <f t="shared" si="564"/>
        <v>64206141.896038271</v>
      </c>
      <c r="X147" s="2">
        <f t="shared" si="564"/>
        <v>197317175.47966591</v>
      </c>
      <c r="Y147" s="2">
        <f t="shared" si="564"/>
        <v>148096351.97087824</v>
      </c>
      <c r="Z147" s="2">
        <f t="shared" si="564"/>
        <v>93327221.693422988</v>
      </c>
      <c r="AA147" s="2">
        <f t="shared" si="564"/>
        <v>43445464.293865107</v>
      </c>
      <c r="AB147" s="2">
        <f t="shared" si="564"/>
        <v>25709462.915081188</v>
      </c>
      <c r="AC147" s="2">
        <f t="shared" si="564"/>
        <v>9978766.344918156</v>
      </c>
      <c r="AD147" s="2">
        <f t="shared" si="564"/>
        <v>2038063.7144656798</v>
      </c>
      <c r="AE147" s="2">
        <f t="shared" si="564"/>
        <v>0</v>
      </c>
      <c r="AG147" s="2">
        <f>AG47+AG99</f>
        <v>38276611.758202001</v>
      </c>
      <c r="AH147" s="2">
        <f t="shared" ref="AH147:AP147" si="565">AH47+AH99</f>
        <v>258977319.85165489</v>
      </c>
      <c r="AI147" s="2">
        <f t="shared" si="565"/>
        <v>1406633751.342927</v>
      </c>
      <c r="AJ147" s="2">
        <f t="shared" si="565"/>
        <v>4756629419.7427568</v>
      </c>
      <c r="AK147" s="2">
        <f t="shared" si="565"/>
        <v>3938712848.9621329</v>
      </c>
      <c r="AL147" s="2">
        <f t="shared" si="565"/>
        <v>2704932019.154243</v>
      </c>
      <c r="AM147" s="2">
        <f t="shared" si="565"/>
        <v>1382855921.8421614</v>
      </c>
      <c r="AN147" s="2">
        <f t="shared" si="565"/>
        <v>885155758.97676706</v>
      </c>
      <c r="AO147" s="2">
        <f t="shared" si="565"/>
        <v>356697715.80871069</v>
      </c>
      <c r="AP147" s="2">
        <f t="shared" si="565"/>
        <v>78454769.284516364</v>
      </c>
      <c r="AQ147" s="74"/>
      <c r="AR147" s="1"/>
      <c r="AS147" s="1"/>
      <c r="AT147" s="1"/>
      <c r="AU147" s="1"/>
      <c r="AV147" s="1"/>
      <c r="AW147" s="1"/>
      <c r="BL147" s="2">
        <f>SUM(BL106:BL146)</f>
        <v>395636827.02624184</v>
      </c>
      <c r="BM147" s="2">
        <f t="shared" ref="BM147:BV147" si="566">SUM(BM106:BM146)</f>
        <v>63013011.692346305</v>
      </c>
      <c r="BN147" s="2">
        <f t="shared" si="566"/>
        <v>127381198.68164353</v>
      </c>
      <c r="BO147" s="2">
        <f t="shared" si="566"/>
        <v>133170654.54697666</v>
      </c>
      <c r="BP147" s="2">
        <f t="shared" si="566"/>
        <v>109589435.79071364</v>
      </c>
      <c r="BQ147" s="2">
        <f t="shared" si="566"/>
        <v>50969682.76136519</v>
      </c>
      <c r="BR147" s="2">
        <f t="shared" si="566"/>
        <v>48476307.808687091</v>
      </c>
      <c r="BS147" s="2">
        <f t="shared" si="566"/>
        <v>27252291.083637703</v>
      </c>
      <c r="BT147" s="2">
        <f t="shared" si="566"/>
        <v>18467114.471819889</v>
      </c>
      <c r="BU147" s="2">
        <f t="shared" si="566"/>
        <v>2110111.9870364838</v>
      </c>
      <c r="BV147" s="2">
        <f t="shared" si="566"/>
        <v>0</v>
      </c>
      <c r="BX147" s="2">
        <f>BX47+BX99</f>
        <v>5127279084.1242104</v>
      </c>
      <c r="BY147" s="2">
        <f t="shared" ref="BY147:CG147" si="567">BY47+BY99</f>
        <v>925342176.34306026</v>
      </c>
      <c r="BZ147" s="2">
        <f t="shared" si="567"/>
        <v>2696085975.9890151</v>
      </c>
      <c r="CA147" s="2">
        <f t="shared" si="567"/>
        <v>3183075106.8607225</v>
      </c>
      <c r="CB147" s="2">
        <f t="shared" si="567"/>
        <v>2943043562.4828596</v>
      </c>
      <c r="CC147" s="2">
        <f t="shared" si="567"/>
        <v>1498162632.9339948</v>
      </c>
      <c r="CD147" s="2">
        <f t="shared" si="567"/>
        <v>1523116378.0396988</v>
      </c>
      <c r="CE147" s="2">
        <f t="shared" si="567"/>
        <v>908437771.54326546</v>
      </c>
      <c r="CF147" s="2">
        <f t="shared" si="567"/>
        <v>666626456.5068754</v>
      </c>
      <c r="CG147" s="2">
        <f t="shared" si="567"/>
        <v>80263349.842737973</v>
      </c>
      <c r="CH147" s="74"/>
      <c r="CM147" s="638"/>
      <c r="CN147" s="638"/>
      <c r="CO147" s="638"/>
      <c r="CP147" s="638"/>
      <c r="CQ147" s="638"/>
      <c r="CR147" s="638"/>
      <c r="CS147" s="638"/>
      <c r="CT147" s="638"/>
      <c r="CU147" s="638"/>
      <c r="CV147" s="638"/>
      <c r="CW147" s="638"/>
      <c r="CX147" s="638"/>
      <c r="CY147" s="638"/>
      <c r="CZ147" s="638"/>
      <c r="DA147" s="638"/>
      <c r="DB147" s="638"/>
      <c r="DC147" s="638"/>
      <c r="DD147" s="638"/>
      <c r="DE147" s="638"/>
      <c r="DF147" s="638"/>
      <c r="DG147" s="647">
        <v>44</v>
      </c>
      <c r="DH147" s="451">
        <f t="shared" ref="DH147:DR147" si="568">DH47+DH99</f>
        <v>0</v>
      </c>
      <c r="DI147" s="451">
        <f t="shared" si="568"/>
        <v>0</v>
      </c>
      <c r="DJ147" s="451">
        <f t="shared" si="568"/>
        <v>0</v>
      </c>
      <c r="DK147" s="451">
        <f t="shared" si="568"/>
        <v>0</v>
      </c>
      <c r="DL147" s="451">
        <f t="shared" si="568"/>
        <v>0</v>
      </c>
      <c r="DM147" s="451">
        <f t="shared" si="568"/>
        <v>0</v>
      </c>
      <c r="DN147" s="451">
        <f t="shared" si="568"/>
        <v>0</v>
      </c>
      <c r="DO147" s="451">
        <f t="shared" si="568"/>
        <v>0</v>
      </c>
      <c r="DP147" s="451">
        <f t="shared" si="568"/>
        <v>0</v>
      </c>
      <c r="DQ147" s="451">
        <f t="shared" si="568"/>
        <v>0</v>
      </c>
      <c r="DR147" s="451">
        <f t="shared" si="568"/>
        <v>0</v>
      </c>
      <c r="DS147" s="123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</row>
    <row r="148" spans="1:134" ht="14.4" thickTop="1" thickBot="1">
      <c r="U148" s="2"/>
      <c r="V148" s="2">
        <v>74.335263288230507</v>
      </c>
      <c r="W148" s="2">
        <v>90.266880779195631</v>
      </c>
      <c r="X148" s="2">
        <v>127.86930933614825</v>
      </c>
      <c r="Y148" s="2">
        <v>205.58855869689131</v>
      </c>
      <c r="Z148" s="2">
        <v>277.58791393819376</v>
      </c>
      <c r="AA148" s="2">
        <v>332.61200639806128</v>
      </c>
      <c r="AB148" s="2">
        <v>414.7227594007141</v>
      </c>
      <c r="AC148" s="2">
        <v>435.92155006170429</v>
      </c>
      <c r="AD148" s="2">
        <v>519.85817531069631</v>
      </c>
      <c r="AE148" s="2">
        <v>519.85817531069631</v>
      </c>
      <c r="AG148" s="2">
        <f t="shared" ref="AG148:AP148" si="569">AG48+AG100</f>
        <v>2718574.5691377949</v>
      </c>
      <c r="AH148" s="2">
        <f t="shared" si="569"/>
        <v>13914242.472180922</v>
      </c>
      <c r="AI148" s="2">
        <f t="shared" si="569"/>
        <v>64206141.896038279</v>
      </c>
      <c r="AJ148" s="2">
        <f t="shared" si="569"/>
        <v>197317175.47966588</v>
      </c>
      <c r="AK148" s="2">
        <f t="shared" si="569"/>
        <v>148096351.97087824</v>
      </c>
      <c r="AL148" s="2">
        <f t="shared" si="569"/>
        <v>93327221.693422988</v>
      </c>
      <c r="AM148" s="2">
        <f t="shared" si="569"/>
        <v>43445464.293865114</v>
      </c>
      <c r="AN148" s="2">
        <f t="shared" si="569"/>
        <v>25709462.915081192</v>
      </c>
      <c r="AO148" s="2">
        <f t="shared" si="569"/>
        <v>9978766.344918156</v>
      </c>
      <c r="AP148" s="2">
        <f t="shared" si="569"/>
        <v>2038063.7144656798</v>
      </c>
      <c r="AQ148" s="74"/>
      <c r="AR148" s="1"/>
      <c r="AS148" s="1"/>
      <c r="AT148" s="1"/>
      <c r="AU148" s="1"/>
      <c r="AV148" s="1"/>
      <c r="AW148" s="1"/>
      <c r="BL148" s="2"/>
      <c r="BM148" s="2">
        <v>74.335263288230507</v>
      </c>
      <c r="BN148" s="2">
        <v>90.266880779195631</v>
      </c>
      <c r="BO148" s="2">
        <v>127.86930933614825</v>
      </c>
      <c r="BP148" s="2">
        <v>205.58855869689131</v>
      </c>
      <c r="BQ148" s="2">
        <v>277.58791393819376</v>
      </c>
      <c r="BR148" s="2">
        <v>332.61200639806128</v>
      </c>
      <c r="BS148" s="2">
        <v>414.7227594007141</v>
      </c>
      <c r="BT148" s="2">
        <v>435.92155006170429</v>
      </c>
      <c r="BU148" s="2">
        <v>519.85817531069631</v>
      </c>
      <c r="BV148" s="2">
        <v>519.85817531069631</v>
      </c>
      <c r="BX148" s="2">
        <f t="shared" ref="BX148:CG148" si="570">BX48+BX100</f>
        <v>395636827.02624184</v>
      </c>
      <c r="BY148" s="2">
        <f t="shared" si="570"/>
        <v>63013011.692346297</v>
      </c>
      <c r="BZ148" s="2">
        <f t="shared" si="570"/>
        <v>127381198.68164352</v>
      </c>
      <c r="CA148" s="2">
        <f t="shared" si="570"/>
        <v>133170654.54697666</v>
      </c>
      <c r="CB148" s="2">
        <f t="shared" si="570"/>
        <v>109589435.79071364</v>
      </c>
      <c r="CC148" s="2">
        <f t="shared" si="570"/>
        <v>50969682.76136519</v>
      </c>
      <c r="CD148" s="2">
        <f t="shared" si="570"/>
        <v>48476307.808687091</v>
      </c>
      <c r="CE148" s="2">
        <f t="shared" si="570"/>
        <v>27252291.083637699</v>
      </c>
      <c r="CF148" s="2">
        <f t="shared" si="570"/>
        <v>18467114.471819893</v>
      </c>
      <c r="CG148" s="2">
        <f t="shared" si="570"/>
        <v>2110111.9870364838</v>
      </c>
      <c r="CH148" s="74"/>
      <c r="CM148" s="638"/>
      <c r="CN148" s="638"/>
      <c r="CO148" s="638"/>
      <c r="CP148" s="638"/>
      <c r="CQ148" s="638"/>
      <c r="CR148" s="638"/>
      <c r="CS148" s="638"/>
      <c r="CT148" s="638"/>
      <c r="CU148" s="638"/>
      <c r="CV148" s="638"/>
      <c r="CW148" s="638"/>
      <c r="CX148" s="638"/>
      <c r="CY148" s="638"/>
      <c r="CZ148" s="638"/>
      <c r="DA148" s="638"/>
      <c r="DB148" s="638"/>
      <c r="DC148" s="638"/>
      <c r="DD148" s="638"/>
      <c r="DE148" s="638"/>
      <c r="DF148" s="638"/>
      <c r="DG148" s="647">
        <v>45</v>
      </c>
      <c r="DH148" s="451">
        <f t="shared" ref="DH148:DR148" si="571">DH48+DH100</f>
        <v>0</v>
      </c>
      <c r="DI148" s="451">
        <f t="shared" si="571"/>
        <v>0</v>
      </c>
      <c r="DJ148" s="451">
        <f t="shared" si="571"/>
        <v>0</v>
      </c>
      <c r="DK148" s="451">
        <f t="shared" si="571"/>
        <v>0</v>
      </c>
      <c r="DL148" s="451">
        <f t="shared" si="571"/>
        <v>0</v>
      </c>
      <c r="DM148" s="451">
        <f t="shared" si="571"/>
        <v>0</v>
      </c>
      <c r="DN148" s="451">
        <f t="shared" si="571"/>
        <v>0</v>
      </c>
      <c r="DO148" s="451">
        <f t="shared" si="571"/>
        <v>0</v>
      </c>
      <c r="DP148" s="451">
        <f t="shared" si="571"/>
        <v>0</v>
      </c>
      <c r="DQ148" s="451">
        <f t="shared" si="571"/>
        <v>0</v>
      </c>
      <c r="DR148" s="451">
        <f t="shared" si="571"/>
        <v>0</v>
      </c>
      <c r="DS148" s="123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</row>
    <row r="149" spans="1:134" ht="13.8" thickTop="1">
      <c r="U149" s="92">
        <v>3.5533238853578897E-2</v>
      </c>
      <c r="V149" s="92">
        <v>5.3708598435113469E-2</v>
      </c>
      <c r="W149" s="92">
        <v>0.10236843717136922</v>
      </c>
      <c r="X149" s="92">
        <v>0.13894156437035637</v>
      </c>
      <c r="Y149" s="92">
        <v>0.1754292364557247</v>
      </c>
      <c r="Z149" s="92">
        <v>0.23369924338114631</v>
      </c>
      <c r="AA149" s="92">
        <v>0.31808321146546525</v>
      </c>
      <c r="AB149" s="92">
        <v>0.39601719205597852</v>
      </c>
      <c r="AC149" s="92">
        <v>0.48357552951599225</v>
      </c>
      <c r="AD149" s="92">
        <v>0.55064229332083636</v>
      </c>
      <c r="AE149" s="92">
        <v>0.59224391720710856</v>
      </c>
      <c r="AF149" s="1" t="s">
        <v>635</v>
      </c>
      <c r="AH149" s="35">
        <f>AH147/AH148</f>
        <v>18.612390891522441</v>
      </c>
      <c r="AI149" s="35">
        <f t="shared" ref="AI149:AP149" si="572">AI147/AI148</f>
        <v>21.908087136282528</v>
      </c>
      <c r="AJ149" s="35">
        <f t="shared" si="572"/>
        <v>24.106514844334683</v>
      </c>
      <c r="AK149" s="35">
        <f t="shared" si="572"/>
        <v>26.59561019934268</v>
      </c>
      <c r="AL149" s="35">
        <f t="shared" si="572"/>
        <v>28.983312372030749</v>
      </c>
      <c r="AM149" s="35">
        <f t="shared" si="572"/>
        <v>31.829696018174054</v>
      </c>
      <c r="AN149" s="35">
        <f t="shared" si="572"/>
        <v>34.429181266853071</v>
      </c>
      <c r="AO149" s="35">
        <f t="shared" si="572"/>
        <v>35.745672709368989</v>
      </c>
      <c r="AP149" s="35">
        <f t="shared" si="572"/>
        <v>38.494757905586326</v>
      </c>
      <c r="AQ149" s="545"/>
      <c r="AR149" s="1"/>
      <c r="AS149" s="1"/>
      <c r="AT149" s="1"/>
      <c r="AU149" s="1"/>
      <c r="AV149" s="1"/>
      <c r="AW149" s="1"/>
      <c r="BL149" s="92">
        <v>3.5533238853578897E-2</v>
      </c>
      <c r="BM149" s="92">
        <v>5.3708598435113469E-2</v>
      </c>
      <c r="BN149" s="92">
        <v>0.10236843717136922</v>
      </c>
      <c r="BO149" s="92">
        <v>0.13894156437035637</v>
      </c>
      <c r="BP149" s="92">
        <v>0.1754292364557247</v>
      </c>
      <c r="BQ149" s="92">
        <v>0.23369924338114631</v>
      </c>
      <c r="BR149" s="92">
        <v>0.31808321146546525</v>
      </c>
      <c r="BS149" s="92">
        <v>0.39601719205597852</v>
      </c>
      <c r="BT149" s="92">
        <v>0.48357552951599225</v>
      </c>
      <c r="BU149" s="92">
        <v>0.55064229332083636</v>
      </c>
      <c r="BV149" s="92">
        <v>0.59224391720710856</v>
      </c>
      <c r="BW149" s="1" t="s">
        <v>635</v>
      </c>
      <c r="BY149" s="35">
        <f>BY147/BY148</f>
        <v>14.68493810232299</v>
      </c>
      <c r="BZ149" s="35">
        <f t="shared" ref="BZ149:CG149" si="573">BZ147/BZ148</f>
        <v>21.165493839692836</v>
      </c>
      <c r="CA149" s="35">
        <f t="shared" si="573"/>
        <v>23.902226190064088</v>
      </c>
      <c r="CB149" s="35">
        <f t="shared" si="573"/>
        <v>26.855175786316501</v>
      </c>
      <c r="CC149" s="35">
        <f t="shared" si="573"/>
        <v>29.393210861214069</v>
      </c>
      <c r="CD149" s="35">
        <f t="shared" si="573"/>
        <v>31.419809942017739</v>
      </c>
      <c r="CE149" s="35">
        <f t="shared" si="573"/>
        <v>33.334363292805584</v>
      </c>
      <c r="CF149" s="35">
        <f t="shared" si="573"/>
        <v>36.098030232287876</v>
      </c>
      <c r="CG149" s="35">
        <f t="shared" si="573"/>
        <v>38.037483477577261</v>
      </c>
      <c r="CH149" s="545"/>
      <c r="CM149" s="638"/>
      <c r="CN149" s="638"/>
      <c r="CO149" s="638"/>
      <c r="CP149" s="638"/>
      <c r="CQ149" s="638"/>
      <c r="CR149" s="638"/>
      <c r="CS149" s="638"/>
      <c r="CT149" s="638"/>
      <c r="CU149" s="638"/>
      <c r="CV149" s="638"/>
      <c r="CW149" s="638"/>
      <c r="CX149" s="638"/>
      <c r="CY149" s="638"/>
      <c r="CZ149" s="638"/>
      <c r="DA149" s="638"/>
      <c r="DB149" s="638"/>
      <c r="DC149" s="638"/>
      <c r="DD149" s="638"/>
      <c r="DE149" s="638"/>
      <c r="DF149" s="638"/>
      <c r="DG149" s="638"/>
      <c r="DH149" s="451" t="e">
        <f>SUM(DH108:DH148)</f>
        <v>#VALUE!</v>
      </c>
      <c r="DI149" s="451">
        <f t="shared" ref="DI149:DR149" si="574">SUM(DI108:DI148)</f>
        <v>158444.70945276853</v>
      </c>
      <c r="DJ149" s="451">
        <f t="shared" si="574"/>
        <v>7287517.8143035443</v>
      </c>
      <c r="DK149" s="451">
        <f t="shared" si="574"/>
        <v>8242719.5076903924</v>
      </c>
      <c r="DL149" s="451">
        <f t="shared" si="574"/>
        <v>6304652.6834578766</v>
      </c>
      <c r="DM149" s="451">
        <f t="shared" si="574"/>
        <v>1043101.3773182814</v>
      </c>
      <c r="DN149" s="451">
        <f t="shared" si="574"/>
        <v>143891.84933223817</v>
      </c>
      <c r="DO149" s="451">
        <f t="shared" si="574"/>
        <v>123469.98096320269</v>
      </c>
      <c r="DP149" s="451">
        <f t="shared" si="574"/>
        <v>20551.199523659576</v>
      </c>
      <c r="DQ149" s="451">
        <f t="shared" si="574"/>
        <v>20209.154717138183</v>
      </c>
      <c r="DR149" s="451">
        <f t="shared" si="574"/>
        <v>5663.5978528372107</v>
      </c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</row>
    <row r="150" spans="1:134">
      <c r="U150" s="2"/>
      <c r="V150" s="2">
        <f>V147*V148/1000000</f>
        <v>1034.3188776258482</v>
      </c>
      <c r="W150" s="2">
        <f t="shared" ref="W150:AE150" si="575">W147*W148/1000000</f>
        <v>5795.6881558218038</v>
      </c>
      <c r="X150" s="2">
        <f t="shared" si="575"/>
        <v>25230.810948744445</v>
      </c>
      <c r="Y150" s="2">
        <f t="shared" si="575"/>
        <v>30446.915549960377</v>
      </c>
      <c r="Z150" s="2">
        <f t="shared" si="575"/>
        <v>25906.50878352463</v>
      </c>
      <c r="AA150" s="2">
        <f t="shared" si="575"/>
        <v>14450.483047677802</v>
      </c>
      <c r="AB150" s="2">
        <f t="shared" si="575"/>
        <v>10662.299402852797</v>
      </c>
      <c r="AC150" s="2">
        <f t="shared" si="575"/>
        <v>4349.9592927802896</v>
      </c>
      <c r="AD150" s="2">
        <f t="shared" si="575"/>
        <v>1059.5040837690683</v>
      </c>
      <c r="AE150" s="2">
        <f t="shared" si="575"/>
        <v>0</v>
      </c>
      <c r="AF150" s="1" t="s">
        <v>377</v>
      </c>
      <c r="AH150" s="1">
        <f t="shared" ref="AH150:AP150" si="576">$AE$101*AH149^$AE$102</f>
        <v>61.492678458283308</v>
      </c>
      <c r="AI150" s="1">
        <f t="shared" si="576"/>
        <v>100.13175614358292</v>
      </c>
      <c r="AJ150" s="1">
        <f t="shared" si="576"/>
        <v>133.28322979216591</v>
      </c>
      <c r="AK150" s="1">
        <f t="shared" si="576"/>
        <v>178.8155242259877</v>
      </c>
      <c r="AL150" s="1">
        <f t="shared" si="576"/>
        <v>231.24489380458729</v>
      </c>
      <c r="AM150" s="1">
        <f t="shared" si="576"/>
        <v>306.01816496173984</v>
      </c>
      <c r="AN150" s="1">
        <f t="shared" si="576"/>
        <v>387.00158442354086</v>
      </c>
      <c r="AO150" s="1">
        <f t="shared" si="576"/>
        <v>432.9637347876419</v>
      </c>
      <c r="AP150" s="1">
        <f t="shared" si="576"/>
        <v>540.36426264015563</v>
      </c>
      <c r="AR150" s="1"/>
      <c r="AS150" s="1"/>
      <c r="AT150" s="1"/>
      <c r="AU150" s="1"/>
      <c r="AV150" s="1"/>
      <c r="AW150" s="1"/>
      <c r="BL150" s="2"/>
      <c r="BM150" s="2">
        <f>BM147*BM148/1000000</f>
        <v>4684.0888147349096</v>
      </c>
      <c r="BN150" s="2">
        <f t="shared" ref="BN150:BV150" si="577">BN147*BN148/1000000</f>
        <v>11498.303474906948</v>
      </c>
      <c r="BO150" s="2">
        <f t="shared" si="577"/>
        <v>17028.439620764697</v>
      </c>
      <c r="BP150" s="2">
        <f t="shared" si="577"/>
        <v>22530.334152618332</v>
      </c>
      <c r="BQ150" s="2">
        <f t="shared" si="577"/>
        <v>14148.567911818878</v>
      </c>
      <c r="BR150" s="2">
        <f t="shared" si="577"/>
        <v>16123.802003017418</v>
      </c>
      <c r="BS150" s="2">
        <f t="shared" si="577"/>
        <v>11302.145358197704</v>
      </c>
      <c r="BT150" s="2">
        <f t="shared" si="577"/>
        <v>8050.2131657226573</v>
      </c>
      <c r="BU150" s="2">
        <f t="shared" si="577"/>
        <v>1096.9589672820141</v>
      </c>
      <c r="BV150" s="2">
        <f t="shared" si="577"/>
        <v>0</v>
      </c>
      <c r="BW150" s="1" t="s">
        <v>377</v>
      </c>
      <c r="BY150" s="1">
        <f t="shared" ref="BY150:CG150" si="578">$AE$101*BY149^$AE$102</f>
        <v>30.26847396589385</v>
      </c>
      <c r="BZ150" s="1">
        <f t="shared" si="578"/>
        <v>90.31979632620579</v>
      </c>
      <c r="CA150" s="1">
        <f t="shared" si="578"/>
        <v>129.93365482589229</v>
      </c>
      <c r="CB150" s="1">
        <f t="shared" si="578"/>
        <v>184.085725631462</v>
      </c>
      <c r="CC150" s="1">
        <f t="shared" si="578"/>
        <v>241.16399465652333</v>
      </c>
      <c r="CD150" s="1">
        <f t="shared" si="578"/>
        <v>294.38301142864339</v>
      </c>
      <c r="CE150" s="1">
        <f t="shared" si="578"/>
        <v>351.34976815729112</v>
      </c>
      <c r="CF150" s="1">
        <f t="shared" si="578"/>
        <v>445.85330682356818</v>
      </c>
      <c r="CG150" s="1">
        <f t="shared" si="578"/>
        <v>521.3932882675947</v>
      </c>
      <c r="CH150" s="75"/>
      <c r="CM150" s="638"/>
      <c r="CN150" s="638"/>
      <c r="CO150" s="638"/>
      <c r="CP150" s="638"/>
      <c r="CQ150" s="638"/>
      <c r="CR150" s="638"/>
      <c r="CS150" s="638"/>
      <c r="CT150" s="638"/>
      <c r="CU150" s="638"/>
      <c r="CV150" s="638"/>
      <c r="CW150" s="638"/>
      <c r="CX150" s="638"/>
      <c r="CY150" s="638"/>
      <c r="CZ150" s="638"/>
      <c r="DA150" s="638"/>
      <c r="DB150" s="638"/>
      <c r="DC150" s="638"/>
      <c r="DD150" s="638"/>
      <c r="DE150" s="638"/>
      <c r="DF150" s="638"/>
      <c r="DG150" s="638"/>
      <c r="DH150" s="451"/>
      <c r="DI150" s="451">
        <v>74.335263288230507</v>
      </c>
      <c r="DJ150" s="451">
        <v>90.266880779195631</v>
      </c>
      <c r="DK150" s="451">
        <v>127.86930933614825</v>
      </c>
      <c r="DL150" s="451">
        <v>205.58855869689131</v>
      </c>
      <c r="DM150" s="451">
        <v>277.58791393819376</v>
      </c>
      <c r="DN150" s="451">
        <v>332.61200639806128</v>
      </c>
      <c r="DO150" s="451">
        <v>414.7227594007141</v>
      </c>
      <c r="DP150" s="451">
        <v>435.92155006170429</v>
      </c>
      <c r="DQ150" s="451">
        <v>519.85817531069631</v>
      </c>
      <c r="DR150" s="451">
        <v>519.85817531069631</v>
      </c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</row>
    <row r="151" spans="1:134">
      <c r="AF151" s="1" t="s">
        <v>377</v>
      </c>
      <c r="AH151" s="1">
        <f>AH147*AH150/1000000</f>
        <v>15925.209057625805</v>
      </c>
      <c r="AI151" s="1">
        <f t="shared" ref="AI151:AP151" si="579">AI147*AI150/1000000</f>
        <v>140848.70777280323</v>
      </c>
      <c r="AJ151" s="1">
        <f t="shared" si="579"/>
        <v>633978.93198775058</v>
      </c>
      <c r="AK151" s="1">
        <f t="shared" si="579"/>
        <v>704303.00286279735</v>
      </c>
      <c r="AL151" s="1">
        <f t="shared" si="579"/>
        <v>625501.7175179508</v>
      </c>
      <c r="AM151" s="1">
        <f t="shared" si="579"/>
        <v>423179.03160861332</v>
      </c>
      <c r="AN151" s="1">
        <f t="shared" si="579"/>
        <v>342556.68118563067</v>
      </c>
      <c r="AO151" s="1">
        <f t="shared" si="579"/>
        <v>154437.17522676027</v>
      </c>
      <c r="AP151" s="1">
        <f t="shared" si="579"/>
        <v>42394.153555031211</v>
      </c>
      <c r="AR151" s="1"/>
      <c r="AS151" s="1"/>
      <c r="AT151" s="1"/>
      <c r="AU151" s="1"/>
      <c r="AV151" s="1"/>
      <c r="AW151" s="1"/>
      <c r="BW151" s="1" t="s">
        <v>377</v>
      </c>
      <c r="BY151" s="1">
        <f>BY147*BY150/1000000</f>
        <v>28008.695574183475</v>
      </c>
      <c r="BZ151" s="1">
        <f t="shared" ref="BZ151:CG151" si="580">BZ147*BZ150/1000000</f>
        <v>243509.93622926759</v>
      </c>
      <c r="CA151" s="1">
        <f t="shared" si="580"/>
        <v>413588.5822197313</v>
      </c>
      <c r="CB151" s="1">
        <f t="shared" si="580"/>
        <v>541772.3097646602</v>
      </c>
      <c r="CC151" s="1">
        <f t="shared" si="580"/>
        <v>361302.88520349684</v>
      </c>
      <c r="CD151" s="1">
        <f t="shared" si="580"/>
        <v>448379.58612361457</v>
      </c>
      <c r="CE151" s="1">
        <f t="shared" si="580"/>
        <v>319179.4004170525</v>
      </c>
      <c r="CF151" s="1">
        <f t="shared" si="580"/>
        <v>297217.61004966794</v>
      </c>
      <c r="CG151" s="1">
        <f t="shared" si="580"/>
        <v>41848.771901877481</v>
      </c>
      <c r="CH151" s="75"/>
      <c r="CM151" s="638"/>
      <c r="CN151" s="638"/>
      <c r="CO151" s="638"/>
      <c r="CP151" s="638"/>
      <c r="CQ151" s="638"/>
      <c r="CR151" s="638"/>
      <c r="CS151" s="638"/>
      <c r="CT151" s="638"/>
      <c r="CU151" s="638"/>
      <c r="CV151" s="638"/>
      <c r="CW151" s="638"/>
      <c r="CX151" s="638"/>
      <c r="CY151" s="638"/>
      <c r="CZ151" s="638"/>
      <c r="DA151" s="638"/>
      <c r="DB151" s="638"/>
      <c r="DC151" s="638"/>
      <c r="DD151" s="638"/>
      <c r="DE151" s="638"/>
      <c r="DF151" s="638"/>
      <c r="DG151" s="638"/>
      <c r="DH151" s="655">
        <v>3.5533238853578897E-2</v>
      </c>
      <c r="DI151" s="655">
        <v>5.3708598435113469E-2</v>
      </c>
      <c r="DJ151" s="655">
        <v>0.10236843717136922</v>
      </c>
      <c r="DK151" s="655">
        <v>0.13894156437035637</v>
      </c>
      <c r="DL151" s="655">
        <v>0.1754292364557247</v>
      </c>
      <c r="DM151" s="655">
        <v>0.23369924338114631</v>
      </c>
      <c r="DN151" s="655">
        <v>0.31808321146546525</v>
      </c>
      <c r="DO151" s="655">
        <v>0.39601719205597852</v>
      </c>
      <c r="DP151" s="655">
        <v>0.48357552951599225</v>
      </c>
      <c r="DQ151" s="655">
        <v>0.55064229332083636</v>
      </c>
      <c r="DR151" s="655">
        <v>0.59224391720710856</v>
      </c>
      <c r="DU151" s="35"/>
      <c r="DV151" s="35"/>
      <c r="DW151" s="35"/>
      <c r="DX151" s="35"/>
      <c r="DY151" s="35"/>
      <c r="DZ151" s="35"/>
      <c r="EA151" s="35"/>
      <c r="EB151" s="35"/>
      <c r="EC151" s="35"/>
      <c r="ED151" s="35"/>
    </row>
    <row r="152" spans="1:134">
      <c r="A152" s="22"/>
      <c r="CM152" s="638"/>
      <c r="CN152" s="638"/>
      <c r="CO152" s="638"/>
      <c r="CP152" s="638"/>
      <c r="CQ152" s="638"/>
      <c r="CR152" s="638"/>
      <c r="CS152" s="638"/>
      <c r="CT152" s="638"/>
      <c r="CU152" s="638"/>
      <c r="CV152" s="638"/>
      <c r="CW152" s="638"/>
      <c r="CX152" s="638"/>
      <c r="CY152" s="638"/>
      <c r="CZ152" s="638"/>
      <c r="DA152" s="638"/>
      <c r="DB152" s="638"/>
      <c r="DC152" s="638"/>
      <c r="DD152" s="638"/>
      <c r="DE152" s="638"/>
      <c r="DF152" s="638"/>
      <c r="DG152" s="638"/>
      <c r="DH152" s="451"/>
      <c r="DI152" s="451">
        <f>DI149*DI150/1000000</f>
        <v>11.778029193798734</v>
      </c>
      <c r="DJ152" s="451">
        <f t="shared" ref="DJ152:DR152" si="581">DJ149*DJ150/1000000</f>
        <v>657.8215017200024</v>
      </c>
      <c r="DK152" s="451">
        <f t="shared" si="581"/>
        <v>1053.9908504999664</v>
      </c>
      <c r="DL152" s="451">
        <f t="shared" si="581"/>
        <v>1296.164458276593</v>
      </c>
      <c r="DM152" s="451">
        <f t="shared" si="581"/>
        <v>289.55233535583847</v>
      </c>
      <c r="DN152" s="451">
        <f t="shared" si="581"/>
        <v>47.860156710723274</v>
      </c>
      <c r="DO152" s="451">
        <f t="shared" si="581"/>
        <v>51.205811208213063</v>
      </c>
      <c r="DP152" s="451">
        <f t="shared" si="581"/>
        <v>8.9587107519810409</v>
      </c>
      <c r="DQ152" s="451">
        <f t="shared" si="581"/>
        <v>10.505894295823007</v>
      </c>
      <c r="DR152" s="451">
        <f t="shared" si="581"/>
        <v>2.9442676454695302</v>
      </c>
    </row>
    <row r="153" spans="1:134">
      <c r="AJ153" s="78"/>
      <c r="AK153" s="78"/>
      <c r="AL153" s="222"/>
      <c r="AN153" s="398"/>
      <c r="CM153" s="638"/>
      <c r="CN153" s="638"/>
      <c r="CO153" s="638"/>
      <c r="CP153" s="638"/>
      <c r="CQ153" s="638"/>
      <c r="CR153" s="638"/>
      <c r="CS153" s="638"/>
      <c r="CT153" s="638"/>
      <c r="CU153" s="638"/>
      <c r="CV153" s="638"/>
      <c r="CW153" s="638"/>
      <c r="CX153" s="638"/>
      <c r="CY153" s="638"/>
      <c r="CZ153" s="638"/>
      <c r="DA153" s="638"/>
      <c r="DB153" s="638"/>
      <c r="DC153" s="638"/>
      <c r="DD153" s="638"/>
      <c r="DE153" s="638"/>
      <c r="DF153" s="638"/>
      <c r="DG153" s="638"/>
      <c r="DH153" s="638"/>
      <c r="DI153" s="638"/>
      <c r="DJ153" s="638"/>
      <c r="DK153" s="638"/>
      <c r="DL153" s="638"/>
      <c r="DM153" s="638"/>
      <c r="DN153" s="638"/>
      <c r="DO153" s="638"/>
      <c r="DP153" s="638"/>
      <c r="DQ153" s="638"/>
      <c r="DR153" s="638"/>
    </row>
    <row r="154" spans="1:134">
      <c r="AJ154" s="78"/>
      <c r="AK154" s="78"/>
      <c r="AL154" s="222"/>
      <c r="AN154" s="398"/>
      <c r="CM154" s="638"/>
      <c r="CN154" s="638"/>
      <c r="CO154" s="638"/>
      <c r="CP154" s="638"/>
      <c r="CQ154" s="638"/>
      <c r="CR154" s="638"/>
      <c r="CS154" s="638"/>
      <c r="CT154" s="638"/>
      <c r="CU154" s="638"/>
      <c r="CV154" s="638"/>
      <c r="CW154" s="638"/>
      <c r="CX154" s="638"/>
      <c r="CY154" s="638"/>
      <c r="CZ154" s="638"/>
      <c r="DA154" s="638"/>
      <c r="DB154" s="638"/>
      <c r="DC154" s="638"/>
      <c r="DD154" s="638"/>
      <c r="DE154" s="638"/>
      <c r="DF154" s="638"/>
      <c r="DG154" s="638"/>
      <c r="DH154" s="638"/>
      <c r="DI154" s="638"/>
      <c r="DJ154" s="638"/>
      <c r="DK154" s="638"/>
      <c r="DL154" s="638"/>
      <c r="DM154" s="638"/>
      <c r="DN154" s="638"/>
      <c r="DO154" s="638"/>
      <c r="DP154" s="638"/>
      <c r="DQ154" s="638"/>
      <c r="DR154" s="638"/>
    </row>
    <row r="155" spans="1:134">
      <c r="AJ155" s="78"/>
      <c r="AK155" s="78"/>
      <c r="AL155" s="222"/>
      <c r="AM155" s="78"/>
      <c r="AN155" s="398"/>
      <c r="CN155" s="75"/>
      <c r="CO155" s="75"/>
      <c r="CP155" s="75"/>
      <c r="CQ155" s="75"/>
      <c r="CR155" s="75"/>
      <c r="CS155" s="75"/>
    </row>
    <row r="156" spans="1:134">
      <c r="AJ156" s="78"/>
      <c r="AK156" s="78"/>
      <c r="AL156" s="222"/>
      <c r="AN156" s="398"/>
      <c r="CN156" s="75"/>
      <c r="CO156" s="75"/>
      <c r="CP156" s="75"/>
      <c r="CQ156" s="75"/>
      <c r="CR156" s="75"/>
      <c r="CS156" s="75"/>
    </row>
    <row r="157" spans="1:134">
      <c r="AJ157" s="78"/>
      <c r="AK157" s="78"/>
      <c r="AL157" s="222"/>
      <c r="AN157" s="398"/>
      <c r="CN157" s="75"/>
      <c r="CO157" s="75"/>
      <c r="CP157" s="75"/>
      <c r="CQ157" s="75"/>
      <c r="CR157" s="75"/>
      <c r="CS157" s="75"/>
    </row>
    <row r="158" spans="1:134">
      <c r="AJ158" s="78" t="s">
        <v>571</v>
      </c>
      <c r="AK158" s="78">
        <v>2718574.5691377949</v>
      </c>
      <c r="AL158" s="222">
        <f>AK158/1000</f>
        <v>2718.5745691377947</v>
      </c>
      <c r="AN158" s="398"/>
    </row>
    <row r="159" spans="1:134">
      <c r="AJ159" s="78" t="s">
        <v>572</v>
      </c>
      <c r="AK159" s="78">
        <v>13914242.472180922</v>
      </c>
      <c r="AL159" s="222">
        <f t="shared" ref="AL159:AL165" si="582">AK159/1000</f>
        <v>13914.242472180922</v>
      </c>
      <c r="AN159" s="398"/>
    </row>
    <row r="160" spans="1:134">
      <c r="AJ160" s="78" t="s">
        <v>573</v>
      </c>
      <c r="AK160" s="78">
        <v>64206141.896038271</v>
      </c>
      <c r="AL160" s="222">
        <f t="shared" si="582"/>
        <v>64206.141896038273</v>
      </c>
      <c r="AN160" s="398"/>
    </row>
    <row r="161" spans="36:38">
      <c r="AJ161" s="78" t="s">
        <v>574</v>
      </c>
      <c r="AK161" s="78">
        <v>197317175.47966591</v>
      </c>
      <c r="AL161" s="222">
        <f t="shared" si="582"/>
        <v>197317.17547966589</v>
      </c>
    </row>
    <row r="162" spans="36:38">
      <c r="AJ162" s="78" t="s">
        <v>575</v>
      </c>
      <c r="AK162" s="1">
        <v>148096351.97087824</v>
      </c>
      <c r="AL162" s="222">
        <f t="shared" si="582"/>
        <v>148096.35197087826</v>
      </c>
    </row>
    <row r="163" spans="36:38">
      <c r="AJ163" s="78" t="s">
        <v>576</v>
      </c>
      <c r="AK163" s="1">
        <v>93327221.693422988</v>
      </c>
      <c r="AL163" s="222">
        <f t="shared" si="582"/>
        <v>93327.221693422995</v>
      </c>
    </row>
    <row r="164" spans="36:38">
      <c r="AJ164" s="78" t="s">
        <v>577</v>
      </c>
      <c r="AK164" s="1">
        <v>43445464.293865107</v>
      </c>
      <c r="AL164" s="222">
        <f t="shared" si="582"/>
        <v>43445.464293865109</v>
      </c>
    </row>
    <row r="165" spans="36:38">
      <c r="AJ165" s="78" t="s">
        <v>578</v>
      </c>
      <c r="AK165" s="1">
        <v>25709462.915081188</v>
      </c>
      <c r="AL165" s="222">
        <f t="shared" si="582"/>
        <v>25709.462915081189</v>
      </c>
    </row>
    <row r="166" spans="36:38">
      <c r="AJ166" s="1" t="s">
        <v>638</v>
      </c>
      <c r="AK166" s="1">
        <v>12016830.059383836</v>
      </c>
      <c r="AL166" s="222">
        <f>AK168/1000</f>
        <v>9978.7663449181564</v>
      </c>
    </row>
    <row r="168" spans="36:38">
      <c r="AK168" s="1">
        <v>9978766.344918156</v>
      </c>
    </row>
    <row r="169" spans="36:38">
      <c r="AK169" s="1">
        <v>2038063.7144656798</v>
      </c>
    </row>
    <row r="170" spans="36:38">
      <c r="AJ170" s="78"/>
    </row>
    <row r="171" spans="36:38">
      <c r="AJ171" s="78"/>
    </row>
  </sheetData>
  <mergeCells count="3">
    <mergeCell ref="KV5:LT5"/>
    <mergeCell ref="LV5:MS5"/>
    <mergeCell ref="MY5:NW5"/>
  </mergeCells>
  <phoneticPr fontId="41" type="noConversion"/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17"/>
  <dimension ref="A1:AN81"/>
  <sheetViews>
    <sheetView topLeftCell="A54" zoomScaleNormal="100" workbookViewId="0">
      <selection activeCell="C16" sqref="C16"/>
    </sheetView>
  </sheetViews>
  <sheetFormatPr defaultColWidth="9.109375" defaultRowHeight="13.2"/>
  <cols>
    <col min="1" max="1" width="8.44140625" style="33" customWidth="1"/>
    <col min="2" max="14" width="6.44140625" style="33" customWidth="1"/>
    <col min="15" max="15" width="7.44140625" style="33" customWidth="1"/>
    <col min="16" max="16" width="8" style="33" customWidth="1"/>
    <col min="17" max="17" width="6.88671875" style="33" customWidth="1"/>
    <col min="18" max="18" width="7" style="33" bestFit="1" customWidth="1"/>
    <col min="19" max="20" width="8" style="33" bestFit="1" customWidth="1"/>
    <col min="21" max="24" width="7" style="33" bestFit="1" customWidth="1"/>
    <col min="25" max="25" width="7.44140625" style="33" bestFit="1" customWidth="1"/>
    <col min="26" max="26" width="7.109375" style="33" customWidth="1"/>
    <col min="27" max="27" width="8.33203125" style="33" customWidth="1"/>
    <col min="28" max="28" width="7.88671875" style="33" customWidth="1"/>
    <col min="29" max="29" width="7.33203125" style="33" customWidth="1"/>
    <col min="30" max="30" width="9.33203125" style="1974" customWidth="1"/>
    <col min="31" max="31" width="9.33203125" style="33" customWidth="1"/>
    <col min="32" max="34" width="11" style="33" customWidth="1"/>
    <col min="35" max="16384" width="9.109375" style="33"/>
  </cols>
  <sheetData>
    <row r="1" spans="1:40" ht="13.8">
      <c r="A1" s="9" t="s">
        <v>639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  <c r="R1" s="1"/>
      <c r="S1" s="1"/>
    </row>
    <row r="2" spans="1:40" ht="13.8" thickBo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"/>
      <c r="R2" s="1"/>
      <c r="S2" s="1"/>
    </row>
    <row r="3" spans="1:40" ht="13.8" thickTop="1">
      <c r="A3" s="142" t="s">
        <v>640</v>
      </c>
      <c r="B3" s="143">
        <v>1990</v>
      </c>
      <c r="C3" s="143">
        <v>1991</v>
      </c>
      <c r="D3" s="143">
        <v>1992</v>
      </c>
      <c r="E3" s="143">
        <v>1993</v>
      </c>
      <c r="F3" s="143">
        <v>1994</v>
      </c>
      <c r="G3" s="143">
        <v>1995</v>
      </c>
      <c r="H3" s="143">
        <v>1996</v>
      </c>
      <c r="I3" s="143">
        <v>1997</v>
      </c>
      <c r="J3" s="143">
        <v>1998</v>
      </c>
      <c r="K3" s="143">
        <v>1999</v>
      </c>
      <c r="L3" s="143">
        <v>2000</v>
      </c>
      <c r="M3" s="143">
        <v>2001</v>
      </c>
      <c r="N3" s="143">
        <v>2002</v>
      </c>
      <c r="O3" s="143">
        <v>2003</v>
      </c>
      <c r="P3" s="143">
        <v>2004</v>
      </c>
      <c r="Q3" s="143">
        <v>2005</v>
      </c>
      <c r="R3" s="143">
        <v>2006</v>
      </c>
      <c r="S3" s="143">
        <v>2007</v>
      </c>
      <c r="T3" s="143">
        <v>2008</v>
      </c>
      <c r="U3" s="143">
        <v>2009</v>
      </c>
      <c r="V3" s="143">
        <v>2010</v>
      </c>
      <c r="W3" s="143">
        <v>2011</v>
      </c>
      <c r="X3" s="143">
        <v>2012</v>
      </c>
      <c r="Y3" s="143">
        <v>2013</v>
      </c>
      <c r="Z3" s="394">
        <v>2014</v>
      </c>
      <c r="AA3" s="143">
        <v>2015</v>
      </c>
      <c r="AB3" s="395">
        <v>2016</v>
      </c>
      <c r="AC3" s="395">
        <v>2017</v>
      </c>
      <c r="AD3" s="1975">
        <v>2018</v>
      </c>
      <c r="AE3" s="395">
        <v>2019</v>
      </c>
      <c r="AF3" s="395">
        <v>2020</v>
      </c>
      <c r="AG3" s="395">
        <v>2021</v>
      </c>
      <c r="AH3" s="395">
        <v>2022</v>
      </c>
      <c r="AI3" s="395">
        <v>2023</v>
      </c>
      <c r="AJ3" s="1443">
        <v>2024</v>
      </c>
      <c r="AK3" s="1443">
        <v>2025</v>
      </c>
      <c r="AL3" s="1899"/>
      <c r="AM3" s="1900" t="s">
        <v>641</v>
      </c>
      <c r="AN3" s="1900" t="s">
        <v>642</v>
      </c>
    </row>
    <row r="4" spans="1:40">
      <c r="A4" s="810"/>
      <c r="B4" s="1873"/>
      <c r="C4" s="1873"/>
      <c r="D4" s="1873"/>
      <c r="E4" s="1873"/>
      <c r="F4" s="1873"/>
      <c r="G4" s="1873"/>
      <c r="H4" s="1873"/>
      <c r="I4" s="1873"/>
      <c r="J4" s="1873"/>
      <c r="K4" s="1873"/>
      <c r="L4" s="1873"/>
      <c r="M4" s="1873"/>
      <c r="N4" s="1873"/>
      <c r="O4" s="1873"/>
      <c r="P4" s="1873"/>
      <c r="Q4" s="1873"/>
      <c r="R4" s="1873"/>
      <c r="S4" s="1874">
        <v>123936.18239212115</v>
      </c>
      <c r="T4" s="1873"/>
      <c r="U4" s="1875">
        <v>76897.815963755857</v>
      </c>
      <c r="V4" s="1875">
        <v>7062.5876460388172</v>
      </c>
      <c r="W4" s="1875">
        <v>558.13743353338543</v>
      </c>
      <c r="X4" s="1875">
        <v>192.00419117526963</v>
      </c>
      <c r="Y4" s="1145">
        <v>25738.270985966545</v>
      </c>
      <c r="Z4" s="958"/>
      <c r="AA4" s="1145"/>
      <c r="AB4" s="811">
        <v>38979.871095728551</v>
      </c>
      <c r="AC4" s="811">
        <v>2718.5745691377947</v>
      </c>
      <c r="AD4" s="1976">
        <v>395636.82702624187</v>
      </c>
      <c r="AE4" s="1876">
        <v>609487.27068021032</v>
      </c>
      <c r="AF4" s="83">
        <v>4459.9387435888875</v>
      </c>
      <c r="AG4" s="83">
        <v>441451.65350964427</v>
      </c>
      <c r="AH4" s="83">
        <v>36972.696682113143</v>
      </c>
      <c r="AI4" s="83">
        <v>47511.712558911604</v>
      </c>
      <c r="AJ4" s="83">
        <v>111471.1622053633</v>
      </c>
      <c r="AK4" s="1901">
        <v>68228.23543674688</v>
      </c>
      <c r="AL4" s="1901"/>
      <c r="AM4" s="1902">
        <f>LN(AJ4)</f>
        <v>11.621521201501052</v>
      </c>
      <c r="AN4" s="1902">
        <f>LN(AK4)</f>
        <v>11.1306137674898</v>
      </c>
    </row>
    <row r="5" spans="1:40">
      <c r="A5" s="812">
        <v>1</v>
      </c>
      <c r="B5" s="1875">
        <v>4</v>
      </c>
      <c r="C5" s="1875">
        <v>6484</v>
      </c>
      <c r="D5" s="1875">
        <v>53108</v>
      </c>
      <c r="E5" s="1875">
        <v>66916</v>
      </c>
      <c r="F5" s="1875">
        <v>1536</v>
      </c>
      <c r="G5" s="1875">
        <v>12098</v>
      </c>
      <c r="H5" s="1875">
        <v>15126</v>
      </c>
      <c r="I5" s="1875">
        <v>10646</v>
      </c>
      <c r="J5" s="1875">
        <v>326</v>
      </c>
      <c r="K5" s="1875">
        <v>1376</v>
      </c>
      <c r="L5" s="1875">
        <v>0</v>
      </c>
      <c r="M5" s="1875">
        <v>0</v>
      </c>
      <c r="N5" s="1875">
        <v>12</v>
      </c>
      <c r="O5" s="1875">
        <v>2599.7379543533389</v>
      </c>
      <c r="P5" s="1875">
        <v>8464.1129999999994</v>
      </c>
      <c r="Q5" s="1875">
        <v>7551</v>
      </c>
      <c r="R5" s="1145">
        <v>10610.17951630778</v>
      </c>
      <c r="S5" s="1145">
        <v>83414.305159208903</v>
      </c>
      <c r="T5" s="1145">
        <v>26219.093063319684</v>
      </c>
      <c r="U5" s="1875">
        <v>68842.030584416163</v>
      </c>
      <c r="V5" s="1875">
        <v>48159.572249941957</v>
      </c>
      <c r="W5" s="1875">
        <v>126338.95740735123</v>
      </c>
      <c r="X5" s="1875">
        <v>1258.296066423595</v>
      </c>
      <c r="Y5" s="1145">
        <v>117092.33147406245</v>
      </c>
      <c r="Z5" s="83">
        <v>258816.77777805834</v>
      </c>
      <c r="AA5" s="1876">
        <v>67168.038001556706</v>
      </c>
      <c r="AB5" s="811">
        <v>991.89619072021731</v>
      </c>
      <c r="AC5" s="811">
        <v>13914.242472180922</v>
      </c>
      <c r="AD5" s="1976">
        <v>63013.011692346299</v>
      </c>
      <c r="AE5" s="1876">
        <v>16391.618044204788</v>
      </c>
      <c r="AF5" s="83">
        <v>86517.392966411891</v>
      </c>
      <c r="AG5" s="83">
        <v>93493.640798238863</v>
      </c>
      <c r="AH5" s="83">
        <v>64874.200711022102</v>
      </c>
      <c r="AI5" s="83">
        <v>179287.31189654311</v>
      </c>
      <c r="AJ5" s="83">
        <v>200753.80957723167</v>
      </c>
      <c r="AK5" s="1901">
        <v>142041.49958701988</v>
      </c>
      <c r="AL5" s="1901"/>
      <c r="AM5" s="1902">
        <f t="shared" ref="AM5:AM12" si="0">LN(AJ5)</f>
        <v>12.209834608352399</v>
      </c>
      <c r="AN5" s="1902">
        <f t="shared" ref="AN5:AN12" si="1">LN(AK5)</f>
        <v>11.863874544499321</v>
      </c>
    </row>
    <row r="6" spans="1:40">
      <c r="A6" s="812">
        <v>2</v>
      </c>
      <c r="B6" s="1875">
        <v>4586</v>
      </c>
      <c r="C6" s="1875">
        <v>13185</v>
      </c>
      <c r="D6" s="1875">
        <v>28247</v>
      </c>
      <c r="E6" s="1875">
        <v>35600</v>
      </c>
      <c r="F6" s="1875">
        <v>107303</v>
      </c>
      <c r="G6" s="1875">
        <v>14031</v>
      </c>
      <c r="H6" s="1875">
        <v>30261</v>
      </c>
      <c r="I6" s="1875">
        <v>24820</v>
      </c>
      <c r="J6" s="1875">
        <v>94706</v>
      </c>
      <c r="K6" s="1875">
        <v>15260</v>
      </c>
      <c r="L6" s="1875">
        <v>1661</v>
      </c>
      <c r="M6" s="1875">
        <v>2761</v>
      </c>
      <c r="N6" s="1875">
        <v>1234</v>
      </c>
      <c r="O6" s="1875">
        <v>15928.316145393068</v>
      </c>
      <c r="P6" s="1875">
        <v>494776.34700000001</v>
      </c>
      <c r="Q6" s="1875">
        <v>253340</v>
      </c>
      <c r="R6" s="1145">
        <v>188088.35000972555</v>
      </c>
      <c r="S6" s="1145">
        <v>297825.60782841011</v>
      </c>
      <c r="T6" s="1145">
        <v>418533.61133692268</v>
      </c>
      <c r="U6" s="1875">
        <v>102233.14422484797</v>
      </c>
      <c r="V6" s="1875">
        <v>51532.575055545691</v>
      </c>
      <c r="W6" s="1875">
        <v>116392.51758704263</v>
      </c>
      <c r="X6" s="1875">
        <v>162195.41227815667</v>
      </c>
      <c r="Y6" s="1145">
        <v>101310.68396407715</v>
      </c>
      <c r="Z6" s="83">
        <v>361805.81731044076</v>
      </c>
      <c r="AA6" s="1876">
        <v>290107.16897346522</v>
      </c>
      <c r="AB6" s="811">
        <v>48390.959802883743</v>
      </c>
      <c r="AC6" s="811">
        <v>64206.141896038273</v>
      </c>
      <c r="AD6" s="1976">
        <v>127381.19868164351</v>
      </c>
      <c r="AE6" s="1876">
        <v>69558.094777081191</v>
      </c>
      <c r="AF6" s="83">
        <v>227944.72564310272</v>
      </c>
      <c r="AG6" s="83">
        <v>81830.59932535034</v>
      </c>
      <c r="AH6" s="83">
        <v>76548.881022511501</v>
      </c>
      <c r="AI6" s="83">
        <v>215747.93726918753</v>
      </c>
      <c r="AJ6" s="83">
        <v>213170.05003859109</v>
      </c>
      <c r="AK6" s="1901">
        <v>49395.595717419368</v>
      </c>
      <c r="AL6" s="1901"/>
      <c r="AM6" s="1902">
        <f t="shared" si="0"/>
        <v>12.269845483162827</v>
      </c>
      <c r="AN6" s="1902">
        <f t="shared" si="1"/>
        <v>10.807616543683597</v>
      </c>
    </row>
    <row r="7" spans="1:40">
      <c r="A7" s="812">
        <v>3</v>
      </c>
      <c r="B7" s="1875">
        <v>22892</v>
      </c>
      <c r="C7" s="1875">
        <v>9050</v>
      </c>
      <c r="D7" s="1875">
        <v>15942</v>
      </c>
      <c r="E7" s="1875">
        <v>20089</v>
      </c>
      <c r="F7" s="1875">
        <v>111357</v>
      </c>
      <c r="G7" s="1875">
        <v>40680</v>
      </c>
      <c r="H7" s="1875">
        <v>32404</v>
      </c>
      <c r="I7" s="1875">
        <v>18779</v>
      </c>
      <c r="J7" s="1875">
        <v>134126</v>
      </c>
      <c r="K7" s="1875">
        <v>19154</v>
      </c>
      <c r="L7" s="1875">
        <v>4760</v>
      </c>
      <c r="M7" s="1875">
        <v>13933</v>
      </c>
      <c r="N7" s="1875">
        <v>14836</v>
      </c>
      <c r="O7" s="1875">
        <v>34786.258664412511</v>
      </c>
      <c r="P7" s="1875">
        <v>308491.34700000001</v>
      </c>
      <c r="Q7" s="1875">
        <v>350470</v>
      </c>
      <c r="R7" s="1145">
        <v>328260.15222980769</v>
      </c>
      <c r="S7" s="1145">
        <v>491274.56433894782</v>
      </c>
      <c r="T7" s="1145">
        <v>238907.6435906243</v>
      </c>
      <c r="U7" s="1875">
        <v>134410.8156960358</v>
      </c>
      <c r="V7" s="1875">
        <v>36755.548338634137</v>
      </c>
      <c r="W7" s="1875">
        <v>74986.478297932321</v>
      </c>
      <c r="X7" s="1875">
        <v>77750.793159613153</v>
      </c>
      <c r="Y7" s="1145">
        <v>181984.42669597201</v>
      </c>
      <c r="Z7" s="83">
        <v>149263.91500585538</v>
      </c>
      <c r="AA7" s="1876">
        <v>120312.21003161662</v>
      </c>
      <c r="AB7" s="811">
        <v>111825.963451781</v>
      </c>
      <c r="AC7" s="811">
        <v>197317.17547966589</v>
      </c>
      <c r="AD7" s="1976">
        <v>133170.65454697667</v>
      </c>
      <c r="AE7" s="1876">
        <v>99752.894775873559</v>
      </c>
      <c r="AF7" s="83">
        <v>290313.64278435166</v>
      </c>
      <c r="AG7" s="83">
        <v>90869.932300921326</v>
      </c>
      <c r="AH7" s="83">
        <v>124601.62237534074</v>
      </c>
      <c r="AI7" s="83">
        <v>107312.6823130111</v>
      </c>
      <c r="AJ7" s="83">
        <v>73983.037240682359</v>
      </c>
      <c r="AK7" s="1901">
        <v>27159.874448690411</v>
      </c>
      <c r="AL7" s="1901"/>
      <c r="AM7" s="1902">
        <f t="shared" si="0"/>
        <v>11.211591119432637</v>
      </c>
      <c r="AN7" s="1902">
        <f t="shared" si="1"/>
        <v>10.209495959006956</v>
      </c>
    </row>
    <row r="8" spans="1:40">
      <c r="A8" s="812">
        <v>4</v>
      </c>
      <c r="B8" s="1875">
        <v>48754</v>
      </c>
      <c r="C8" s="1875">
        <v>6983</v>
      </c>
      <c r="D8" s="1875">
        <v>5970</v>
      </c>
      <c r="E8" s="1875">
        <v>7534</v>
      </c>
      <c r="F8" s="1875">
        <v>8222</v>
      </c>
      <c r="G8" s="1875">
        <v>64130</v>
      </c>
      <c r="H8" s="1875">
        <v>33910</v>
      </c>
      <c r="I8" s="1875">
        <v>17397</v>
      </c>
      <c r="J8" s="1875">
        <v>79966</v>
      </c>
      <c r="K8" s="1875">
        <v>25152</v>
      </c>
      <c r="L8" s="1875">
        <v>15375</v>
      </c>
      <c r="M8" s="1875">
        <v>67957</v>
      </c>
      <c r="N8" s="1875">
        <v>26026</v>
      </c>
      <c r="O8" s="1875">
        <v>38725.91377852916</v>
      </c>
      <c r="P8" s="1875">
        <v>161607.318</v>
      </c>
      <c r="Q8" s="1875">
        <v>76289</v>
      </c>
      <c r="R8" s="1145">
        <v>188762.92537885119</v>
      </c>
      <c r="S8" s="1145">
        <v>303116.74432697054</v>
      </c>
      <c r="T8" s="1145">
        <v>66362.470277773653</v>
      </c>
      <c r="U8" s="1875">
        <v>103459.32617675432</v>
      </c>
      <c r="V8" s="1875">
        <v>31378.303466535614</v>
      </c>
      <c r="W8" s="1875">
        <v>26113.065303087638</v>
      </c>
      <c r="X8" s="1875">
        <v>14927.925270260772</v>
      </c>
      <c r="Y8" s="1145">
        <v>118094.12523320665</v>
      </c>
      <c r="Z8" s="83">
        <v>66782.320641712329</v>
      </c>
      <c r="AA8" s="1876">
        <v>46802.593705770189</v>
      </c>
      <c r="AB8" s="811">
        <v>75422.518794573582</v>
      </c>
      <c r="AC8" s="811">
        <v>148096.35197087826</v>
      </c>
      <c r="AD8" s="1976">
        <v>109589.43579071364</v>
      </c>
      <c r="AE8" s="1876">
        <v>50403.454157006214</v>
      </c>
      <c r="AF8" s="83">
        <v>92107.337445655547</v>
      </c>
      <c r="AG8" s="83">
        <v>96568.596225553396</v>
      </c>
      <c r="AH8" s="83">
        <v>66205.584607156328</v>
      </c>
      <c r="AI8" s="83">
        <v>53105.033816005918</v>
      </c>
      <c r="AJ8" s="83">
        <v>49654.32742293262</v>
      </c>
      <c r="AK8" s="1901">
        <v>22602.688084406218</v>
      </c>
      <c r="AL8" s="1901"/>
      <c r="AM8" s="1902">
        <f t="shared" si="0"/>
        <v>10.812840824243864</v>
      </c>
      <c r="AN8" s="1902">
        <f t="shared" si="1"/>
        <v>10.025824119975249</v>
      </c>
    </row>
    <row r="9" spans="1:40">
      <c r="A9" s="812">
        <v>5</v>
      </c>
      <c r="B9" s="1875">
        <v>17855</v>
      </c>
      <c r="C9" s="1875">
        <v>7626</v>
      </c>
      <c r="D9" s="1875">
        <v>5444</v>
      </c>
      <c r="E9" s="1875">
        <v>6796</v>
      </c>
      <c r="F9" s="1875">
        <v>584</v>
      </c>
      <c r="G9" s="1875">
        <v>51569</v>
      </c>
      <c r="H9" s="1875">
        <v>33737</v>
      </c>
      <c r="I9" s="1875">
        <v>38216</v>
      </c>
      <c r="J9" s="1875">
        <v>38008</v>
      </c>
      <c r="K9" s="1875">
        <v>29947</v>
      </c>
      <c r="L9" s="1875">
        <v>28735</v>
      </c>
      <c r="M9" s="1875">
        <v>59492</v>
      </c>
      <c r="N9" s="1875">
        <v>18538</v>
      </c>
      <c r="O9" s="1875">
        <v>29972.331360946744</v>
      </c>
      <c r="P9" s="1875">
        <v>82263.456000000006</v>
      </c>
      <c r="Q9" s="1875">
        <v>41694</v>
      </c>
      <c r="R9" s="1145">
        <v>54488.205891710648</v>
      </c>
      <c r="S9" s="1145">
        <v>81114.390294079596</v>
      </c>
      <c r="T9" s="1145">
        <v>38253.808937710768</v>
      </c>
      <c r="U9" s="1875">
        <v>115207.8058257151</v>
      </c>
      <c r="V9" s="1875">
        <v>26872.80379094349</v>
      </c>
      <c r="W9" s="1875">
        <v>14194.519862846413</v>
      </c>
      <c r="X9" s="1875">
        <v>5694.7178169418148</v>
      </c>
      <c r="Y9" s="1145">
        <v>24740.454358340285</v>
      </c>
      <c r="Z9" s="83">
        <v>10122.1091120493</v>
      </c>
      <c r="AA9" s="1876">
        <v>17395.204475546441</v>
      </c>
      <c r="AB9" s="811">
        <v>53038.481404174243</v>
      </c>
      <c r="AC9" s="811">
        <v>93327.221693422995</v>
      </c>
      <c r="AD9" s="1976">
        <v>50969.682761365191</v>
      </c>
      <c r="AE9" s="1876">
        <v>16005.815792934172</v>
      </c>
      <c r="AF9" s="83">
        <v>24632.859540878959</v>
      </c>
      <c r="AG9" s="83">
        <v>93052.918173487415</v>
      </c>
      <c r="AH9" s="83">
        <v>35888.089035878387</v>
      </c>
      <c r="AI9" s="83">
        <v>32629.838078642417</v>
      </c>
      <c r="AJ9" s="83">
        <v>30548.309625399903</v>
      </c>
      <c r="AK9" s="1901">
        <v>14491.621095657674</v>
      </c>
      <c r="AL9" s="1901"/>
      <c r="AM9" s="1902">
        <f t="shared" si="0"/>
        <v>10.327064631658097</v>
      </c>
      <c r="AN9" s="1902">
        <f t="shared" si="1"/>
        <v>9.5813259059139622</v>
      </c>
    </row>
    <row r="10" spans="1:40">
      <c r="A10" s="812">
        <v>6</v>
      </c>
      <c r="B10" s="1875">
        <v>6014</v>
      </c>
      <c r="C10" s="1875">
        <v>3872</v>
      </c>
      <c r="D10" s="1875">
        <v>6198</v>
      </c>
      <c r="E10" s="1875">
        <v>7829</v>
      </c>
      <c r="F10" s="1875">
        <v>238</v>
      </c>
      <c r="G10" s="1875">
        <v>8145</v>
      </c>
      <c r="H10" s="1875">
        <v>15470</v>
      </c>
      <c r="I10" s="1875">
        <v>29132</v>
      </c>
      <c r="J10" s="1875">
        <v>28945</v>
      </c>
      <c r="K10" s="1875">
        <v>40700</v>
      </c>
      <c r="L10" s="1875">
        <v>31238</v>
      </c>
      <c r="M10" s="1875">
        <v>46787</v>
      </c>
      <c r="N10" s="1875">
        <v>20378</v>
      </c>
      <c r="O10" s="1875">
        <v>25956.652578191039</v>
      </c>
      <c r="P10" s="1875">
        <v>33521.139000000003</v>
      </c>
      <c r="Q10" s="1875">
        <v>36823</v>
      </c>
      <c r="R10" s="1145">
        <v>25621.21572382365</v>
      </c>
      <c r="S10" s="1145">
        <v>24076.948785120672</v>
      </c>
      <c r="T10" s="1145">
        <v>27598.456759348453</v>
      </c>
      <c r="U10" s="1875">
        <v>110876.18302293448</v>
      </c>
      <c r="V10" s="1875">
        <v>31501.608080172176</v>
      </c>
      <c r="W10" s="1875">
        <v>8392.0296917720607</v>
      </c>
      <c r="X10" s="1875">
        <v>2055.8718285054788</v>
      </c>
      <c r="Y10" s="1145">
        <v>2712.1055844129423</v>
      </c>
      <c r="Z10" s="83">
        <v>1928.3036380984493</v>
      </c>
      <c r="AA10" s="1876">
        <v>24371.755192865774</v>
      </c>
      <c r="AB10" s="811">
        <v>36662.381411165625</v>
      </c>
      <c r="AC10" s="811">
        <v>43445.464293865109</v>
      </c>
      <c r="AD10" s="1976">
        <v>48476.307808687088</v>
      </c>
      <c r="AE10" s="1876">
        <v>4989.5845160597964</v>
      </c>
      <c r="AF10" s="83">
        <v>15478.528241681744</v>
      </c>
      <c r="AG10" s="83">
        <v>31932.432808123289</v>
      </c>
      <c r="AH10" s="83">
        <v>23926.692579790462</v>
      </c>
      <c r="AI10" s="83">
        <v>18213.386890107824</v>
      </c>
      <c r="AJ10" s="83">
        <v>21312.315323792547</v>
      </c>
      <c r="AK10" s="1901">
        <v>6148.8011382701688</v>
      </c>
      <c r="AL10" s="1901"/>
      <c r="AM10" s="1902">
        <f t="shared" si="0"/>
        <v>9.9670403688290357</v>
      </c>
      <c r="AN10" s="1902">
        <f t="shared" si="1"/>
        <v>8.7240124049312637</v>
      </c>
    </row>
    <row r="11" spans="1:40">
      <c r="A11" s="812">
        <v>7</v>
      </c>
      <c r="B11" s="1875">
        <v>3721</v>
      </c>
      <c r="C11" s="1875">
        <v>807</v>
      </c>
      <c r="D11" s="1875">
        <v>1967</v>
      </c>
      <c r="E11" s="1875">
        <v>2511</v>
      </c>
      <c r="F11" s="1875">
        <v>482</v>
      </c>
      <c r="G11" s="1875">
        <v>1459</v>
      </c>
      <c r="H11" s="1875">
        <v>3514</v>
      </c>
      <c r="I11" s="1875">
        <v>13619</v>
      </c>
      <c r="J11" s="1875">
        <v>26358</v>
      </c>
      <c r="K11" s="1875">
        <v>37394</v>
      </c>
      <c r="L11" s="1875">
        <v>31015</v>
      </c>
      <c r="M11" s="1875">
        <v>31598</v>
      </c>
      <c r="N11" s="1875">
        <v>15360</v>
      </c>
      <c r="O11" s="1875">
        <v>11924.855452240066</v>
      </c>
      <c r="P11" s="1875">
        <v>8728.2990000000009</v>
      </c>
      <c r="Q11" s="1875">
        <v>15638</v>
      </c>
      <c r="R11" s="1145">
        <v>12694.389478774823</v>
      </c>
      <c r="S11" s="1145">
        <v>33973.409460333984</v>
      </c>
      <c r="T11" s="1145">
        <v>15632.950065187068</v>
      </c>
      <c r="U11" s="1145">
        <v>68504.629819788664</v>
      </c>
      <c r="V11" s="1875">
        <v>33615.801312931275</v>
      </c>
      <c r="W11" s="1875">
        <v>2785.1738420329098</v>
      </c>
      <c r="X11" s="1875">
        <v>1400.5645036507933</v>
      </c>
      <c r="Y11" s="1145">
        <v>859.42138280225402</v>
      </c>
      <c r="Z11" s="83">
        <v>755.74658383846418</v>
      </c>
      <c r="AA11" s="1876">
        <v>14995.862061610813</v>
      </c>
      <c r="AB11" s="811">
        <v>25712.350767304568</v>
      </c>
      <c r="AC11" s="811">
        <v>25709.462915081189</v>
      </c>
      <c r="AD11" s="1976">
        <v>27252.291083637705</v>
      </c>
      <c r="AE11" s="1876">
        <v>2205.6632389863485</v>
      </c>
      <c r="AF11" s="83">
        <v>11559.140951151961</v>
      </c>
      <c r="AG11" s="83">
        <v>12468.63112957498</v>
      </c>
      <c r="AH11" s="83">
        <v>8890.9612749364278</v>
      </c>
      <c r="AI11" s="83">
        <v>2825.3360855764463</v>
      </c>
      <c r="AJ11" s="83">
        <v>9064.5068833805453</v>
      </c>
      <c r="AK11" s="1901">
        <v>3051.2043830488228</v>
      </c>
      <c r="AL11" s="1901"/>
      <c r="AM11" s="1902">
        <f t="shared" si="0"/>
        <v>9.112121723847288</v>
      </c>
      <c r="AN11" s="1902">
        <f t="shared" si="1"/>
        <v>8.023291671345131</v>
      </c>
    </row>
    <row r="12" spans="1:40">
      <c r="A12" s="812">
        <v>8</v>
      </c>
      <c r="B12" s="1875">
        <v>38</v>
      </c>
      <c r="C12" s="1875">
        <v>9</v>
      </c>
      <c r="D12" s="1875">
        <v>252</v>
      </c>
      <c r="E12" s="1875">
        <v>295</v>
      </c>
      <c r="F12" s="1875">
        <v>369</v>
      </c>
      <c r="G12" s="1875">
        <v>1215</v>
      </c>
      <c r="H12" s="1875">
        <v>1159</v>
      </c>
      <c r="I12" s="1875">
        <v>1243</v>
      </c>
      <c r="J12" s="1875">
        <v>25607</v>
      </c>
      <c r="K12" s="1875">
        <v>61210</v>
      </c>
      <c r="L12" s="1875">
        <v>19660</v>
      </c>
      <c r="M12" s="1875">
        <v>7541</v>
      </c>
      <c r="N12" s="1875">
        <v>4267</v>
      </c>
      <c r="O12" s="1875">
        <v>6914.0811496196102</v>
      </c>
      <c r="P12" s="1875">
        <v>5138.0789999999997</v>
      </c>
      <c r="Q12" s="1875">
        <v>5398</v>
      </c>
      <c r="R12" s="1145">
        <v>5713.5689642842581</v>
      </c>
      <c r="S12" s="1145">
        <v>69576.633817893904</v>
      </c>
      <c r="T12" s="1145">
        <v>7579.4158919988813</v>
      </c>
      <c r="U12" s="1145">
        <v>10317.274621548811</v>
      </c>
      <c r="V12" s="1875">
        <v>116400.44745505846</v>
      </c>
      <c r="W12" s="1875">
        <v>1078.6013432340865</v>
      </c>
      <c r="X12" s="1875">
        <v>1084.7634375917723</v>
      </c>
      <c r="Y12" s="1145">
        <v>692.90673465435555</v>
      </c>
      <c r="Z12" s="83">
        <v>226.50858432912943</v>
      </c>
      <c r="AA12" s="1876">
        <v>8784.6104453291027</v>
      </c>
      <c r="AB12" s="811">
        <v>19102.411888895673</v>
      </c>
      <c r="AC12" s="811">
        <v>9978.7663449181564</v>
      </c>
      <c r="AD12" s="1976">
        <v>20577.226458856374</v>
      </c>
      <c r="AE12" s="1876">
        <v>735.21226909586687</v>
      </c>
      <c r="AF12" s="83">
        <v>7309.8240394054628</v>
      </c>
      <c r="AG12" s="83">
        <v>11583.154590105325</v>
      </c>
      <c r="AH12" s="83">
        <v>4404.0686837381436</v>
      </c>
      <c r="AI12" s="83">
        <v>1146.6381064897757</v>
      </c>
      <c r="AJ12" s="83">
        <v>4916.0461771349401</v>
      </c>
      <c r="AK12" s="1901">
        <v>460.95021449298184</v>
      </c>
      <c r="AL12" s="1901"/>
      <c r="AM12" s="1902">
        <f t="shared" si="0"/>
        <v>8.500259863875117</v>
      </c>
      <c r="AN12" s="1902">
        <f t="shared" si="1"/>
        <v>6.1332900425725825</v>
      </c>
    </row>
    <row r="13" spans="1:40" s="56" customFormat="1">
      <c r="A13" s="810" t="s">
        <v>643</v>
      </c>
      <c r="B13" s="1874">
        <v>105854</v>
      </c>
      <c r="C13" s="1874">
        <v>50008</v>
      </c>
      <c r="D13" s="1874">
        <v>119118</v>
      </c>
      <c r="E13" s="1874">
        <v>149562</v>
      </c>
      <c r="F13" s="1874">
        <v>232085</v>
      </c>
      <c r="G13" s="1874">
        <v>195322</v>
      </c>
      <c r="H13" s="1874">
        <v>167577</v>
      </c>
      <c r="I13" s="1874">
        <v>155849</v>
      </c>
      <c r="J13" s="1874">
        <v>430041</v>
      </c>
      <c r="K13" s="1874">
        <v>232193</v>
      </c>
      <c r="L13" s="1874">
        <v>134444</v>
      </c>
      <c r="M13" s="1874">
        <v>230069</v>
      </c>
      <c r="N13" s="1874">
        <v>100651</v>
      </c>
      <c r="O13" s="1874">
        <v>166808.14708368553</v>
      </c>
      <c r="P13" s="1874">
        <v>1102990.098</v>
      </c>
      <c r="Q13" s="1874">
        <f>SUM(Q3:Q12)</f>
        <v>789208</v>
      </c>
      <c r="R13" s="1493">
        <v>814238.9871932856</v>
      </c>
      <c r="S13" s="1493">
        <v>1508308.786403087</v>
      </c>
      <c r="T13" s="1493">
        <v>1508308.786403087</v>
      </c>
      <c r="U13" s="1493">
        <f>SUM(U4:U12)</f>
        <v>790749.02593579714</v>
      </c>
      <c r="V13" s="1874">
        <f>SUM(V4:V12)</f>
        <v>383279.24739580159</v>
      </c>
      <c r="W13" s="1874">
        <f>SUM(W4:W12)</f>
        <v>370839.48076883267</v>
      </c>
      <c r="X13" s="1874">
        <f>SUM(X4:X12)</f>
        <v>266560.3485523194</v>
      </c>
      <c r="Y13" s="1874">
        <f>SUM(Y4:Y12)</f>
        <v>573224.72641349456</v>
      </c>
      <c r="Z13" s="1877">
        <f>SUM(Z5:Z12)</f>
        <v>849701.49865438219</v>
      </c>
      <c r="AA13" s="1493">
        <f>SUM(AA5:AA12)</f>
        <v>589937.44288776082</v>
      </c>
      <c r="AB13" s="1493">
        <f t="shared" ref="AB13:AJ13" si="2">SUM(AB4:AB12)</f>
        <v>410126.83480722725</v>
      </c>
      <c r="AC13" s="1493">
        <f t="shared" si="2"/>
        <v>598713.40163518861</v>
      </c>
      <c r="AD13" s="1977">
        <f t="shared" si="2"/>
        <v>976066.63585046842</v>
      </c>
      <c r="AE13" s="1493">
        <f t="shared" si="2"/>
        <v>869529.60825145221</v>
      </c>
      <c r="AF13" s="1493">
        <f t="shared" si="2"/>
        <v>760323.39035622892</v>
      </c>
      <c r="AG13" s="1493">
        <f t="shared" si="2"/>
        <v>953251.55886099918</v>
      </c>
      <c r="AH13" s="1493">
        <f t="shared" si="2"/>
        <v>442312.79697248724</v>
      </c>
      <c r="AI13" s="1493">
        <f t="shared" si="2"/>
        <v>657779.87701447576</v>
      </c>
      <c r="AJ13" s="1493">
        <f t="shared" si="2"/>
        <v>714873.56449450902</v>
      </c>
      <c r="AK13" s="1903">
        <f t="shared" ref="AK13" si="3">SUM(AK4:AK12)</f>
        <v>333580.47010575241</v>
      </c>
      <c r="AL13" s="1904"/>
      <c r="AM13" s="1905"/>
      <c r="AN13" s="1905"/>
    </row>
    <row r="14" spans="1:40" s="56" customFormat="1" ht="13.8" thickBot="1">
      <c r="A14" s="396" t="s">
        <v>644</v>
      </c>
      <c r="B14" s="397">
        <v>33000</v>
      </c>
      <c r="C14" s="397">
        <v>11949</v>
      </c>
      <c r="D14" s="397">
        <v>20316</v>
      </c>
      <c r="E14" s="397">
        <v>25590</v>
      </c>
      <c r="F14" s="397">
        <v>33949</v>
      </c>
      <c r="G14" s="397">
        <v>50421</v>
      </c>
      <c r="H14" s="397">
        <v>38722</v>
      </c>
      <c r="I14" s="397">
        <v>42943</v>
      </c>
      <c r="J14" s="397">
        <v>78381</v>
      </c>
      <c r="K14" s="397">
        <v>72256</v>
      </c>
      <c r="L14" s="397">
        <v>55314</v>
      </c>
      <c r="M14" s="397">
        <v>69949</v>
      </c>
      <c r="N14" s="397">
        <v>31916</v>
      </c>
      <c r="O14" s="397">
        <v>54604</v>
      </c>
      <c r="P14" s="397">
        <v>169350</v>
      </c>
      <c r="Q14" s="397">
        <v>120810</v>
      </c>
      <c r="R14" s="50">
        <v>92390.844504144276</v>
      </c>
      <c r="S14" s="50">
        <v>63382.891000000003</v>
      </c>
      <c r="T14" s="50">
        <v>119679.23699999999</v>
      </c>
      <c r="U14" s="50">
        <v>119564.69500000001</v>
      </c>
      <c r="V14" s="50">
        <v>110483</v>
      </c>
      <c r="W14" s="50">
        <v>67619.957629999975</v>
      </c>
      <c r="X14" s="50">
        <v>58559.971318141135</v>
      </c>
      <c r="Y14" s="1493">
        <v>86376.528999999995</v>
      </c>
      <c r="Z14" s="1877">
        <v>105251.61996634172</v>
      </c>
      <c r="AA14" s="1877">
        <v>114969.6957895854</v>
      </c>
      <c r="AB14" s="1877">
        <v>160228.81875599996</v>
      </c>
      <c r="AC14" s="1878">
        <v>111654.76164839999</v>
      </c>
      <c r="AD14" s="1978">
        <v>99272.529340000008</v>
      </c>
      <c r="AE14" s="1877">
        <v>75508.54363</v>
      </c>
      <c r="AF14" s="896">
        <v>81708.741718871432</v>
      </c>
      <c r="AG14" s="1490">
        <v>79557.476605335396</v>
      </c>
      <c r="AH14" s="577">
        <v>55800.288054632299</v>
      </c>
      <c r="AI14" s="577">
        <v>145179.35487298231</v>
      </c>
      <c r="AJ14" s="2">
        <v>89444.353637926106</v>
      </c>
      <c r="AK14" s="222">
        <v>29186.403284022734</v>
      </c>
      <c r="AL14" s="222"/>
      <c r="AM14" s="1905"/>
      <c r="AN14" s="1905"/>
    </row>
    <row r="15" spans="1:40" ht="13.8" thickTop="1">
      <c r="A15" s="8" t="s">
        <v>645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1"/>
      <c r="R15" s="1"/>
      <c r="S15" s="1"/>
    </row>
    <row r="16" spans="1:40">
      <c r="A16" s="56" t="s">
        <v>646</v>
      </c>
      <c r="B16" s="83"/>
      <c r="C16" s="1023">
        <f>C14/C13*1000</f>
        <v>238.9417693169093</v>
      </c>
      <c r="D16" s="1023">
        <f t="shared" ref="D16:L16" si="4">D14/D13*1000</f>
        <v>170.55356873016672</v>
      </c>
      <c r="E16" s="1023">
        <f t="shared" si="4"/>
        <v>171.09961086372209</v>
      </c>
      <c r="F16" s="1023">
        <f t="shared" si="4"/>
        <v>146.27830320787643</v>
      </c>
      <c r="G16" s="1023">
        <f t="shared" si="4"/>
        <v>258.14296392623464</v>
      </c>
      <c r="H16" s="1023">
        <f t="shared" si="4"/>
        <v>231.06989622680919</v>
      </c>
      <c r="I16" s="1023">
        <f t="shared" si="4"/>
        <v>275.54235189189535</v>
      </c>
      <c r="J16" s="1023">
        <f t="shared" si="4"/>
        <v>182.26401668678102</v>
      </c>
      <c r="K16" s="1023">
        <f t="shared" si="4"/>
        <v>311.18939847454493</v>
      </c>
      <c r="L16" s="1023">
        <f t="shared" si="4"/>
        <v>411.42780637291366</v>
      </c>
      <c r="M16" s="1023">
        <f t="shared" ref="M16:AG16" si="5">M14/M13*1000</f>
        <v>304.03487649357368</v>
      </c>
      <c r="N16" s="1023">
        <f t="shared" si="5"/>
        <v>317.09570694777</v>
      </c>
      <c r="O16" s="1023">
        <f t="shared" si="5"/>
        <v>327.34612160523466</v>
      </c>
      <c r="P16" s="1023">
        <f t="shared" si="5"/>
        <v>153.53718977810803</v>
      </c>
      <c r="Q16" s="1023">
        <f t="shared" si="5"/>
        <v>153.0775156866124</v>
      </c>
      <c r="R16" s="1023">
        <f t="shared" si="5"/>
        <v>113.46895193832368</v>
      </c>
      <c r="S16" s="1023">
        <f t="shared" si="5"/>
        <v>42.022490070585107</v>
      </c>
      <c r="T16" s="1023">
        <f t="shared" si="5"/>
        <v>79.346641800982255</v>
      </c>
      <c r="U16" s="1023">
        <f t="shared" si="5"/>
        <v>151.20435318716125</v>
      </c>
      <c r="V16" s="1023">
        <f t="shared" si="5"/>
        <v>288.25719302748303</v>
      </c>
      <c r="W16" s="1023">
        <f t="shared" si="5"/>
        <v>182.34293039621556</v>
      </c>
      <c r="X16" s="1023">
        <f t="shared" si="5"/>
        <v>219.68748028796645</v>
      </c>
      <c r="Y16" s="1023">
        <f t="shared" si="5"/>
        <v>150.68528104227738</v>
      </c>
      <c r="Z16" s="1023">
        <f t="shared" si="5"/>
        <v>123.86893530613041</v>
      </c>
      <c r="AA16" s="1023">
        <f t="shared" si="5"/>
        <v>194.88455458396641</v>
      </c>
      <c r="AB16" s="1023">
        <f t="shared" si="5"/>
        <v>390.68113851002374</v>
      </c>
      <c r="AC16" s="1023">
        <f t="shared" si="5"/>
        <v>186.49116813395483</v>
      </c>
      <c r="AD16" s="1979">
        <f t="shared" si="5"/>
        <v>101.7067131420814</v>
      </c>
      <c r="AE16" s="1023">
        <f t="shared" si="5"/>
        <v>86.838381250571857</v>
      </c>
      <c r="AF16" s="1023">
        <f t="shared" si="5"/>
        <v>107.46577411039401</v>
      </c>
      <c r="AG16" s="1023">
        <f t="shared" si="5"/>
        <v>83.459057439565399</v>
      </c>
      <c r="AH16" s="1023">
        <f>AH14:AI14/AH13:AI13*1000</f>
        <v>126.15571703231365</v>
      </c>
      <c r="AI16" s="1023">
        <f>AI14:AI14/AI13:AI13*1000</f>
        <v>220.71115269126324</v>
      </c>
      <c r="AJ16" s="1023">
        <f>AJ14:AJ14/AJ13:AJ13*1000</f>
        <v>125.11912326926328</v>
      </c>
      <c r="AK16" s="1023">
        <f>AK14:AK14/AK13:AK13*1000</f>
        <v>87.494340645212219</v>
      </c>
      <c r="AL16" s="1023"/>
    </row>
    <row r="17" spans="2:38">
      <c r="C17" s="83">
        <f>AVERAGE(C16:AJ16)</f>
        <v>194.88229804204926</v>
      </c>
      <c r="D17" s="83">
        <f>$C$17</f>
        <v>194.88229804204926</v>
      </c>
      <c r="E17" s="83">
        <f t="shared" ref="E17:AK17" si="6">$C$17</f>
        <v>194.88229804204926</v>
      </c>
      <c r="F17" s="83">
        <f t="shared" si="6"/>
        <v>194.88229804204926</v>
      </c>
      <c r="G17" s="83">
        <f t="shared" si="6"/>
        <v>194.88229804204926</v>
      </c>
      <c r="H17" s="83">
        <f t="shared" si="6"/>
        <v>194.88229804204926</v>
      </c>
      <c r="I17" s="83">
        <f t="shared" si="6"/>
        <v>194.88229804204926</v>
      </c>
      <c r="J17" s="83">
        <f t="shared" si="6"/>
        <v>194.88229804204926</v>
      </c>
      <c r="K17" s="83">
        <f t="shared" si="6"/>
        <v>194.88229804204926</v>
      </c>
      <c r="L17" s="83">
        <f t="shared" si="6"/>
        <v>194.88229804204926</v>
      </c>
      <c r="M17" s="83">
        <f t="shared" si="6"/>
        <v>194.88229804204926</v>
      </c>
      <c r="N17" s="83">
        <f t="shared" si="6"/>
        <v>194.88229804204926</v>
      </c>
      <c r="O17" s="83">
        <f t="shared" si="6"/>
        <v>194.88229804204926</v>
      </c>
      <c r="P17" s="83">
        <f t="shared" si="6"/>
        <v>194.88229804204926</v>
      </c>
      <c r="Q17" s="83">
        <f t="shared" si="6"/>
        <v>194.88229804204926</v>
      </c>
      <c r="R17" s="83">
        <f t="shared" si="6"/>
        <v>194.88229804204926</v>
      </c>
      <c r="S17" s="83">
        <f t="shared" si="6"/>
        <v>194.88229804204926</v>
      </c>
      <c r="T17" s="83">
        <f>$C$17</f>
        <v>194.88229804204926</v>
      </c>
      <c r="U17" s="83">
        <f t="shared" si="6"/>
        <v>194.88229804204926</v>
      </c>
      <c r="V17" s="83">
        <f t="shared" si="6"/>
        <v>194.88229804204926</v>
      </c>
      <c r="W17" s="83">
        <f t="shared" si="6"/>
        <v>194.88229804204926</v>
      </c>
      <c r="X17" s="83">
        <f t="shared" si="6"/>
        <v>194.88229804204926</v>
      </c>
      <c r="Y17" s="83">
        <f t="shared" si="6"/>
        <v>194.88229804204926</v>
      </c>
      <c r="Z17" s="83">
        <f>$C$17</f>
        <v>194.88229804204926</v>
      </c>
      <c r="AA17" s="83">
        <f t="shared" si="6"/>
        <v>194.88229804204926</v>
      </c>
      <c r="AB17" s="83">
        <f t="shared" si="6"/>
        <v>194.88229804204926</v>
      </c>
      <c r="AC17" s="83">
        <f t="shared" si="6"/>
        <v>194.88229804204926</v>
      </c>
      <c r="AD17" s="1980">
        <f t="shared" si="6"/>
        <v>194.88229804204926</v>
      </c>
      <c r="AE17" s="83">
        <f t="shared" si="6"/>
        <v>194.88229804204926</v>
      </c>
      <c r="AF17" s="83">
        <f>$C$17</f>
        <v>194.88229804204926</v>
      </c>
      <c r="AG17" s="83">
        <f>$C$17</f>
        <v>194.88229804204926</v>
      </c>
      <c r="AH17" s="83">
        <f t="shared" si="6"/>
        <v>194.88229804204926</v>
      </c>
      <c r="AI17" s="83">
        <f t="shared" si="6"/>
        <v>194.88229804204926</v>
      </c>
      <c r="AJ17" s="83">
        <f t="shared" si="6"/>
        <v>194.88229804204926</v>
      </c>
      <c r="AK17" s="83">
        <f t="shared" si="6"/>
        <v>194.88229804204926</v>
      </c>
      <c r="AL17" s="83"/>
    </row>
    <row r="22" spans="2:38" ht="13.8">
      <c r="B22" s="1022" t="s">
        <v>647</v>
      </c>
      <c r="M22" s="33" t="s">
        <v>648</v>
      </c>
    </row>
    <row r="24" spans="2:38">
      <c r="L24" s="9"/>
      <c r="M24" s="8" t="s">
        <v>649</v>
      </c>
      <c r="N24" s="8" t="s">
        <v>650</v>
      </c>
      <c r="O24" s="8" t="s">
        <v>651</v>
      </c>
      <c r="P24" s="8" t="s">
        <v>652</v>
      </c>
      <c r="Q24" s="8" t="s">
        <v>653</v>
      </c>
      <c r="R24" s="8" t="s">
        <v>654</v>
      </c>
      <c r="S24" s="8" t="s">
        <v>655</v>
      </c>
      <c r="T24" s="8" t="s">
        <v>656</v>
      </c>
    </row>
    <row r="25" spans="2:38">
      <c r="L25" s="55">
        <v>1990</v>
      </c>
      <c r="M25" s="23">
        <v>1.3862943611198906</v>
      </c>
      <c r="N25" s="23">
        <v>9.4868350987873864</v>
      </c>
      <c r="O25" s="23">
        <v>9.6767124149878683</v>
      </c>
      <c r="P25" s="23">
        <v>8.9271813882519861</v>
      </c>
      <c r="Q25" s="23">
        <v>6.3699009828282271</v>
      </c>
      <c r="R25" s="23">
        <v>9.0051595210361448</v>
      </c>
      <c r="S25" s="23">
        <v>8.1645102687470423</v>
      </c>
      <c r="T25" s="23">
        <v>7.1252830915107115</v>
      </c>
    </row>
    <row r="26" spans="2:38">
      <c r="K26" s="34"/>
      <c r="L26" s="55">
        <v>1991</v>
      </c>
      <c r="M26" s="23">
        <v>8.7770928828555661</v>
      </c>
      <c r="N26" s="23">
        <v>10.248742536245267</v>
      </c>
      <c r="O26" s="23">
        <v>9.9079276805621497</v>
      </c>
      <c r="P26" s="23">
        <v>9.0145687674578241</v>
      </c>
      <c r="Q26" s="23">
        <v>10.850675995738127</v>
      </c>
      <c r="R26" s="23">
        <v>9.6466579435671118</v>
      </c>
      <c r="S26" s="23">
        <v>9.5192211555689568</v>
      </c>
      <c r="T26" s="23">
        <v>10.150621030590434</v>
      </c>
    </row>
    <row r="27" spans="2:38">
      <c r="K27" s="34"/>
      <c r="L27" s="55">
        <v>1992</v>
      </c>
      <c r="M27" s="23">
        <v>10.880082855015793</v>
      </c>
      <c r="N27" s="23">
        <v>10.480100916840122</v>
      </c>
      <c r="O27" s="23">
        <v>11.620496535550195</v>
      </c>
      <c r="P27" s="23">
        <v>11.068667552142909</v>
      </c>
      <c r="Q27" s="23">
        <v>10.426350436912623</v>
      </c>
      <c r="R27" s="23">
        <v>10.279592505337806</v>
      </c>
      <c r="S27" s="23">
        <v>10.179527113203834</v>
      </c>
      <c r="T27" s="23">
        <v>11.022065853845115</v>
      </c>
    </row>
    <row r="28" spans="2:38">
      <c r="K28" s="34"/>
      <c r="L28" s="55">
        <v>1993</v>
      </c>
      <c r="M28" s="23">
        <v>11.111193380451171</v>
      </c>
      <c r="N28" s="23">
        <v>11.583411887221422</v>
      </c>
      <c r="O28" s="23">
        <v>10.613491850162497</v>
      </c>
      <c r="P28" s="23">
        <v>10.431465235119685</v>
      </c>
      <c r="Q28" s="23">
        <v>10.551009555069799</v>
      </c>
      <c r="R28" s="23">
        <v>10.273152756513104</v>
      </c>
      <c r="S28" s="23">
        <v>10.52926554272522</v>
      </c>
      <c r="T28" s="23">
        <v>9.8863413937011568</v>
      </c>
    </row>
    <row r="29" spans="2:38">
      <c r="K29" s="34"/>
      <c r="L29" s="55">
        <v>1994</v>
      </c>
      <c r="M29" s="23">
        <v>7.3369369137076177</v>
      </c>
      <c r="N29" s="23">
        <v>9.5490244463939966</v>
      </c>
      <c r="O29" s="23">
        <v>10.386037150950381</v>
      </c>
      <c r="P29" s="23">
        <v>9.7640530565445509</v>
      </c>
      <c r="Q29" s="23">
        <v>10.545551942866757</v>
      </c>
      <c r="R29" s="23">
        <v>10.613983371430686</v>
      </c>
      <c r="S29" s="23">
        <v>10.342226237407218</v>
      </c>
      <c r="T29" s="23">
        <v>8.9281100782026463</v>
      </c>
    </row>
    <row r="30" spans="2:38">
      <c r="K30" s="34"/>
      <c r="L30" s="55">
        <v>1995</v>
      </c>
      <c r="M30" s="23">
        <v>9.4007954286668589</v>
      </c>
      <c r="N30" s="23">
        <v>10.317615033722944</v>
      </c>
      <c r="O30" s="23">
        <v>9.8404945032082072</v>
      </c>
      <c r="P30" s="23">
        <v>11.289356823317922</v>
      </c>
      <c r="Q30" s="23">
        <v>10.307184431581645</v>
      </c>
      <c r="R30" s="23">
        <v>10.349390581417667</v>
      </c>
      <c r="S30" s="23">
        <v>10.360849106432795</v>
      </c>
      <c r="T30" s="23">
        <v>8.3586662831880005</v>
      </c>
    </row>
    <row r="31" spans="2:38">
      <c r="K31" s="34"/>
      <c r="L31" s="55">
        <v>1996</v>
      </c>
      <c r="M31" s="23">
        <v>9.624170396415975</v>
      </c>
      <c r="N31" s="23">
        <v>10.119405058758598</v>
      </c>
      <c r="O31" s="23">
        <v>11.806534935636799</v>
      </c>
      <c r="P31" s="23">
        <v>10.132692695228933</v>
      </c>
      <c r="Q31" s="23">
        <v>10.265871170941843</v>
      </c>
      <c r="R31" s="23">
        <v>10.753360665540567</v>
      </c>
      <c r="S31" s="23">
        <v>9.6395220067016627</v>
      </c>
      <c r="T31" s="23">
        <v>8.841315357412924</v>
      </c>
    </row>
    <row r="32" spans="2:38">
      <c r="K32" s="34"/>
      <c r="L32" s="55">
        <v>1997</v>
      </c>
      <c r="M32" s="23">
        <v>9.2729395137327035</v>
      </c>
      <c r="N32" s="23">
        <v>11.458532635139683</v>
      </c>
      <c r="O32" s="23">
        <v>9.8602668500815653</v>
      </c>
      <c r="P32" s="23">
        <v>9.6404980926747186</v>
      </c>
      <c r="Q32" s="23">
        <v>10.993597128712489</v>
      </c>
      <c r="R32" s="23">
        <v>9.9222111665342307</v>
      </c>
      <c r="S32" s="23">
        <v>9.3863801942776313</v>
      </c>
      <c r="T32" s="23">
        <v>8.5444345531841677</v>
      </c>
    </row>
    <row r="33" spans="11:23">
      <c r="K33" s="34"/>
      <c r="L33" s="55">
        <v>1998</v>
      </c>
      <c r="M33" s="23">
        <v>5.7868973813667077</v>
      </c>
      <c r="N33" s="23">
        <v>9.6329903048384473</v>
      </c>
      <c r="O33" s="23">
        <v>8.4680029472254663</v>
      </c>
      <c r="P33" s="23">
        <v>11.12663043119762</v>
      </c>
      <c r="Q33" s="23">
        <v>9.8275779584357785</v>
      </c>
      <c r="R33" s="23">
        <v>10.164183217133713</v>
      </c>
      <c r="S33" s="23">
        <v>9.0743257844879999</v>
      </c>
      <c r="T33" s="23">
        <v>8.5937837935779502</v>
      </c>
    </row>
    <row r="34" spans="11:23">
      <c r="K34" s="34"/>
      <c r="L34" s="55">
        <v>1999</v>
      </c>
      <c r="M34" s="23">
        <v>7.2269360184932889</v>
      </c>
      <c r="N34" s="23">
        <v>7.415175109613295</v>
      </c>
      <c r="O34" s="23">
        <v>9.5420154061135918</v>
      </c>
      <c r="P34" s="23">
        <v>10.166851317336702</v>
      </c>
      <c r="Q34" s="23">
        <v>10.308029947106617</v>
      </c>
      <c r="R34" s="23">
        <v>10.419931533732326</v>
      </c>
      <c r="S34" s="23">
        <v>9.6574591286844598</v>
      </c>
      <c r="T34" s="23">
        <v>8.6505991449233477</v>
      </c>
    </row>
    <row r="35" spans="11:23">
      <c r="K35" s="34"/>
      <c r="L35" s="55">
        <v>2000</v>
      </c>
      <c r="M35" s="23"/>
      <c r="N35" s="23">
        <v>7.9233482119301542</v>
      </c>
      <c r="O35" s="23">
        <v>9.6048119386094815</v>
      </c>
      <c r="P35" s="23">
        <v>10.564264261611688</v>
      </c>
      <c r="Q35" s="23">
        <v>11.317682254030991</v>
      </c>
      <c r="R35" s="23">
        <v>10.513877928925865</v>
      </c>
      <c r="S35" s="23">
        <v>9.4489154015112806</v>
      </c>
      <c r="T35" s="35">
        <v>11.150184068948326</v>
      </c>
    </row>
    <row r="36" spans="11:23">
      <c r="K36" s="34"/>
      <c r="L36" s="55">
        <v>2001</v>
      </c>
      <c r="M36" s="23"/>
      <c r="N36" s="23">
        <v>7.1180162044653335</v>
      </c>
      <c r="O36" s="23">
        <v>10.456977721817314</v>
      </c>
      <c r="P36" s="23">
        <v>11.992924708697279</v>
      </c>
      <c r="Q36" s="23">
        <v>10.638112512542383</v>
      </c>
      <c r="R36" s="23">
        <v>10.151176026464785</v>
      </c>
      <c r="S36" s="35">
        <v>10.433333422922281</v>
      </c>
      <c r="T36" s="35">
        <v>8.9331914165641617</v>
      </c>
    </row>
    <row r="37" spans="11:23">
      <c r="K37" s="34"/>
      <c r="L37" s="55">
        <v>2002</v>
      </c>
      <c r="M37" s="23">
        <v>2.4849066497880004</v>
      </c>
      <c r="N37" s="23">
        <v>9.6758536939519448</v>
      </c>
      <c r="O37" s="23">
        <v>12.639449073311843</v>
      </c>
      <c r="P37" s="23">
        <v>11.242284039120532</v>
      </c>
      <c r="Q37" s="23">
        <v>10.905739551575568</v>
      </c>
      <c r="R37" s="35">
        <v>10.089010179812799</v>
      </c>
      <c r="S37" s="35">
        <v>9.6571361493796211</v>
      </c>
      <c r="T37" s="141">
        <v>9.2415749170992019</v>
      </c>
    </row>
    <row r="38" spans="11:23">
      <c r="K38" s="34"/>
      <c r="L38" s="55">
        <v>2003</v>
      </c>
      <c r="M38" s="23">
        <v>7.8631659321430663</v>
      </c>
      <c r="N38" s="23">
        <v>13.111861115205073</v>
      </c>
      <c r="O38" s="23">
        <v>12.767030389782164</v>
      </c>
      <c r="P38" s="35">
        <v>12.148247143595054</v>
      </c>
      <c r="Q38" s="35">
        <v>11.303615663254327</v>
      </c>
      <c r="R38" s="35">
        <v>10.225515135625606</v>
      </c>
      <c r="S38" s="1447">
        <v>11.134656610576362</v>
      </c>
      <c r="T38" s="34">
        <v>11.664791658387708</v>
      </c>
      <c r="U38" s="34"/>
      <c r="V38" s="34"/>
      <c r="W38" s="34"/>
    </row>
    <row r="39" spans="11:23">
      <c r="K39" s="34"/>
      <c r="L39" s="55">
        <v>2004</v>
      </c>
      <c r="M39" s="23">
        <v>9.0435905046705862</v>
      </c>
      <c r="N39" s="23">
        <v>12.442487739037624</v>
      </c>
      <c r="O39" s="35">
        <v>12.701561720033482</v>
      </c>
      <c r="P39" s="35">
        <v>12.621873305093006</v>
      </c>
      <c r="Q39" s="35">
        <v>10.551998414367786</v>
      </c>
      <c r="R39" s="1447">
        <v>11.616169389434862</v>
      </c>
      <c r="S39" s="34">
        <v>10.422751512576218</v>
      </c>
      <c r="T39" s="34">
        <v>6.983420428251959</v>
      </c>
      <c r="U39" s="34"/>
      <c r="V39" s="34"/>
      <c r="W39" s="34"/>
    </row>
    <row r="40" spans="11:23">
      <c r="K40" s="34"/>
      <c r="L40" s="55">
        <v>2005</v>
      </c>
      <c r="M40" s="23">
        <v>8.929435283803425</v>
      </c>
      <c r="N40" s="35">
        <v>12.144667078281886</v>
      </c>
      <c r="O40" s="35">
        <v>13.104758444658868</v>
      </c>
      <c r="P40" s="35">
        <v>11.102886969014993</v>
      </c>
      <c r="Q40" s="1447">
        <v>11.654492783852174</v>
      </c>
      <c r="R40" s="34">
        <v>10.357793873674906</v>
      </c>
      <c r="S40" s="34">
        <v>7.24</v>
      </c>
      <c r="T40" s="35">
        <v>6.54</v>
      </c>
      <c r="U40" s="34"/>
      <c r="V40" s="34"/>
      <c r="W40" s="34"/>
    </row>
    <row r="41" spans="11:23">
      <c r="K41" s="34"/>
      <c r="L41" s="55">
        <v>2006</v>
      </c>
      <c r="M41" s="23">
        <v>9.2695691510038003</v>
      </c>
      <c r="N41" s="35">
        <v>12.60426338555664</v>
      </c>
      <c r="O41" s="35">
        <v>12.383832327739807</v>
      </c>
      <c r="P41" s="1447">
        <v>11.546933830649715</v>
      </c>
      <c r="Q41" s="34">
        <v>10.198870042683998</v>
      </c>
      <c r="R41" s="34">
        <v>7.63</v>
      </c>
      <c r="S41" s="35">
        <v>6.76</v>
      </c>
      <c r="T41" s="34">
        <v>5.4227828441127617</v>
      </c>
      <c r="U41" s="34"/>
      <c r="V41" s="34"/>
      <c r="W41" s="34"/>
    </row>
    <row r="42" spans="11:23">
      <c r="L42" s="55">
        <v>2007</v>
      </c>
      <c r="M42" s="34">
        <v>11.331575098328914</v>
      </c>
      <c r="N42" s="35">
        <v>12.944512479514456</v>
      </c>
      <c r="O42" s="1447">
        <v>11.80865617776217</v>
      </c>
      <c r="P42" s="34">
        <v>10.353871960661566</v>
      </c>
      <c r="Q42" s="34">
        <v>8.65</v>
      </c>
      <c r="R42" s="34">
        <v>7.91</v>
      </c>
      <c r="S42" s="34">
        <v>6.6277061134223771</v>
      </c>
      <c r="T42" s="34">
        <v>9.0807566564768383</v>
      </c>
      <c r="U42" s="34"/>
      <c r="V42" s="34"/>
      <c r="W42" s="34"/>
    </row>
    <row r="43" spans="11:23">
      <c r="L43" s="55">
        <v>2008</v>
      </c>
      <c r="M43" s="35">
        <v>10.174243167219799</v>
      </c>
      <c r="N43" s="1447">
        <v>11.535011211659272</v>
      </c>
      <c r="O43" s="34">
        <v>10.512044468446303</v>
      </c>
      <c r="P43" s="34">
        <v>9.61</v>
      </c>
      <c r="Q43" s="34">
        <v>10.119999999999999</v>
      </c>
      <c r="R43" s="34">
        <v>7.5643959514107317</v>
      </c>
      <c r="S43" s="34">
        <v>9.6155295794679922</v>
      </c>
      <c r="T43" s="34">
        <v>10.15472673004761</v>
      </c>
      <c r="U43" s="34"/>
      <c r="V43" s="34"/>
      <c r="W43" s="34"/>
    </row>
    <row r="44" spans="11:23">
      <c r="L44" s="55">
        <v>2009</v>
      </c>
      <c r="M44" s="1447">
        <v>11.1395697470493</v>
      </c>
      <c r="N44" s="34">
        <v>10.849969412042386</v>
      </c>
      <c r="O44" s="34">
        <v>11.26</v>
      </c>
      <c r="P44" s="34">
        <v>11.68</v>
      </c>
      <c r="Q44" s="34">
        <v>9.2224773314086015</v>
      </c>
      <c r="R44" s="34">
        <v>10.101180166712069</v>
      </c>
      <c r="S44" s="34">
        <v>10.509506478671968</v>
      </c>
      <c r="T44" s="34">
        <v>9.2082147489311748</v>
      </c>
      <c r="U44" s="34"/>
      <c r="V44" s="34"/>
      <c r="W44" s="34"/>
    </row>
    <row r="45" spans="11:23">
      <c r="L45" s="55">
        <v>2010</v>
      </c>
      <c r="M45" s="34">
        <v>10.782275198089893</v>
      </c>
      <c r="N45" s="34">
        <v>12</v>
      </c>
      <c r="O45" s="35">
        <v>12.11</v>
      </c>
      <c r="P45" s="34">
        <v>11.109193663443609</v>
      </c>
      <c r="Q45" s="34">
        <v>9.7639498423629707</v>
      </c>
      <c r="R45" s="34">
        <v>10.878772993306846</v>
      </c>
      <c r="S45" s="34">
        <v>10.154614409924315</v>
      </c>
      <c r="T45" s="34">
        <v>9.9319402315428622</v>
      </c>
      <c r="U45" s="34"/>
      <c r="V45" s="34"/>
      <c r="W45" s="34"/>
    </row>
    <row r="46" spans="11:23">
      <c r="L46" s="55">
        <v>2011</v>
      </c>
      <c r="M46" s="34">
        <v>7.14</v>
      </c>
      <c r="N46" s="34">
        <v>11.53</v>
      </c>
      <c r="O46" s="34">
        <v>11.913471259778987</v>
      </c>
      <c r="P46" s="34">
        <v>10.753693901433513</v>
      </c>
      <c r="Q46" s="34">
        <v>11.230861167159663</v>
      </c>
      <c r="R46" s="34">
        <v>10.679261736150604</v>
      </c>
      <c r="S46" s="34">
        <v>10.212892873020932</v>
      </c>
      <c r="T46" s="34">
        <v>7.698783531309048</v>
      </c>
      <c r="U46" s="34"/>
      <c r="V46" s="34"/>
      <c r="W46" s="34"/>
    </row>
    <row r="47" spans="11:23">
      <c r="L47" s="55">
        <v>2012</v>
      </c>
      <c r="M47" s="34">
        <v>11.67</v>
      </c>
      <c r="N47" s="34">
        <v>12.79886293061573</v>
      </c>
      <c r="O47" s="34">
        <v>11.697845393334513</v>
      </c>
      <c r="P47" s="34">
        <v>11.624699043974026</v>
      </c>
      <c r="Q47" s="34">
        <v>11.443867109483065</v>
      </c>
      <c r="R47" s="34">
        <v>10.788830458781213</v>
      </c>
      <c r="S47" s="34">
        <v>8.5151079219643115</v>
      </c>
      <c r="T47" s="1448">
        <v>9.3552318272809956</v>
      </c>
      <c r="U47" s="34"/>
      <c r="V47" s="34"/>
      <c r="W47" s="34"/>
    </row>
    <row r="48" spans="11:23">
      <c r="L48" s="55">
        <v>2013</v>
      </c>
      <c r="M48" s="34">
        <v>12.463875668634529</v>
      </c>
      <c r="N48" s="34">
        <v>12.578005681880907</v>
      </c>
      <c r="O48" s="34">
        <v>10.787068294326838</v>
      </c>
      <c r="P48" s="34">
        <v>11.905618367750476</v>
      </c>
      <c r="Q48" s="34">
        <v>10.838986279288138</v>
      </c>
      <c r="R48" s="34">
        <v>9.680707422234887</v>
      </c>
      <c r="S48" s="34">
        <v>9.6472090677970588</v>
      </c>
      <c r="T48" s="34">
        <v>9.4309712595591595</v>
      </c>
      <c r="U48" s="34"/>
      <c r="V48" s="34"/>
      <c r="W48" s="34"/>
    </row>
    <row r="49" spans="12:25">
      <c r="L49" s="55">
        <v>2014</v>
      </c>
      <c r="M49" s="34">
        <v>11.114952788388969</v>
      </c>
      <c r="N49" s="34">
        <v>6.8996184553576567</v>
      </c>
      <c r="O49" s="34">
        <v>12.192567740830393</v>
      </c>
      <c r="P49" s="34">
        <v>11.604496260079495</v>
      </c>
      <c r="Q49" s="34">
        <v>10.827814986572289</v>
      </c>
      <c r="R49" s="34">
        <v>10.111836584289394</v>
      </c>
      <c r="S49" s="34">
        <v>10.371377474730057</v>
      </c>
      <c r="T49" s="34">
        <v>9.0927904525764411</v>
      </c>
      <c r="U49" s="34"/>
      <c r="V49" s="34"/>
      <c r="W49" s="34"/>
      <c r="Y49" s="33" t="s">
        <v>657</v>
      </c>
    </row>
    <row r="50" spans="12:25">
      <c r="L50" s="55">
        <v>2015</v>
      </c>
      <c r="M50" s="34">
        <v>10.570800666122491</v>
      </c>
      <c r="N50" s="34">
        <v>11.069854153264735</v>
      </c>
      <c r="O50" s="34">
        <v>11.799386701607462</v>
      </c>
      <c r="P50" s="34">
        <v>11.510451354640539</v>
      </c>
      <c r="Q50" s="34">
        <v>11.430709887318212</v>
      </c>
      <c r="R50" s="34">
        <v>11.440923622927242</v>
      </c>
      <c r="S50" s="34">
        <v>10.082749959055629</v>
      </c>
      <c r="T50" s="1449">
        <v>7.9463826048500135</v>
      </c>
      <c r="U50" s="34"/>
      <c r="V50" s="34"/>
      <c r="W50" s="34"/>
    </row>
    <row r="51" spans="12:25">
      <c r="L51" s="55">
        <v>2016</v>
      </c>
      <c r="M51" s="34">
        <v>9.5406682328216803</v>
      </c>
      <c r="N51" s="34">
        <v>11.754939434162472</v>
      </c>
      <c r="O51" s="34">
        <v>11.149917578459435</v>
      </c>
      <c r="P51" s="34">
        <v>12.578717144376439</v>
      </c>
      <c r="Q51" s="34">
        <v>11.478008876514348</v>
      </c>
      <c r="R51" s="34">
        <v>10.488160737694228</v>
      </c>
      <c r="S51" s="1449">
        <v>9.8099121460979237</v>
      </c>
      <c r="T51" s="1450">
        <v>9.112121723847288</v>
      </c>
      <c r="U51" s="34"/>
      <c r="V51" s="34"/>
      <c r="W51" s="34"/>
    </row>
    <row r="52" spans="12:25">
      <c r="L52" s="55">
        <v>2017</v>
      </c>
      <c r="M52" s="34">
        <v>11.051096518847443</v>
      </c>
      <c r="N52" s="34">
        <v>9.7045253882932272</v>
      </c>
      <c r="O52" s="34">
        <v>12.336858447155437</v>
      </c>
      <c r="P52" s="34">
        <v>11.417184447678896</v>
      </c>
      <c r="Q52" s="34">
        <v>11.100520097991744</v>
      </c>
      <c r="R52" s="1449">
        <v>10.392982427228821</v>
      </c>
      <c r="S52" s="1450">
        <v>9.9670403688290357</v>
      </c>
      <c r="T52" s="33">
        <v>8.023291671345131</v>
      </c>
      <c r="U52" s="34"/>
      <c r="V52" s="34"/>
      <c r="W52" s="34"/>
    </row>
    <row r="53" spans="12:25">
      <c r="L53" s="55">
        <v>2018</v>
      </c>
      <c r="M53" s="1449">
        <v>13.320373342829278</v>
      </c>
      <c r="N53" s="34">
        <v>11.368100747463359</v>
      </c>
      <c r="O53" s="34">
        <v>11.312406527524301</v>
      </c>
      <c r="P53" s="34">
        <v>11.732876905919587</v>
      </c>
      <c r="Q53" s="1449">
        <v>10.880027001531747</v>
      </c>
      <c r="R53" s="1450">
        <v>10.327064631658097</v>
      </c>
      <c r="S53" s="33">
        <v>8.7240124049312637</v>
      </c>
      <c r="T53" s="34"/>
      <c r="U53" s="34"/>
      <c r="V53" s="34"/>
      <c r="W53" s="34"/>
    </row>
    <row r="54" spans="12:25">
      <c r="L54" s="55">
        <v>2019</v>
      </c>
      <c r="M54" s="34">
        <v>8.4028903102984636</v>
      </c>
      <c r="N54" s="34">
        <v>11.445648700110739</v>
      </c>
      <c r="O54" s="34">
        <v>11.245684783376268</v>
      </c>
      <c r="P54" s="1449">
        <v>11.58350211653657</v>
      </c>
      <c r="Q54" s="1450">
        <v>10.812840824243864</v>
      </c>
      <c r="R54" s="33">
        <v>9.5813259059139622</v>
      </c>
      <c r="S54" s="34"/>
      <c r="T54" s="34"/>
      <c r="U54" s="34"/>
      <c r="V54" s="34"/>
      <c r="W54" s="34" t="s">
        <v>18</v>
      </c>
    </row>
    <row r="55" spans="12:25">
      <c r="L55" s="55">
        <v>2020</v>
      </c>
      <c r="M55" s="34">
        <v>12.997823787955616</v>
      </c>
      <c r="N55" s="34">
        <v>11.08020529994562</v>
      </c>
      <c r="O55" s="1449">
        <v>12.281866048154605</v>
      </c>
      <c r="P55" s="1450">
        <v>11.211591119432637</v>
      </c>
      <c r="Q55" s="33">
        <v>10.025824119975249</v>
      </c>
      <c r="S55" s="1451"/>
      <c r="T55" s="1451"/>
      <c r="U55" s="34"/>
      <c r="V55" s="34"/>
      <c r="W55" s="1451"/>
      <c r="Y55" s="821"/>
    </row>
    <row r="56" spans="12:25">
      <c r="L56" s="55">
        <v>2021</v>
      </c>
      <c r="M56" s="34">
        <v>10.517934991713384</v>
      </c>
      <c r="N56" s="1449">
        <v>12.09674489242974</v>
      </c>
      <c r="O56" s="1450">
        <v>12.269845483162827</v>
      </c>
      <c r="P56" s="33">
        <v>10.209495959006956</v>
      </c>
      <c r="R56" s="34"/>
      <c r="S56" s="34"/>
      <c r="T56" s="34"/>
      <c r="U56" s="34" t="s">
        <v>18</v>
      </c>
      <c r="V56" s="34"/>
      <c r="W56" s="34"/>
    </row>
    <row r="57" spans="12:25">
      <c r="L57" s="55">
        <v>2022</v>
      </c>
      <c r="M57" s="1449">
        <v>10.768731539814448</v>
      </c>
      <c r="N57" s="1450">
        <v>12.209834608352399</v>
      </c>
      <c r="O57" s="33">
        <v>10.807616543683597</v>
      </c>
      <c r="P57" s="34"/>
      <c r="Q57" s="34"/>
      <c r="R57" s="34"/>
      <c r="S57" s="34"/>
      <c r="T57" s="34"/>
      <c r="U57" s="34"/>
      <c r="V57" s="34"/>
      <c r="W57" s="34"/>
    </row>
    <row r="58" spans="12:25">
      <c r="L58" s="55">
        <v>2023</v>
      </c>
      <c r="M58" s="1450">
        <v>11.621521201501052</v>
      </c>
      <c r="N58" s="34">
        <v>11.863874544499321</v>
      </c>
      <c r="O58" s="34"/>
      <c r="P58" s="34"/>
      <c r="Q58" s="34"/>
      <c r="R58" s="34"/>
      <c r="S58" s="34"/>
      <c r="T58" s="34"/>
      <c r="U58" s="34"/>
      <c r="V58" s="34" t="s">
        <v>18</v>
      </c>
      <c r="W58" s="34"/>
      <c r="X58" s="1021" t="s">
        <v>18</v>
      </c>
    </row>
    <row r="59" spans="12:25">
      <c r="L59" s="55">
        <v>2024</v>
      </c>
      <c r="M59" s="34">
        <v>11.1306137674898</v>
      </c>
      <c r="N59" s="34"/>
      <c r="O59" s="34"/>
      <c r="P59" s="34"/>
      <c r="Q59" s="34"/>
      <c r="S59" s="34"/>
      <c r="T59" s="34"/>
      <c r="U59" s="34"/>
      <c r="V59" s="34"/>
      <c r="W59" s="34"/>
    </row>
    <row r="60" spans="12:25">
      <c r="L60" s="55">
        <v>2025</v>
      </c>
      <c r="M60" s="34"/>
      <c r="N60" s="34"/>
      <c r="O60" s="34"/>
      <c r="P60" s="34"/>
      <c r="Q60" s="34"/>
      <c r="S60" s="34"/>
      <c r="T60" s="34"/>
      <c r="U60" s="34"/>
      <c r="V60" s="34"/>
      <c r="W60" s="34"/>
    </row>
    <row r="61" spans="12:25">
      <c r="V61" s="33" t="s">
        <v>18</v>
      </c>
    </row>
    <row r="67" spans="1:18">
      <c r="R67" s="33" t="s">
        <v>18</v>
      </c>
    </row>
    <row r="68" spans="1:1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</row>
    <row r="69" spans="1:18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8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/>
      <c r="O70" s="8"/>
    </row>
    <row r="71" spans="1:18">
      <c r="A71" s="8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2"/>
      <c r="O71" s="8"/>
    </row>
    <row r="72" spans="1:18">
      <c r="A72" s="8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spans="1:18">
      <c r="A73" s="8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spans="1:18">
      <c r="A74" s="8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 spans="1:18">
      <c r="A75" s="56" t="s">
        <v>658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spans="1:18">
      <c r="A76" s="8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2"/>
      <c r="O76" s="8"/>
    </row>
    <row r="77" spans="1:18">
      <c r="A77" s="8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2"/>
      <c r="O77" s="8"/>
    </row>
    <row r="78" spans="1:18">
      <c r="A78" s="8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2"/>
      <c r="O78" s="8"/>
    </row>
    <row r="79" spans="1:18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2"/>
      <c r="O79" s="8"/>
    </row>
    <row r="80" spans="1:18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2"/>
      <c r="O80" s="8"/>
    </row>
    <row r="81" spans="2:15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</sheetData>
  <phoneticPr fontId="19" type="noConversion"/>
  <pageMargins left="0.78740157499999996" right="0.78740157499999996" top="0.984251969" bottom="0.984251969" header="0.5" footer="0.5"/>
  <pageSetup paperSize="9" orientation="portrait" r:id="rId1"/>
  <headerFooter alignWithMargins="0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"/>
  <sheetViews>
    <sheetView workbookViewId="0"/>
  </sheetViews>
  <sheetFormatPr defaultColWidth="11.44140625" defaultRowHeight="13.2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18"/>
  <dimension ref="A1:JE171"/>
  <sheetViews>
    <sheetView topLeftCell="HW1" zoomScale="80" zoomScaleNormal="80" workbookViewId="0">
      <selection activeCell="IL25" sqref="IL25"/>
    </sheetView>
  </sheetViews>
  <sheetFormatPr defaultColWidth="11.44140625" defaultRowHeight="13.2"/>
  <cols>
    <col min="1" max="6" width="11.44140625" style="1"/>
    <col min="7" max="13" width="13" style="1" bestFit="1" customWidth="1"/>
    <col min="14" max="17" width="11.44140625" style="1"/>
    <col min="18" max="19" width="11.5546875" style="1" bestFit="1" customWidth="1"/>
    <col min="20" max="21" width="13" style="1" bestFit="1" customWidth="1"/>
    <col min="22" max="25" width="12" style="1" bestFit="1" customWidth="1"/>
    <col min="26" max="28" width="11.5546875" style="1" bestFit="1" customWidth="1"/>
    <col min="29" max="36" width="11.44140625" style="1"/>
    <col min="37" max="37" width="11.44140625" style="75"/>
    <col min="38" max="78" width="11.44140625" style="1"/>
    <col min="79" max="79" width="23.88671875" style="1" customWidth="1"/>
    <col min="80" max="80" width="16.88671875" style="1" customWidth="1"/>
    <col min="81" max="85" width="11.44140625" style="1"/>
    <col min="86" max="86" width="11.44140625" style="75"/>
    <col min="87" max="122" width="11.44140625" style="1"/>
    <col min="123" max="123" width="11.44140625" style="75"/>
    <col min="124" max="143" width="11.44140625" style="1"/>
    <col min="144" max="144" width="15.44140625" style="1" customWidth="1"/>
    <col min="145" max="158" width="11.44140625" style="1"/>
    <col min="159" max="159" width="11.44140625" style="75"/>
    <col min="160" max="179" width="11.44140625" style="1"/>
    <col min="180" max="181" width="14.5546875" style="1" customWidth="1"/>
    <col min="182" max="197" width="11.44140625" style="1"/>
    <col min="198" max="198" width="11.44140625" style="75"/>
    <col min="199" max="200" width="11.44140625" style="1"/>
    <col min="201" max="201" width="13.88671875" style="1" customWidth="1"/>
    <col min="202" max="216" width="11.44140625" style="1"/>
    <col min="217" max="217" width="13.33203125" style="1" customWidth="1"/>
    <col min="218" max="233" width="11.44140625" style="1"/>
    <col min="234" max="234" width="11.44140625" style="75"/>
    <col min="235" max="16384" width="11.44140625" style="1"/>
  </cols>
  <sheetData>
    <row r="1" spans="1:265" ht="21.6" thickBot="1">
      <c r="BI1" s="1" t="s">
        <v>659</v>
      </c>
      <c r="CJ1" s="1" t="s">
        <v>597</v>
      </c>
      <c r="CK1" s="1" t="s">
        <v>148</v>
      </c>
      <c r="DD1" s="1" t="s">
        <v>660</v>
      </c>
      <c r="DW1" s="1" t="s">
        <v>661</v>
      </c>
      <c r="FO1" s="1" t="s">
        <v>18</v>
      </c>
      <c r="GC1" s="94" t="s">
        <v>662</v>
      </c>
      <c r="GQ1" s="1965" t="s">
        <v>597</v>
      </c>
      <c r="GR1" s="1965" t="s">
        <v>663</v>
      </c>
      <c r="GS1" s="1018"/>
      <c r="GT1" s="1017"/>
      <c r="GU1" s="1017"/>
      <c r="GV1" s="1017"/>
      <c r="GW1" s="1017"/>
      <c r="GX1" s="1453"/>
      <c r="GY1" s="1453"/>
      <c r="GZ1" s="1453"/>
      <c r="HA1" s="1453"/>
      <c r="HB1" s="1453"/>
      <c r="HC1" s="1453"/>
      <c r="HD1" s="1454"/>
      <c r="HE1" s="1027"/>
      <c r="HF1" s="1027"/>
      <c r="HG1" s="1027"/>
      <c r="IB1" s="1965" t="s">
        <v>597</v>
      </c>
      <c r="IC1" s="1965" t="s">
        <v>664</v>
      </c>
      <c r="ID1" s="1018"/>
      <c r="IE1" s="1017"/>
    </row>
    <row r="2" spans="1:265" ht="18" thickBot="1">
      <c r="A2" s="94" t="s">
        <v>665</v>
      </c>
      <c r="CJ2" s="1" t="s">
        <v>599</v>
      </c>
      <c r="CK2" s="1" t="s">
        <v>571</v>
      </c>
      <c r="CL2" s="1" t="s">
        <v>572</v>
      </c>
      <c r="CM2" s="1" t="s">
        <v>573</v>
      </c>
      <c r="CN2" s="1" t="s">
        <v>574</v>
      </c>
      <c r="CO2" s="1" t="s">
        <v>575</v>
      </c>
      <c r="CP2" s="1" t="s">
        <v>576</v>
      </c>
      <c r="CQ2" s="1" t="s">
        <v>577</v>
      </c>
      <c r="CR2" s="1" t="s">
        <v>578</v>
      </c>
      <c r="CS2" s="1" t="s">
        <v>579</v>
      </c>
      <c r="CT2" s="1" t="s">
        <v>580</v>
      </c>
      <c r="CU2" s="1" t="s">
        <v>581</v>
      </c>
      <c r="CV2" s="1" t="s">
        <v>602</v>
      </c>
      <c r="CW2" s="1" t="s">
        <v>603</v>
      </c>
      <c r="CX2" s="1" t="s">
        <v>604</v>
      </c>
      <c r="CY2" s="1" t="s">
        <v>666</v>
      </c>
      <c r="CZ2" s="1" t="s">
        <v>550</v>
      </c>
      <c r="DC2" s="1" t="s">
        <v>599</v>
      </c>
      <c r="DD2" s="1" t="s">
        <v>571</v>
      </c>
      <c r="DE2" s="1" t="s">
        <v>572</v>
      </c>
      <c r="DF2" s="1" t="s">
        <v>573</v>
      </c>
      <c r="DG2" s="1" t="s">
        <v>574</v>
      </c>
      <c r="DH2" s="1" t="s">
        <v>575</v>
      </c>
      <c r="DI2" s="1" t="s">
        <v>576</v>
      </c>
      <c r="DJ2" s="1" t="s">
        <v>577</v>
      </c>
      <c r="DK2" s="1" t="s">
        <v>578</v>
      </c>
      <c r="DL2" s="1" t="s">
        <v>579</v>
      </c>
      <c r="DM2" s="1" t="s">
        <v>580</v>
      </c>
      <c r="DN2" s="1" t="s">
        <v>581</v>
      </c>
      <c r="DO2" s="1" t="s">
        <v>602</v>
      </c>
      <c r="DP2" s="1" t="s">
        <v>603</v>
      </c>
      <c r="DQ2" s="1" t="s">
        <v>604</v>
      </c>
      <c r="DR2" s="1" t="s">
        <v>666</v>
      </c>
      <c r="DT2" s="1" t="s">
        <v>599</v>
      </c>
      <c r="DV2" s="1" t="s">
        <v>571</v>
      </c>
      <c r="DW2" s="1" t="s">
        <v>572</v>
      </c>
      <c r="DX2" s="1" t="s">
        <v>573</v>
      </c>
      <c r="DY2" s="1" t="s">
        <v>574</v>
      </c>
      <c r="DZ2" s="1" t="s">
        <v>575</v>
      </c>
      <c r="EA2" s="1" t="s">
        <v>576</v>
      </c>
      <c r="EB2" s="1" t="s">
        <v>577</v>
      </c>
      <c r="EC2" s="1" t="s">
        <v>578</v>
      </c>
      <c r="ED2" s="1" t="s">
        <v>579</v>
      </c>
      <c r="EE2" s="1" t="s">
        <v>580</v>
      </c>
      <c r="EF2" s="1" t="s">
        <v>581</v>
      </c>
      <c r="EG2" s="1" t="s">
        <v>602</v>
      </c>
      <c r="EH2" s="1" t="s">
        <v>603</v>
      </c>
      <c r="EI2" s="1" t="s">
        <v>604</v>
      </c>
      <c r="EJ2" s="1" t="s">
        <v>666</v>
      </c>
      <c r="EM2" s="1" t="s">
        <v>599</v>
      </c>
      <c r="EN2" s="1" t="s">
        <v>571</v>
      </c>
      <c r="EO2" s="1" t="s">
        <v>572</v>
      </c>
      <c r="EP2" s="1" t="s">
        <v>573</v>
      </c>
      <c r="EQ2" s="1" t="s">
        <v>574</v>
      </c>
      <c r="ER2" s="1" t="s">
        <v>575</v>
      </c>
      <c r="ES2" s="1" t="s">
        <v>576</v>
      </c>
      <c r="ET2" s="1" t="s">
        <v>577</v>
      </c>
      <c r="EU2" s="1" t="s">
        <v>578</v>
      </c>
      <c r="EV2" s="1" t="s">
        <v>579</v>
      </c>
      <c r="EW2" s="1" t="s">
        <v>580</v>
      </c>
      <c r="EX2" s="1" t="s">
        <v>581</v>
      </c>
      <c r="EY2" s="1" t="s">
        <v>602</v>
      </c>
      <c r="EZ2" s="1" t="s">
        <v>603</v>
      </c>
      <c r="FA2" s="1" t="s">
        <v>604</v>
      </c>
      <c r="FB2" s="1" t="s">
        <v>666</v>
      </c>
      <c r="FE2" s="1243" t="s">
        <v>599</v>
      </c>
      <c r="FF2" s="1244" t="s">
        <v>571</v>
      </c>
      <c r="FG2" s="1245" t="s">
        <v>572</v>
      </c>
      <c r="FH2" s="1246" t="s">
        <v>573</v>
      </c>
      <c r="FI2" s="1246" t="s">
        <v>574</v>
      </c>
      <c r="FJ2" s="1246" t="s">
        <v>575</v>
      </c>
      <c r="FK2" s="1246" t="s">
        <v>576</v>
      </c>
      <c r="FL2" s="1246" t="s">
        <v>577</v>
      </c>
      <c r="FM2" s="1246" t="s">
        <v>578</v>
      </c>
      <c r="FN2" s="1247" t="s">
        <v>579</v>
      </c>
      <c r="FO2" s="1247" t="s">
        <v>580</v>
      </c>
      <c r="FP2" s="1246" t="s">
        <v>581</v>
      </c>
      <c r="FQ2" s="1246" t="s">
        <v>602</v>
      </c>
      <c r="FR2" s="1246" t="s">
        <v>603</v>
      </c>
      <c r="FS2" s="1248" t="s">
        <v>604</v>
      </c>
      <c r="FT2" s="1249" t="s">
        <v>666</v>
      </c>
      <c r="FU2" s="1250" t="s">
        <v>601</v>
      </c>
      <c r="FV2" s="1017"/>
      <c r="FZ2" s="1243" t="s">
        <v>599</v>
      </c>
      <c r="GA2" s="1244" t="s">
        <v>571</v>
      </c>
      <c r="GB2" s="1245" t="s">
        <v>572</v>
      </c>
      <c r="GC2" s="1246" t="s">
        <v>573</v>
      </c>
      <c r="GD2" s="1246" t="s">
        <v>574</v>
      </c>
      <c r="GE2" s="1246" t="s">
        <v>575</v>
      </c>
      <c r="GF2" s="1246" t="s">
        <v>576</v>
      </c>
      <c r="GG2" s="1246" t="s">
        <v>577</v>
      </c>
      <c r="GH2" s="1246" t="s">
        <v>578</v>
      </c>
      <c r="GI2" s="1247" t="s">
        <v>579</v>
      </c>
      <c r="GJ2" s="1247" t="s">
        <v>580</v>
      </c>
      <c r="GK2" s="1246" t="s">
        <v>581</v>
      </c>
      <c r="GL2" s="1246" t="s">
        <v>602</v>
      </c>
      <c r="GM2" s="1246" t="s">
        <v>603</v>
      </c>
      <c r="GN2" s="1248" t="s">
        <v>604</v>
      </c>
      <c r="GO2" s="1249" t="s">
        <v>666</v>
      </c>
      <c r="GQ2" s="1243" t="s">
        <v>599</v>
      </c>
      <c r="GR2" s="1244" t="s">
        <v>571</v>
      </c>
      <c r="GS2" s="1245" t="s">
        <v>572</v>
      </c>
      <c r="GT2" s="1246" t="s">
        <v>573</v>
      </c>
      <c r="GU2" s="1246" t="s">
        <v>574</v>
      </c>
      <c r="GV2" s="1246" t="s">
        <v>575</v>
      </c>
      <c r="GW2" s="1246" t="s">
        <v>576</v>
      </c>
      <c r="GX2" s="1246" t="s">
        <v>577</v>
      </c>
      <c r="GY2" s="1246" t="s">
        <v>578</v>
      </c>
      <c r="GZ2" s="1247" t="s">
        <v>579</v>
      </c>
      <c r="HA2" s="1247" t="s">
        <v>580</v>
      </c>
      <c r="HB2" s="1246" t="s">
        <v>581</v>
      </c>
      <c r="HC2" s="1246" t="s">
        <v>602</v>
      </c>
      <c r="HD2" s="1246" t="s">
        <v>603</v>
      </c>
      <c r="HE2" s="1246" t="s">
        <v>604</v>
      </c>
      <c r="HF2" s="1455" t="s">
        <v>666</v>
      </c>
      <c r="HG2" s="1250" t="s">
        <v>601</v>
      </c>
      <c r="HI2" s="1250" t="s">
        <v>601</v>
      </c>
      <c r="HJ2" s="1243" t="s">
        <v>599</v>
      </c>
      <c r="HK2" s="1244" t="s">
        <v>571</v>
      </c>
      <c r="HL2" s="1245" t="s">
        <v>572</v>
      </c>
      <c r="HM2" s="1246" t="s">
        <v>573</v>
      </c>
      <c r="HN2" s="1246" t="s">
        <v>574</v>
      </c>
      <c r="HO2" s="1246" t="s">
        <v>575</v>
      </c>
      <c r="HP2" s="1246" t="s">
        <v>576</v>
      </c>
      <c r="HQ2" s="1246" t="s">
        <v>577</v>
      </c>
      <c r="HR2" s="1246" t="s">
        <v>578</v>
      </c>
      <c r="HS2" s="1247" t="s">
        <v>579</v>
      </c>
      <c r="HT2" s="1247" t="s">
        <v>580</v>
      </c>
      <c r="HU2" s="1246" t="s">
        <v>581</v>
      </c>
      <c r="HV2" s="1246" t="s">
        <v>602</v>
      </c>
      <c r="HW2" s="1246" t="s">
        <v>603</v>
      </c>
      <c r="HX2" s="1248" t="s">
        <v>604</v>
      </c>
      <c r="HY2" s="1249" t="s">
        <v>666</v>
      </c>
    </row>
    <row r="3" spans="1:265" ht="13.8" thickBot="1">
      <c r="CI3" s="1">
        <v>617645.63752917934</v>
      </c>
      <c r="CJ3" s="1">
        <v>9</v>
      </c>
      <c r="CK3" s="1">
        <v>100</v>
      </c>
      <c r="CZ3" s="1">
        <v>100</v>
      </c>
      <c r="DC3" s="1">
        <v>9</v>
      </c>
      <c r="DD3" s="2">
        <f>$CI3*CK3/100</f>
        <v>617645.63752917934</v>
      </c>
      <c r="DE3" s="2">
        <f t="shared" ref="DE3:DR3" si="0">$CI3*CL3/100</f>
        <v>0</v>
      </c>
      <c r="DF3" s="2">
        <f t="shared" si="0"/>
        <v>0</v>
      </c>
      <c r="DG3" s="2">
        <f t="shared" si="0"/>
        <v>0</v>
      </c>
      <c r="DH3" s="2">
        <f t="shared" si="0"/>
        <v>0</v>
      </c>
      <c r="DI3" s="2">
        <f t="shared" si="0"/>
        <v>0</v>
      </c>
      <c r="DJ3" s="2">
        <f t="shared" si="0"/>
        <v>0</v>
      </c>
      <c r="DK3" s="2">
        <f t="shared" si="0"/>
        <v>0</v>
      </c>
      <c r="DL3" s="2">
        <f t="shared" si="0"/>
        <v>0</v>
      </c>
      <c r="DM3" s="2">
        <f t="shared" si="0"/>
        <v>0</v>
      </c>
      <c r="DN3" s="2">
        <f t="shared" si="0"/>
        <v>0</v>
      </c>
      <c r="DO3" s="2">
        <f t="shared" si="0"/>
        <v>0</v>
      </c>
      <c r="DP3" s="2">
        <f t="shared" si="0"/>
        <v>0</v>
      </c>
      <c r="DQ3" s="2">
        <f t="shared" si="0"/>
        <v>0</v>
      </c>
      <c r="DR3" s="2">
        <f t="shared" si="0"/>
        <v>0</v>
      </c>
      <c r="DT3" s="1">
        <v>7</v>
      </c>
      <c r="EM3" s="1">
        <v>7</v>
      </c>
      <c r="EN3" s="2">
        <f>DV3*$DU3/100</f>
        <v>0</v>
      </c>
      <c r="EO3" s="2">
        <f t="shared" ref="EO3:FB3" si="1">DW3*$DU3/100</f>
        <v>0</v>
      </c>
      <c r="EP3" s="2">
        <f t="shared" si="1"/>
        <v>0</v>
      </c>
      <c r="EQ3" s="2">
        <f t="shared" si="1"/>
        <v>0</v>
      </c>
      <c r="ER3" s="2">
        <f t="shared" si="1"/>
        <v>0</v>
      </c>
      <c r="ES3" s="2">
        <f t="shared" si="1"/>
        <v>0</v>
      </c>
      <c r="ET3" s="2">
        <f t="shared" si="1"/>
        <v>0</v>
      </c>
      <c r="EU3" s="2">
        <f t="shared" si="1"/>
        <v>0</v>
      </c>
      <c r="EV3" s="2">
        <f t="shared" si="1"/>
        <v>0</v>
      </c>
      <c r="EW3" s="2">
        <f t="shared" si="1"/>
        <v>0</v>
      </c>
      <c r="EX3" s="2">
        <f t="shared" si="1"/>
        <v>0</v>
      </c>
      <c r="EY3" s="2">
        <f t="shared" si="1"/>
        <v>0</v>
      </c>
      <c r="EZ3" s="2">
        <f t="shared" si="1"/>
        <v>0</v>
      </c>
      <c r="FA3" s="2">
        <f t="shared" si="1"/>
        <v>0</v>
      </c>
      <c r="FB3" s="2">
        <f t="shared" si="1"/>
        <v>0</v>
      </c>
      <c r="FX3" s="1">
        <v>0</v>
      </c>
      <c r="GQ3" s="1256">
        <v>8</v>
      </c>
      <c r="GR3" s="1456">
        <v>100</v>
      </c>
      <c r="IB3" s="1" t="s">
        <v>667</v>
      </c>
      <c r="IC3" s="1" t="s">
        <v>668</v>
      </c>
      <c r="ID3" s="1" t="s">
        <v>649</v>
      </c>
      <c r="IE3" s="1" t="s">
        <v>650</v>
      </c>
      <c r="IF3" s="1" t="s">
        <v>651</v>
      </c>
      <c r="IG3" s="1" t="s">
        <v>652</v>
      </c>
      <c r="IH3" s="1" t="s">
        <v>653</v>
      </c>
      <c r="II3" s="1" t="s">
        <v>654</v>
      </c>
      <c r="IJ3" s="1" t="s">
        <v>655</v>
      </c>
      <c r="IK3" s="1" t="s">
        <v>656</v>
      </c>
      <c r="IL3" s="1" t="s">
        <v>669</v>
      </c>
      <c r="IM3" s="1" t="s">
        <v>670</v>
      </c>
      <c r="IN3" s="1" t="s">
        <v>671</v>
      </c>
      <c r="IO3" s="1" t="s">
        <v>550</v>
      </c>
      <c r="IQ3" s="1250" t="s">
        <v>601</v>
      </c>
      <c r="IR3" s="1" t="s">
        <v>667</v>
      </c>
      <c r="IS3" s="1" t="s">
        <v>668</v>
      </c>
      <c r="IT3" s="1" t="s">
        <v>649</v>
      </c>
      <c r="IU3" s="1" t="s">
        <v>650</v>
      </c>
      <c r="IV3" s="1" t="s">
        <v>651</v>
      </c>
      <c r="IW3" s="1" t="s">
        <v>652</v>
      </c>
      <c r="IX3" s="1" t="s">
        <v>653</v>
      </c>
      <c r="IY3" s="1" t="s">
        <v>654</v>
      </c>
      <c r="IZ3" s="1" t="s">
        <v>655</v>
      </c>
      <c r="JA3" s="1" t="s">
        <v>656</v>
      </c>
      <c r="JB3" s="1" t="s">
        <v>669</v>
      </c>
      <c r="JC3" s="1" t="s">
        <v>670</v>
      </c>
      <c r="JD3" s="1" t="s">
        <v>671</v>
      </c>
      <c r="JE3" s="1" t="s">
        <v>550</v>
      </c>
    </row>
    <row r="4" spans="1:265">
      <c r="A4" s="1" t="s">
        <v>672</v>
      </c>
      <c r="B4" s="1" t="s">
        <v>334</v>
      </c>
      <c r="D4" s="1" t="s">
        <v>599</v>
      </c>
      <c r="E4" s="1" t="s">
        <v>571</v>
      </c>
      <c r="F4" s="1" t="s">
        <v>572</v>
      </c>
      <c r="G4" s="1" t="s">
        <v>573</v>
      </c>
      <c r="H4" s="1" t="s">
        <v>574</v>
      </c>
      <c r="I4" s="1" t="s">
        <v>575</v>
      </c>
      <c r="J4" s="1" t="s">
        <v>576</v>
      </c>
      <c r="K4" s="1" t="s">
        <v>577</v>
      </c>
      <c r="L4" s="1" t="s">
        <v>578</v>
      </c>
      <c r="M4" s="1" t="s">
        <v>579</v>
      </c>
      <c r="N4" s="1" t="s">
        <v>580</v>
      </c>
      <c r="O4" s="1" t="s">
        <v>581</v>
      </c>
      <c r="Q4" s="1" t="s">
        <v>599</v>
      </c>
      <c r="R4" s="1" t="s">
        <v>571</v>
      </c>
      <c r="S4" s="1" t="s">
        <v>572</v>
      </c>
      <c r="T4" s="1" t="s">
        <v>573</v>
      </c>
      <c r="U4" s="1" t="s">
        <v>574</v>
      </c>
      <c r="V4" s="1" t="s">
        <v>575</v>
      </c>
      <c r="W4" s="1" t="s">
        <v>576</v>
      </c>
      <c r="X4" s="1" t="s">
        <v>577</v>
      </c>
      <c r="Y4" s="1" t="s">
        <v>578</v>
      </c>
      <c r="Z4" s="1" t="s">
        <v>579</v>
      </c>
      <c r="AA4" s="1" t="s">
        <v>580</v>
      </c>
      <c r="AB4" s="1" t="s">
        <v>581</v>
      </c>
      <c r="AN4" s="1" t="s">
        <v>599</v>
      </c>
      <c r="AO4" s="1" t="s">
        <v>571</v>
      </c>
      <c r="AP4" s="1" t="s">
        <v>572</v>
      </c>
      <c r="AQ4" s="1" t="s">
        <v>573</v>
      </c>
      <c r="AR4" s="1" t="s">
        <v>574</v>
      </c>
      <c r="AS4" s="1" t="s">
        <v>575</v>
      </c>
      <c r="AT4" s="1" t="s">
        <v>576</v>
      </c>
      <c r="AU4" s="1" t="s">
        <v>577</v>
      </c>
      <c r="AV4" s="1" t="s">
        <v>578</v>
      </c>
      <c r="AW4" s="1" t="s">
        <v>579</v>
      </c>
      <c r="AX4" s="1" t="s">
        <v>580</v>
      </c>
      <c r="AY4" s="1" t="s">
        <v>581</v>
      </c>
      <c r="AZ4" s="1" t="s">
        <v>673</v>
      </c>
      <c r="BA4" s="1" t="s">
        <v>674</v>
      </c>
      <c r="BB4" s="1" t="s">
        <v>675</v>
      </c>
      <c r="BC4" s="1" t="s">
        <v>676</v>
      </c>
      <c r="BG4" s="1" t="s">
        <v>599</v>
      </c>
      <c r="BH4" s="1" t="s">
        <v>571</v>
      </c>
      <c r="BI4" s="1" t="s">
        <v>572</v>
      </c>
      <c r="BJ4" s="1" t="s">
        <v>573</v>
      </c>
      <c r="BK4" s="1" t="s">
        <v>574</v>
      </c>
      <c r="BL4" s="1" t="s">
        <v>575</v>
      </c>
      <c r="BM4" s="1" t="s">
        <v>576</v>
      </c>
      <c r="BN4" s="1" t="s">
        <v>577</v>
      </c>
      <c r="BO4" s="1" t="s">
        <v>578</v>
      </c>
      <c r="BP4" s="1" t="s">
        <v>579</v>
      </c>
      <c r="BQ4" s="1" t="s">
        <v>580</v>
      </c>
      <c r="BR4" s="1" t="s">
        <v>581</v>
      </c>
      <c r="BS4" s="1" t="s">
        <v>673</v>
      </c>
      <c r="BT4" s="1" t="s">
        <v>674</v>
      </c>
      <c r="BU4" s="1" t="s">
        <v>675</v>
      </c>
      <c r="BV4" s="1" t="s">
        <v>676</v>
      </c>
      <c r="CI4" s="1">
        <v>655111.81700534862</v>
      </c>
      <c r="CJ4" s="1">
        <v>10</v>
      </c>
      <c r="CK4" s="1">
        <v>100</v>
      </c>
      <c r="CZ4" s="1">
        <v>100</v>
      </c>
      <c r="DC4" s="1">
        <v>10</v>
      </c>
      <c r="DD4" s="2">
        <f t="shared" ref="DD4:DD46" si="2">$CI4*CK4/100</f>
        <v>655111.81700534862</v>
      </c>
      <c r="DE4" s="2">
        <f t="shared" ref="DE4:DE46" si="3">$CI4*CL4/100</f>
        <v>0</v>
      </c>
      <c r="DF4" s="2">
        <f t="shared" ref="DF4:DF46" si="4">$CI4*CM4/100</f>
        <v>0</v>
      </c>
      <c r="DG4" s="2">
        <f t="shared" ref="DG4:DG46" si="5">$CI4*CN4/100</f>
        <v>0</v>
      </c>
      <c r="DH4" s="2">
        <f t="shared" ref="DH4:DH46" si="6">$CI4*CO4/100</f>
        <v>0</v>
      </c>
      <c r="DI4" s="2">
        <f t="shared" ref="DI4:DI46" si="7">$CI4*CP4/100</f>
        <v>0</v>
      </c>
      <c r="DJ4" s="2">
        <f t="shared" ref="DJ4:DJ46" si="8">$CI4*CQ4/100</f>
        <v>0</v>
      </c>
      <c r="DK4" s="2">
        <f t="shared" ref="DK4:DK46" si="9">$CI4*CR4/100</f>
        <v>0</v>
      </c>
      <c r="DL4" s="2">
        <f t="shared" ref="DL4:DL46" si="10">$CI4*CS4/100</f>
        <v>0</v>
      </c>
      <c r="DM4" s="2">
        <f t="shared" ref="DM4:DM46" si="11">$CI4*CT4/100</f>
        <v>0</v>
      </c>
      <c r="DN4" s="2">
        <f t="shared" ref="DN4:DN46" si="12">$CI4*CU4/100</f>
        <v>0</v>
      </c>
      <c r="DO4" s="2">
        <f t="shared" ref="DO4:DO46" si="13">$CI4*CV4/100</f>
        <v>0</v>
      </c>
      <c r="DP4" s="2">
        <f t="shared" ref="DP4:DP46" si="14">$CI4*CW4/100</f>
        <v>0</v>
      </c>
      <c r="DQ4" s="2">
        <f t="shared" ref="DQ4:DQ46" si="15">$CI4*CX4/100</f>
        <v>0</v>
      </c>
      <c r="DR4" s="2">
        <f t="shared" ref="DR4:DR46" si="16">$CI4*CY4/100</f>
        <v>0</v>
      </c>
      <c r="DT4" s="1">
        <v>8</v>
      </c>
      <c r="DU4" s="1">
        <v>176176.99763021819</v>
      </c>
      <c r="DV4" s="1">
        <v>100</v>
      </c>
      <c r="EM4" s="1">
        <v>8</v>
      </c>
      <c r="EN4" s="2">
        <f t="shared" ref="EN4:EN48" si="17">DV4*$DU4/100</f>
        <v>176176.99763021819</v>
      </c>
      <c r="EO4" s="2">
        <f t="shared" ref="EO4:EO48" si="18">DW4*$DU4/100</f>
        <v>0</v>
      </c>
      <c r="EP4" s="2">
        <f t="shared" ref="EP4:EP48" si="19">DX4*$DU4/100</f>
        <v>0</v>
      </c>
      <c r="EQ4" s="2">
        <f t="shared" ref="EQ4:EQ48" si="20">DY4*$DU4/100</f>
        <v>0</v>
      </c>
      <c r="ER4" s="2">
        <f t="shared" ref="ER4:ER48" si="21">DZ4*$DU4/100</f>
        <v>0</v>
      </c>
      <c r="ES4" s="2">
        <f t="shared" ref="ES4:ES48" si="22">EA4*$DU4/100</f>
        <v>0</v>
      </c>
      <c r="ET4" s="2">
        <f t="shared" ref="ET4:ET48" si="23">EB4*$DU4/100</f>
        <v>0</v>
      </c>
      <c r="EU4" s="2">
        <f t="shared" ref="EU4:EU48" si="24">EC4*$DU4/100</f>
        <v>0</v>
      </c>
      <c r="EV4" s="2">
        <f t="shared" ref="EV4:EV48" si="25">ED4*$DU4/100</f>
        <v>0</v>
      </c>
      <c r="EW4" s="2">
        <f t="shared" ref="EW4:EW48" si="26">EE4*$DU4/100</f>
        <v>0</v>
      </c>
      <c r="EX4" s="2">
        <f t="shared" ref="EX4:EX48" si="27">EF4*$DU4/100</f>
        <v>0</v>
      </c>
      <c r="EY4" s="2">
        <f t="shared" ref="EY4:EY48" si="28">EG4*$DU4/100</f>
        <v>0</v>
      </c>
      <c r="EZ4" s="2">
        <f t="shared" ref="EZ4:EZ48" si="29">EH4*$DU4/100</f>
        <v>0</v>
      </c>
      <c r="FA4" s="2">
        <f t="shared" ref="FA4:FA48" si="30">EI4*$DU4/100</f>
        <v>0</v>
      </c>
      <c r="FB4" s="2">
        <f t="shared" ref="FB4:FB48" si="31">EJ4*$DU4/100</f>
        <v>0</v>
      </c>
      <c r="FE4" s="1">
        <v>7</v>
      </c>
      <c r="FF4" s="1252">
        <v>100</v>
      </c>
      <c r="FX4" s="1">
        <v>0</v>
      </c>
      <c r="FY4" s="1">
        <v>7</v>
      </c>
      <c r="FZ4" s="2">
        <f t="shared" ref="FZ4:GN4" si="32">FF4*$FX4/100</f>
        <v>0</v>
      </c>
      <c r="GA4" s="2">
        <f t="shared" si="32"/>
        <v>0</v>
      </c>
      <c r="GB4" s="2">
        <f t="shared" si="32"/>
        <v>0</v>
      </c>
      <c r="GC4" s="2">
        <f t="shared" si="32"/>
        <v>0</v>
      </c>
      <c r="GD4" s="2">
        <f t="shared" si="32"/>
        <v>0</v>
      </c>
      <c r="GE4" s="2">
        <f t="shared" si="32"/>
        <v>0</v>
      </c>
      <c r="GF4" s="2">
        <f t="shared" si="32"/>
        <v>0</v>
      </c>
      <c r="GG4" s="2">
        <f t="shared" si="32"/>
        <v>0</v>
      </c>
      <c r="GH4" s="2">
        <f t="shared" si="32"/>
        <v>0</v>
      </c>
      <c r="GI4" s="2">
        <f t="shared" si="32"/>
        <v>0</v>
      </c>
      <c r="GJ4" s="2">
        <f t="shared" si="32"/>
        <v>0</v>
      </c>
      <c r="GK4" s="2">
        <f t="shared" si="32"/>
        <v>0</v>
      </c>
      <c r="GL4" s="2">
        <f t="shared" si="32"/>
        <v>0</v>
      </c>
      <c r="GM4" s="2">
        <f t="shared" si="32"/>
        <v>0</v>
      </c>
      <c r="GN4" s="2">
        <f t="shared" si="32"/>
        <v>0</v>
      </c>
      <c r="GO4" s="2"/>
      <c r="GP4" s="74"/>
      <c r="GQ4" s="1256">
        <v>9</v>
      </c>
      <c r="GR4" s="1456">
        <v>100</v>
      </c>
      <c r="HI4" s="2"/>
      <c r="HK4" s="2">
        <f>GR4*$HI4/100</f>
        <v>0</v>
      </c>
      <c r="HL4" s="2">
        <f t="shared" ref="HL4:HY4" si="33">GS4*$HI4/100</f>
        <v>0</v>
      </c>
      <c r="HM4" s="2">
        <f t="shared" si="33"/>
        <v>0</v>
      </c>
      <c r="HN4" s="2">
        <f t="shared" si="33"/>
        <v>0</v>
      </c>
      <c r="HO4" s="2">
        <f t="shared" si="33"/>
        <v>0</v>
      </c>
      <c r="HP4" s="2">
        <f t="shared" si="33"/>
        <v>0</v>
      </c>
      <c r="HQ4" s="2">
        <f t="shared" si="33"/>
        <v>0</v>
      </c>
      <c r="HR4" s="2">
        <f t="shared" si="33"/>
        <v>0</v>
      </c>
      <c r="HS4" s="2">
        <f t="shared" si="33"/>
        <v>0</v>
      </c>
      <c r="HT4" s="2">
        <f t="shared" si="33"/>
        <v>0</v>
      </c>
      <c r="HU4" s="2">
        <f t="shared" si="33"/>
        <v>0</v>
      </c>
      <c r="HV4" s="2">
        <f t="shared" si="33"/>
        <v>0</v>
      </c>
      <c r="HW4" s="2">
        <f t="shared" si="33"/>
        <v>0</v>
      </c>
      <c r="HX4" s="2">
        <f t="shared" si="33"/>
        <v>0</v>
      </c>
      <c r="HY4" s="2">
        <f t="shared" si="33"/>
        <v>0</v>
      </c>
      <c r="IB4" s="1">
        <v>9</v>
      </c>
      <c r="IC4" s="1">
        <v>100</v>
      </c>
      <c r="IO4" s="1">
        <v>100</v>
      </c>
      <c r="IQ4" s="2">
        <v>0</v>
      </c>
      <c r="IR4" s="1">
        <v>9</v>
      </c>
      <c r="IS4" s="2">
        <f>IC4*$IQ4/100</f>
        <v>0</v>
      </c>
      <c r="IT4" s="2">
        <f t="shared" ref="IT4:JD4" si="34">ID4*$IQ4/100</f>
        <v>0</v>
      </c>
      <c r="IU4" s="2">
        <f t="shared" si="34"/>
        <v>0</v>
      </c>
      <c r="IV4" s="2">
        <f t="shared" si="34"/>
        <v>0</v>
      </c>
      <c r="IW4" s="2">
        <f t="shared" si="34"/>
        <v>0</v>
      </c>
      <c r="IX4" s="2">
        <f t="shared" si="34"/>
        <v>0</v>
      </c>
      <c r="IY4" s="2">
        <f t="shared" si="34"/>
        <v>0</v>
      </c>
      <c r="IZ4" s="2">
        <f t="shared" si="34"/>
        <v>0</v>
      </c>
      <c r="JA4" s="2">
        <f t="shared" si="34"/>
        <v>0</v>
      </c>
      <c r="JB4" s="2">
        <f t="shared" si="34"/>
        <v>0</v>
      </c>
      <c r="JC4" s="2">
        <f t="shared" si="34"/>
        <v>0</v>
      </c>
      <c r="JD4" s="2">
        <f t="shared" si="34"/>
        <v>0</v>
      </c>
    </row>
    <row r="5" spans="1:265" ht="13.8" thickBot="1">
      <c r="A5" s="1">
        <v>5</v>
      </c>
      <c r="D5" s="1">
        <v>5</v>
      </c>
      <c r="E5" s="1119">
        <v>0</v>
      </c>
      <c r="F5" s="1119">
        <v>0</v>
      </c>
      <c r="G5" s="1119">
        <v>0</v>
      </c>
      <c r="H5" s="1119">
        <v>0</v>
      </c>
      <c r="I5" s="1119">
        <v>0</v>
      </c>
      <c r="J5" s="1119">
        <v>0</v>
      </c>
      <c r="K5" s="1119">
        <v>0</v>
      </c>
      <c r="L5" s="1119">
        <v>0</v>
      </c>
      <c r="M5" s="1119">
        <v>0</v>
      </c>
      <c r="N5" s="1119">
        <v>0</v>
      </c>
      <c r="O5" s="1119">
        <v>0</v>
      </c>
      <c r="Q5" s="1">
        <v>5</v>
      </c>
      <c r="R5" s="2">
        <f>$B5/100*E5</f>
        <v>0</v>
      </c>
      <c r="S5" s="2">
        <f t="shared" ref="S5:AB20" si="35">$B5/100*F5</f>
        <v>0</v>
      </c>
      <c r="T5" s="2">
        <f t="shared" si="35"/>
        <v>0</v>
      </c>
      <c r="U5" s="2">
        <f t="shared" si="35"/>
        <v>0</v>
      </c>
      <c r="V5" s="2">
        <f t="shared" si="35"/>
        <v>0</v>
      </c>
      <c r="W5" s="2">
        <f t="shared" si="35"/>
        <v>0</v>
      </c>
      <c r="X5" s="2">
        <f t="shared" si="35"/>
        <v>0</v>
      </c>
      <c r="Y5" s="2">
        <f t="shared" si="35"/>
        <v>0</v>
      </c>
      <c r="Z5" s="2">
        <f t="shared" si="35"/>
        <v>0</v>
      </c>
      <c r="AA5" s="2">
        <f t="shared" si="35"/>
        <v>0</v>
      </c>
      <c r="AB5" s="2">
        <f t="shared" si="35"/>
        <v>0</v>
      </c>
      <c r="AN5" s="1">
        <v>5</v>
      </c>
      <c r="AO5" s="2">
        <v>0</v>
      </c>
      <c r="BG5" s="1">
        <v>5</v>
      </c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CI5" s="1">
        <v>2506962.4116770504</v>
      </c>
      <c r="CJ5" s="1">
        <v>11</v>
      </c>
      <c r="CK5" s="2">
        <v>100</v>
      </c>
      <c r="CL5" s="2"/>
      <c r="CM5" s="2"/>
      <c r="CN5" s="2"/>
      <c r="CZ5" s="1">
        <v>100</v>
      </c>
      <c r="DC5" s="1">
        <v>11</v>
      </c>
      <c r="DD5" s="2">
        <f t="shared" si="2"/>
        <v>2506962.4116770504</v>
      </c>
      <c r="DE5" s="2">
        <f t="shared" si="3"/>
        <v>0</v>
      </c>
      <c r="DF5" s="2">
        <f t="shared" si="4"/>
        <v>0</v>
      </c>
      <c r="DG5" s="2">
        <f t="shared" si="5"/>
        <v>0</v>
      </c>
      <c r="DH5" s="2">
        <f t="shared" si="6"/>
        <v>0</v>
      </c>
      <c r="DI5" s="2">
        <f t="shared" si="7"/>
        <v>0</v>
      </c>
      <c r="DJ5" s="2">
        <f t="shared" si="8"/>
        <v>0</v>
      </c>
      <c r="DK5" s="2">
        <f t="shared" si="9"/>
        <v>0</v>
      </c>
      <c r="DL5" s="2">
        <f t="shared" si="10"/>
        <v>0</v>
      </c>
      <c r="DM5" s="2">
        <f t="shared" si="11"/>
        <v>0</v>
      </c>
      <c r="DN5" s="2">
        <f t="shared" si="12"/>
        <v>0</v>
      </c>
      <c r="DO5" s="2">
        <f t="shared" si="13"/>
        <v>0</v>
      </c>
      <c r="DP5" s="2">
        <f t="shared" si="14"/>
        <v>0</v>
      </c>
      <c r="DQ5" s="2">
        <f t="shared" si="15"/>
        <v>0</v>
      </c>
      <c r="DR5" s="2">
        <f t="shared" si="16"/>
        <v>0</v>
      </c>
      <c r="DT5" s="1">
        <v>9</v>
      </c>
      <c r="DU5" s="1">
        <v>1944340.4834584063</v>
      </c>
      <c r="DV5" s="1">
        <v>100</v>
      </c>
      <c r="EM5" s="1">
        <v>9</v>
      </c>
      <c r="EN5" s="2">
        <f t="shared" si="17"/>
        <v>1944340.4834584063</v>
      </c>
      <c r="EO5" s="2">
        <f t="shared" si="18"/>
        <v>0</v>
      </c>
      <c r="EP5" s="2">
        <f t="shared" si="19"/>
        <v>0</v>
      </c>
      <c r="EQ5" s="2">
        <f t="shared" si="20"/>
        <v>0</v>
      </c>
      <c r="ER5" s="2">
        <f t="shared" si="21"/>
        <v>0</v>
      </c>
      <c r="ES5" s="2">
        <f t="shared" si="22"/>
        <v>0</v>
      </c>
      <c r="ET5" s="2">
        <f t="shared" si="23"/>
        <v>0</v>
      </c>
      <c r="EU5" s="2">
        <f t="shared" si="24"/>
        <v>0</v>
      </c>
      <c r="EV5" s="2">
        <f t="shared" si="25"/>
        <v>0</v>
      </c>
      <c r="EW5" s="2">
        <f t="shared" si="26"/>
        <v>0</v>
      </c>
      <c r="EX5" s="2">
        <f t="shared" si="27"/>
        <v>0</v>
      </c>
      <c r="EY5" s="2">
        <f t="shared" si="28"/>
        <v>0</v>
      </c>
      <c r="EZ5" s="2">
        <f t="shared" si="29"/>
        <v>0</v>
      </c>
      <c r="FA5" s="2">
        <f t="shared" si="30"/>
        <v>0</v>
      </c>
      <c r="FB5" s="2">
        <f t="shared" si="31"/>
        <v>0</v>
      </c>
      <c r="FE5" s="1">
        <v>8</v>
      </c>
      <c r="FF5" s="1252">
        <v>100</v>
      </c>
      <c r="FX5" s="2">
        <v>151.41791626095426</v>
      </c>
      <c r="FY5" s="1">
        <v>8</v>
      </c>
      <c r="FZ5" s="2">
        <f t="shared" ref="FZ5:FZ43" si="36">FF5*$FX5/100</f>
        <v>151.41791626095426</v>
      </c>
      <c r="GA5" s="2">
        <f t="shared" ref="GA5:GA44" si="37">FG5*$FX5/100</f>
        <v>0</v>
      </c>
      <c r="GB5" s="2">
        <f t="shared" ref="GB5:GB44" si="38">FH5*$FX5/100</f>
        <v>0</v>
      </c>
      <c r="GC5" s="2">
        <f t="shared" ref="GC5:GC44" si="39">FI5*$FX5/100</f>
        <v>0</v>
      </c>
      <c r="GD5" s="2">
        <f t="shared" ref="GD5:GD44" si="40">FJ5*$FX5/100</f>
        <v>0</v>
      </c>
      <c r="GE5" s="2">
        <f t="shared" ref="GE5:GE44" si="41">FK5*$FX5/100</f>
        <v>0</v>
      </c>
      <c r="GF5" s="2">
        <f t="shared" ref="GF5:GF44" si="42">FL5*$FX5/100</f>
        <v>0</v>
      </c>
      <c r="GG5" s="2">
        <f t="shared" ref="GG5:GG44" si="43">FM5*$FX5/100</f>
        <v>0</v>
      </c>
      <c r="GH5" s="2">
        <f t="shared" ref="GH5:GH44" si="44">FN5*$FX5/100</f>
        <v>0</v>
      </c>
      <c r="GI5" s="2">
        <f t="shared" ref="GI5:GI44" si="45">FO5*$FX5/100</f>
        <v>0</v>
      </c>
      <c r="GJ5" s="2">
        <f t="shared" ref="GJ5:GJ44" si="46">FP5*$FX5/100</f>
        <v>0</v>
      </c>
      <c r="GK5" s="2">
        <f t="shared" ref="GK5:GK44" si="47">FQ5*$FX5/100</f>
        <v>0</v>
      </c>
      <c r="GL5" s="2">
        <f t="shared" ref="GL5:GL44" si="48">FR5*$FX5/100</f>
        <v>0</v>
      </c>
      <c r="GM5" s="2">
        <f t="shared" ref="GM5:GM44" si="49">FS5*$FX5/100</f>
        <v>0</v>
      </c>
      <c r="GN5" s="2">
        <f t="shared" ref="GN5:GN44" si="50">FT5*$FX5/100</f>
        <v>0</v>
      </c>
      <c r="GQ5" s="1256">
        <v>10</v>
      </c>
      <c r="GR5" s="1456">
        <v>100</v>
      </c>
      <c r="HI5" s="2">
        <v>0</v>
      </c>
      <c r="HJ5" s="1820">
        <v>8</v>
      </c>
      <c r="HK5" s="2">
        <f t="shared" ref="HK5:HK37" si="51">GR5*$HI5/100</f>
        <v>0</v>
      </c>
      <c r="HL5" s="2">
        <f t="shared" ref="HL5:HL37" si="52">GS5*$HI5/100</f>
        <v>0</v>
      </c>
      <c r="HM5" s="2">
        <f t="shared" ref="HM5:HM37" si="53">GT5*$HI5/100</f>
        <v>0</v>
      </c>
      <c r="HN5" s="2">
        <f t="shared" ref="HN5:HN37" si="54">GU5*$HI5/100</f>
        <v>0</v>
      </c>
      <c r="HO5" s="2">
        <f t="shared" ref="HO5:HO37" si="55">GV5*$HI5/100</f>
        <v>0</v>
      </c>
      <c r="HP5" s="2">
        <f t="shared" ref="HP5:HP37" si="56">GW5*$HI5/100</f>
        <v>0</v>
      </c>
      <c r="HQ5" s="2">
        <f t="shared" ref="HQ5:HQ37" si="57">GX5*$HI5/100</f>
        <v>0</v>
      </c>
      <c r="HR5" s="2">
        <f t="shared" ref="HR5:HR37" si="58">GY5*$HI5/100</f>
        <v>0</v>
      </c>
      <c r="HS5" s="2">
        <f t="shared" ref="HS5:HS37" si="59">GZ5*$HI5/100</f>
        <v>0</v>
      </c>
      <c r="HT5" s="2">
        <f t="shared" ref="HT5:HT37" si="60">HA5*$HI5/100</f>
        <v>0</v>
      </c>
      <c r="HU5" s="2">
        <f t="shared" ref="HU5:HU37" si="61">HB5*$HI5/100</f>
        <v>0</v>
      </c>
      <c r="HV5" s="2">
        <f t="shared" ref="HV5:HV37" si="62">HC5*$HI5/100</f>
        <v>0</v>
      </c>
      <c r="HW5" s="2">
        <f t="shared" ref="HW5:HW37" si="63">HD5*$HI5/100</f>
        <v>0</v>
      </c>
      <c r="HX5" s="2">
        <f t="shared" ref="HX5:HX37" si="64">HE5*$HI5/100</f>
        <v>0</v>
      </c>
      <c r="HY5" s="2">
        <f t="shared" ref="HY5:HY37" si="65">HF5*$HI5/100</f>
        <v>0</v>
      </c>
      <c r="IB5" s="1">
        <v>10</v>
      </c>
      <c r="IC5" s="1">
        <v>100</v>
      </c>
      <c r="IO5" s="1">
        <v>100</v>
      </c>
      <c r="IQ5" s="2">
        <v>0</v>
      </c>
      <c r="IR5" s="1">
        <v>10</v>
      </c>
      <c r="IS5" s="2">
        <f t="shared" ref="IS5:IS40" si="66">IC5*$IQ5/100</f>
        <v>0</v>
      </c>
      <c r="IT5" s="2">
        <f t="shared" ref="IT5:IT40" si="67">ID5*$IQ5/100</f>
        <v>0</v>
      </c>
      <c r="IU5" s="2">
        <f t="shared" ref="IU5:IU40" si="68">IE5*$IQ5/100</f>
        <v>0</v>
      </c>
      <c r="IV5" s="2">
        <f t="shared" ref="IV5:IV40" si="69">IF5*$IQ5/100</f>
        <v>0</v>
      </c>
      <c r="IW5" s="2">
        <f t="shared" ref="IW5:IW40" si="70">IG5*$IQ5/100</f>
        <v>0</v>
      </c>
      <c r="IX5" s="2">
        <f t="shared" ref="IX5:IX40" si="71">IH5*$IQ5/100</f>
        <v>0</v>
      </c>
      <c r="IY5" s="2">
        <f t="shared" ref="IY5:IY40" si="72">II5*$IQ5/100</f>
        <v>0</v>
      </c>
      <c r="IZ5" s="2">
        <f t="shared" ref="IZ5:IZ40" si="73">IJ5*$IQ5/100</f>
        <v>0</v>
      </c>
      <c r="JA5" s="2">
        <f t="shared" ref="JA5:JA40" si="74">IK5*$IQ5/100</f>
        <v>0</v>
      </c>
      <c r="JB5" s="2">
        <f t="shared" ref="JB5:JB40" si="75">IL5*$IQ5/100</f>
        <v>0</v>
      </c>
      <c r="JC5" s="2">
        <f t="shared" ref="JC5:JC40" si="76">IM5*$IQ5/100</f>
        <v>0</v>
      </c>
      <c r="JD5" s="2">
        <f t="shared" ref="JD5:JD40" si="77">IN5*$IQ5/100</f>
        <v>0</v>
      </c>
    </row>
    <row r="6" spans="1:265">
      <c r="A6" s="1">
        <v>6</v>
      </c>
      <c r="D6" s="1">
        <v>6</v>
      </c>
      <c r="E6" s="1119">
        <v>0</v>
      </c>
      <c r="F6" s="1119">
        <v>0</v>
      </c>
      <c r="G6" s="1119">
        <v>0</v>
      </c>
      <c r="H6" s="1119">
        <v>0</v>
      </c>
      <c r="I6" s="1119">
        <v>0</v>
      </c>
      <c r="J6" s="1119">
        <v>0</v>
      </c>
      <c r="K6" s="1119">
        <v>0</v>
      </c>
      <c r="L6" s="1119">
        <v>0</v>
      </c>
      <c r="M6" s="1119">
        <v>0</v>
      </c>
      <c r="N6" s="1119">
        <v>0</v>
      </c>
      <c r="O6" s="1119">
        <v>0</v>
      </c>
      <c r="Q6" s="1">
        <v>6</v>
      </c>
      <c r="R6" s="2">
        <f t="shared" ref="R6:R24" si="78">$B6/100*E6</f>
        <v>0</v>
      </c>
      <c r="S6" s="2">
        <f t="shared" si="35"/>
        <v>0</v>
      </c>
      <c r="T6" s="2">
        <f t="shared" si="35"/>
        <v>0</v>
      </c>
      <c r="U6" s="2">
        <f t="shared" si="35"/>
        <v>0</v>
      </c>
      <c r="V6" s="2">
        <f t="shared" si="35"/>
        <v>0</v>
      </c>
      <c r="W6" s="2">
        <f t="shared" si="35"/>
        <v>0</v>
      </c>
      <c r="X6" s="2">
        <f t="shared" si="35"/>
        <v>0</v>
      </c>
      <c r="Y6" s="2">
        <f t="shared" si="35"/>
        <v>0</v>
      </c>
      <c r="Z6" s="2">
        <f t="shared" si="35"/>
        <v>0</v>
      </c>
      <c r="AA6" s="2">
        <f t="shared" si="35"/>
        <v>0</v>
      </c>
      <c r="AB6" s="2">
        <f t="shared" si="35"/>
        <v>0</v>
      </c>
      <c r="AN6" s="1">
        <v>6</v>
      </c>
      <c r="BG6" s="1">
        <v>6</v>
      </c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CI6" s="1">
        <v>3970198.4871209334</v>
      </c>
      <c r="CJ6" s="1">
        <v>12</v>
      </c>
      <c r="CK6" s="2">
        <v>100</v>
      </c>
      <c r="CL6" s="2"/>
      <c r="CM6" s="2"/>
      <c r="CN6" s="2"/>
      <c r="CZ6" s="1">
        <v>100</v>
      </c>
      <c r="DC6" s="1">
        <v>12</v>
      </c>
      <c r="DD6" s="2">
        <f t="shared" si="2"/>
        <v>3970198.4871209334</v>
      </c>
      <c r="DE6" s="2">
        <f t="shared" si="3"/>
        <v>0</v>
      </c>
      <c r="DF6" s="2">
        <f t="shared" si="4"/>
        <v>0</v>
      </c>
      <c r="DG6" s="2">
        <f t="shared" si="5"/>
        <v>0</v>
      </c>
      <c r="DH6" s="2">
        <f t="shared" si="6"/>
        <v>0</v>
      </c>
      <c r="DI6" s="2">
        <f t="shared" si="7"/>
        <v>0</v>
      </c>
      <c r="DJ6" s="2">
        <f t="shared" si="8"/>
        <v>0</v>
      </c>
      <c r="DK6" s="2">
        <f t="shared" si="9"/>
        <v>0</v>
      </c>
      <c r="DL6" s="2">
        <f t="shared" si="10"/>
        <v>0</v>
      </c>
      <c r="DM6" s="2">
        <f t="shared" si="11"/>
        <v>0</v>
      </c>
      <c r="DN6" s="2">
        <f t="shared" si="12"/>
        <v>0</v>
      </c>
      <c r="DO6" s="2">
        <f t="shared" si="13"/>
        <v>0</v>
      </c>
      <c r="DP6" s="2">
        <f t="shared" si="14"/>
        <v>0</v>
      </c>
      <c r="DQ6" s="2">
        <f t="shared" si="15"/>
        <v>0</v>
      </c>
      <c r="DR6" s="2">
        <f t="shared" si="16"/>
        <v>0</v>
      </c>
      <c r="DT6" s="1">
        <v>10</v>
      </c>
      <c r="DU6" s="1">
        <v>5136647.9583352795</v>
      </c>
      <c r="DV6" s="1">
        <v>100</v>
      </c>
      <c r="DW6" s="1">
        <v>0</v>
      </c>
      <c r="EM6" s="1">
        <v>10</v>
      </c>
      <c r="EN6" s="2">
        <f t="shared" si="17"/>
        <v>5136647.9583352795</v>
      </c>
      <c r="EO6" s="2">
        <f t="shared" si="18"/>
        <v>0</v>
      </c>
      <c r="EP6" s="2">
        <f t="shared" si="19"/>
        <v>0</v>
      </c>
      <c r="EQ6" s="2">
        <f t="shared" si="20"/>
        <v>0</v>
      </c>
      <c r="ER6" s="2">
        <f t="shared" si="21"/>
        <v>0</v>
      </c>
      <c r="ES6" s="2">
        <f t="shared" si="22"/>
        <v>0</v>
      </c>
      <c r="ET6" s="2">
        <f t="shared" si="23"/>
        <v>0</v>
      </c>
      <c r="EU6" s="2">
        <f t="shared" si="24"/>
        <v>0</v>
      </c>
      <c r="EV6" s="2">
        <f t="shared" si="25"/>
        <v>0</v>
      </c>
      <c r="EW6" s="2">
        <f t="shared" si="26"/>
        <v>0</v>
      </c>
      <c r="EX6" s="2">
        <f t="shared" si="27"/>
        <v>0</v>
      </c>
      <c r="EY6" s="2">
        <f t="shared" si="28"/>
        <v>0</v>
      </c>
      <c r="EZ6" s="2">
        <f t="shared" si="29"/>
        <v>0</v>
      </c>
      <c r="FA6" s="2">
        <f t="shared" si="30"/>
        <v>0</v>
      </c>
      <c r="FB6" s="2">
        <f t="shared" si="31"/>
        <v>0</v>
      </c>
      <c r="FE6" s="1251">
        <v>9</v>
      </c>
      <c r="FF6" s="1252">
        <v>100</v>
      </c>
      <c r="FG6" s="1253"/>
      <c r="FH6" s="1253"/>
      <c r="FI6" s="1253"/>
      <c r="FJ6" s="1253"/>
      <c r="FK6" s="1253"/>
      <c r="FL6" s="1253"/>
      <c r="FM6" s="1253"/>
      <c r="FN6" s="1253"/>
      <c r="FO6" s="1253"/>
      <c r="FP6" s="1253"/>
      <c r="FQ6" s="1253"/>
      <c r="FR6" s="1134"/>
      <c r="FS6" s="1254"/>
      <c r="FT6"/>
      <c r="FU6" s="1255">
        <v>0</v>
      </c>
      <c r="FV6" s="1452"/>
      <c r="FX6" s="2">
        <v>1110.3980525803311</v>
      </c>
      <c r="FY6" s="1251">
        <v>9</v>
      </c>
      <c r="FZ6" s="2">
        <f t="shared" si="36"/>
        <v>1110.3980525803311</v>
      </c>
      <c r="GA6" s="2">
        <f t="shared" si="37"/>
        <v>0</v>
      </c>
      <c r="GB6" s="2">
        <f t="shared" si="38"/>
        <v>0</v>
      </c>
      <c r="GC6" s="2">
        <f t="shared" si="39"/>
        <v>0</v>
      </c>
      <c r="GD6" s="2">
        <f t="shared" si="40"/>
        <v>0</v>
      </c>
      <c r="GE6" s="2">
        <f t="shared" si="41"/>
        <v>0</v>
      </c>
      <c r="GF6" s="2">
        <f t="shared" si="42"/>
        <v>0</v>
      </c>
      <c r="GG6" s="2">
        <f t="shared" si="43"/>
        <v>0</v>
      </c>
      <c r="GH6" s="2">
        <f t="shared" si="44"/>
        <v>0</v>
      </c>
      <c r="GI6" s="2">
        <f t="shared" si="45"/>
        <v>0</v>
      </c>
      <c r="GJ6" s="2">
        <f t="shared" si="46"/>
        <v>0</v>
      </c>
      <c r="GK6" s="2">
        <f t="shared" si="47"/>
        <v>0</v>
      </c>
      <c r="GL6" s="2">
        <f t="shared" si="48"/>
        <v>0</v>
      </c>
      <c r="GM6" s="2">
        <f t="shared" si="49"/>
        <v>0</v>
      </c>
      <c r="GN6" s="2">
        <f t="shared" si="50"/>
        <v>0</v>
      </c>
      <c r="GQ6" s="1256">
        <v>11</v>
      </c>
      <c r="GR6" s="1456">
        <v>100</v>
      </c>
      <c r="HI6" s="2">
        <v>71.281203239769724</v>
      </c>
      <c r="HJ6" s="1820">
        <v>9</v>
      </c>
      <c r="HK6" s="2">
        <f t="shared" si="51"/>
        <v>71.281203239769724</v>
      </c>
      <c r="HL6" s="2">
        <f t="shared" si="52"/>
        <v>0</v>
      </c>
      <c r="HM6" s="2">
        <f t="shared" si="53"/>
        <v>0</v>
      </c>
      <c r="HN6" s="2">
        <f t="shared" si="54"/>
        <v>0</v>
      </c>
      <c r="HO6" s="2">
        <f t="shared" si="55"/>
        <v>0</v>
      </c>
      <c r="HP6" s="2">
        <f t="shared" si="56"/>
        <v>0</v>
      </c>
      <c r="HQ6" s="2">
        <f t="shared" si="57"/>
        <v>0</v>
      </c>
      <c r="HR6" s="2">
        <f t="shared" si="58"/>
        <v>0</v>
      </c>
      <c r="HS6" s="2">
        <f t="shared" si="59"/>
        <v>0</v>
      </c>
      <c r="HT6" s="2">
        <f t="shared" si="60"/>
        <v>0</v>
      </c>
      <c r="HU6" s="2">
        <f t="shared" si="61"/>
        <v>0</v>
      </c>
      <c r="HV6" s="2">
        <f t="shared" si="62"/>
        <v>0</v>
      </c>
      <c r="HW6" s="2">
        <f t="shared" si="63"/>
        <v>0</v>
      </c>
      <c r="HX6" s="2">
        <f t="shared" si="64"/>
        <v>0</v>
      </c>
      <c r="HY6" s="2">
        <f t="shared" si="65"/>
        <v>0</v>
      </c>
      <c r="IB6" s="1">
        <v>11</v>
      </c>
      <c r="IC6" s="1">
        <v>100</v>
      </c>
      <c r="IO6" s="1">
        <v>100</v>
      </c>
      <c r="IQ6" s="2">
        <v>9333285.4482558407</v>
      </c>
      <c r="IR6" s="1">
        <v>11</v>
      </c>
      <c r="IS6" s="2">
        <f t="shared" si="66"/>
        <v>9333285.4482558407</v>
      </c>
      <c r="IT6" s="2">
        <f t="shared" si="67"/>
        <v>0</v>
      </c>
      <c r="IU6" s="2">
        <f t="shared" si="68"/>
        <v>0</v>
      </c>
      <c r="IV6" s="2">
        <f t="shared" si="69"/>
        <v>0</v>
      </c>
      <c r="IW6" s="2">
        <f t="shared" si="70"/>
        <v>0</v>
      </c>
      <c r="IX6" s="2">
        <f t="shared" si="71"/>
        <v>0</v>
      </c>
      <c r="IY6" s="2">
        <f t="shared" si="72"/>
        <v>0</v>
      </c>
      <c r="IZ6" s="2">
        <f t="shared" si="73"/>
        <v>0</v>
      </c>
      <c r="JA6" s="2">
        <f t="shared" si="74"/>
        <v>0</v>
      </c>
      <c r="JB6" s="2">
        <f t="shared" si="75"/>
        <v>0</v>
      </c>
      <c r="JC6" s="2">
        <f t="shared" si="76"/>
        <v>0</v>
      </c>
      <c r="JD6" s="2">
        <f t="shared" si="77"/>
        <v>0</v>
      </c>
    </row>
    <row r="7" spans="1:265">
      <c r="A7" s="1">
        <v>7</v>
      </c>
      <c r="D7" s="1">
        <v>7</v>
      </c>
      <c r="E7" s="1119">
        <v>0</v>
      </c>
      <c r="F7" s="1119">
        <v>0</v>
      </c>
      <c r="G7" s="1119">
        <v>0</v>
      </c>
      <c r="H7" s="1119">
        <v>0</v>
      </c>
      <c r="I7" s="1119">
        <v>0</v>
      </c>
      <c r="J7" s="1119">
        <v>0</v>
      </c>
      <c r="K7" s="1119">
        <v>0</v>
      </c>
      <c r="L7" s="1119">
        <v>0</v>
      </c>
      <c r="M7" s="1119">
        <v>0</v>
      </c>
      <c r="N7" s="1119">
        <v>0</v>
      </c>
      <c r="O7" s="1119">
        <v>0</v>
      </c>
      <c r="Q7" s="1">
        <v>7</v>
      </c>
      <c r="R7" s="2">
        <f t="shared" si="78"/>
        <v>0</v>
      </c>
      <c r="S7" s="2">
        <f t="shared" si="35"/>
        <v>0</v>
      </c>
      <c r="T7" s="2">
        <f t="shared" si="35"/>
        <v>0</v>
      </c>
      <c r="U7" s="2">
        <f t="shared" si="35"/>
        <v>0</v>
      </c>
      <c r="V7" s="2">
        <f t="shared" si="35"/>
        <v>0</v>
      </c>
      <c r="W7" s="2">
        <f t="shared" si="35"/>
        <v>0</v>
      </c>
      <c r="X7" s="2">
        <f t="shared" si="35"/>
        <v>0</v>
      </c>
      <c r="Y7" s="2">
        <f t="shared" si="35"/>
        <v>0</v>
      </c>
      <c r="Z7" s="2">
        <f t="shared" si="35"/>
        <v>0</v>
      </c>
      <c r="AA7" s="2">
        <f t="shared" si="35"/>
        <v>0</v>
      </c>
      <c r="AB7" s="2">
        <f t="shared" si="35"/>
        <v>0</v>
      </c>
      <c r="AN7" s="1">
        <v>7</v>
      </c>
      <c r="BG7" s="1">
        <v>7</v>
      </c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CI7" s="1">
        <v>5540387.3828557394</v>
      </c>
      <c r="CJ7" s="1">
        <v>13</v>
      </c>
      <c r="CK7" s="2">
        <v>100</v>
      </c>
      <c r="CL7" s="2"/>
      <c r="CM7" s="2"/>
      <c r="CN7" s="2"/>
      <c r="CZ7" s="1">
        <v>100</v>
      </c>
      <c r="DC7" s="1">
        <v>13</v>
      </c>
      <c r="DD7" s="2">
        <f t="shared" si="2"/>
        <v>5540387.3828557394</v>
      </c>
      <c r="DE7" s="2">
        <f t="shared" si="3"/>
        <v>0</v>
      </c>
      <c r="DF7" s="2">
        <f t="shared" si="4"/>
        <v>0</v>
      </c>
      <c r="DG7" s="2">
        <f t="shared" si="5"/>
        <v>0</v>
      </c>
      <c r="DH7" s="2">
        <f t="shared" si="6"/>
        <v>0</v>
      </c>
      <c r="DI7" s="2">
        <f t="shared" si="7"/>
        <v>0</v>
      </c>
      <c r="DJ7" s="2">
        <f t="shared" si="8"/>
        <v>0</v>
      </c>
      <c r="DK7" s="2">
        <f t="shared" si="9"/>
        <v>0</v>
      </c>
      <c r="DL7" s="2">
        <f t="shared" si="10"/>
        <v>0</v>
      </c>
      <c r="DM7" s="2">
        <f t="shared" si="11"/>
        <v>0</v>
      </c>
      <c r="DN7" s="2">
        <f t="shared" si="12"/>
        <v>0</v>
      </c>
      <c r="DO7" s="2">
        <f t="shared" si="13"/>
        <v>0</v>
      </c>
      <c r="DP7" s="2">
        <f t="shared" si="14"/>
        <v>0</v>
      </c>
      <c r="DQ7" s="2">
        <f t="shared" si="15"/>
        <v>0</v>
      </c>
      <c r="DR7" s="2">
        <f t="shared" si="16"/>
        <v>0</v>
      </c>
      <c r="DT7" s="1">
        <v>11</v>
      </c>
      <c r="DU7" s="1">
        <v>2638817.4869877114</v>
      </c>
      <c r="DV7" s="1">
        <v>100</v>
      </c>
      <c r="DW7" s="1">
        <v>0</v>
      </c>
      <c r="EM7" s="1">
        <v>11</v>
      </c>
      <c r="EN7" s="2">
        <f t="shared" si="17"/>
        <v>2638817.4869877114</v>
      </c>
      <c r="EO7" s="2">
        <f t="shared" si="18"/>
        <v>0</v>
      </c>
      <c r="EP7" s="2">
        <f t="shared" si="19"/>
        <v>0</v>
      </c>
      <c r="EQ7" s="2">
        <f t="shared" si="20"/>
        <v>0</v>
      </c>
      <c r="ER7" s="2">
        <f t="shared" si="21"/>
        <v>0</v>
      </c>
      <c r="ES7" s="2">
        <f t="shared" si="22"/>
        <v>0</v>
      </c>
      <c r="ET7" s="2">
        <f t="shared" si="23"/>
        <v>0</v>
      </c>
      <c r="EU7" s="2">
        <f t="shared" si="24"/>
        <v>0</v>
      </c>
      <c r="EV7" s="2">
        <f t="shared" si="25"/>
        <v>0</v>
      </c>
      <c r="EW7" s="2">
        <f t="shared" si="26"/>
        <v>0</v>
      </c>
      <c r="EX7" s="2">
        <f t="shared" si="27"/>
        <v>0</v>
      </c>
      <c r="EY7" s="2">
        <f t="shared" si="28"/>
        <v>0</v>
      </c>
      <c r="EZ7" s="2">
        <f t="shared" si="29"/>
        <v>0</v>
      </c>
      <c r="FA7" s="2">
        <f t="shared" si="30"/>
        <v>0</v>
      </c>
      <c r="FB7" s="2">
        <f t="shared" si="31"/>
        <v>0</v>
      </c>
      <c r="FE7" s="1256">
        <v>10</v>
      </c>
      <c r="FF7" s="1252">
        <v>100</v>
      </c>
      <c r="FG7" s="1252"/>
      <c r="FH7" s="1253"/>
      <c r="FI7" s="1253"/>
      <c r="FJ7" s="1253"/>
      <c r="FK7" s="1253"/>
      <c r="FL7" s="1253"/>
      <c r="FM7" s="1253"/>
      <c r="FN7" s="1253"/>
      <c r="FO7" s="1253"/>
      <c r="FP7" s="1253"/>
      <c r="FQ7" s="1253"/>
      <c r="FR7" s="1134"/>
      <c r="FS7" s="1134"/>
      <c r="FT7" s="1257"/>
      <c r="FU7" s="1258">
        <v>100</v>
      </c>
      <c r="FV7" s="1452"/>
      <c r="FX7" s="2">
        <v>1162287.1699173669</v>
      </c>
      <c r="FY7" s="1256">
        <v>10</v>
      </c>
      <c r="FZ7" s="2">
        <f t="shared" si="36"/>
        <v>1162287.1699173669</v>
      </c>
      <c r="GA7" s="2">
        <f t="shared" si="37"/>
        <v>0</v>
      </c>
      <c r="GB7" s="2">
        <f t="shared" si="38"/>
        <v>0</v>
      </c>
      <c r="GC7" s="2">
        <f t="shared" si="39"/>
        <v>0</v>
      </c>
      <c r="GD7" s="2">
        <f t="shared" si="40"/>
        <v>0</v>
      </c>
      <c r="GE7" s="2">
        <f t="shared" si="41"/>
        <v>0</v>
      </c>
      <c r="GF7" s="2">
        <f t="shared" si="42"/>
        <v>0</v>
      </c>
      <c r="GG7" s="2">
        <f t="shared" si="43"/>
        <v>0</v>
      </c>
      <c r="GH7" s="2">
        <f t="shared" si="44"/>
        <v>0</v>
      </c>
      <c r="GI7" s="2">
        <f t="shared" si="45"/>
        <v>0</v>
      </c>
      <c r="GJ7" s="2">
        <f t="shared" si="46"/>
        <v>0</v>
      </c>
      <c r="GK7" s="2">
        <f t="shared" si="47"/>
        <v>0</v>
      </c>
      <c r="GL7" s="2">
        <f t="shared" si="48"/>
        <v>0</v>
      </c>
      <c r="GM7" s="2">
        <f t="shared" si="49"/>
        <v>0</v>
      </c>
      <c r="GN7" s="2">
        <f t="shared" si="50"/>
        <v>0</v>
      </c>
      <c r="GQ7" s="1256">
        <v>12</v>
      </c>
      <c r="GR7" s="1456">
        <v>100</v>
      </c>
      <c r="GS7" s="1456"/>
      <c r="GT7" s="1456"/>
      <c r="GU7" s="1456"/>
      <c r="GV7" s="1456"/>
      <c r="GW7" s="1456"/>
      <c r="GX7" s="1456"/>
      <c r="GY7" s="1456"/>
      <c r="GZ7" s="1456"/>
      <c r="HA7" s="1456"/>
      <c r="HB7" s="1456"/>
      <c r="HC7" s="1456"/>
      <c r="HD7" s="1456"/>
      <c r="HE7" s="1456"/>
      <c r="HF7" s="1134"/>
      <c r="HG7" s="1266">
        <f t="shared" ref="HG7:HG43" si="79">SUM(GR7:HF7)</f>
        <v>100</v>
      </c>
      <c r="HI7" s="2">
        <v>1172869.2260833182</v>
      </c>
      <c r="HJ7" s="1820">
        <v>10</v>
      </c>
      <c r="HK7" s="2">
        <f t="shared" si="51"/>
        <v>1172869.2260833182</v>
      </c>
      <c r="HL7" s="2">
        <f t="shared" si="52"/>
        <v>0</v>
      </c>
      <c r="HM7" s="2">
        <f t="shared" si="53"/>
        <v>0</v>
      </c>
      <c r="HN7" s="2">
        <f t="shared" si="54"/>
        <v>0</v>
      </c>
      <c r="HO7" s="2">
        <f t="shared" si="55"/>
        <v>0</v>
      </c>
      <c r="HP7" s="2">
        <f t="shared" si="56"/>
        <v>0</v>
      </c>
      <c r="HQ7" s="2">
        <f t="shared" si="57"/>
        <v>0</v>
      </c>
      <c r="HR7" s="2">
        <f t="shared" si="58"/>
        <v>0</v>
      </c>
      <c r="HS7" s="2">
        <f t="shared" si="59"/>
        <v>0</v>
      </c>
      <c r="HT7" s="2">
        <f t="shared" si="60"/>
        <v>0</v>
      </c>
      <c r="HU7" s="2">
        <f t="shared" si="61"/>
        <v>0</v>
      </c>
      <c r="HV7" s="2">
        <f t="shared" si="62"/>
        <v>0</v>
      </c>
      <c r="HW7" s="2">
        <f t="shared" si="63"/>
        <v>0</v>
      </c>
      <c r="HX7" s="2">
        <f t="shared" si="64"/>
        <v>0</v>
      </c>
      <c r="HY7" s="2">
        <f t="shared" si="65"/>
        <v>0</v>
      </c>
      <c r="IB7" s="1">
        <v>12</v>
      </c>
      <c r="IC7" s="1">
        <v>100</v>
      </c>
      <c r="IO7" s="1">
        <v>100</v>
      </c>
      <c r="IQ7" s="2">
        <v>15270289.775159385</v>
      </c>
      <c r="IR7" s="1">
        <v>12</v>
      </c>
      <c r="IS7" s="2">
        <f t="shared" si="66"/>
        <v>15270289.775159385</v>
      </c>
      <c r="IT7" s="2">
        <f t="shared" si="67"/>
        <v>0</v>
      </c>
      <c r="IU7" s="2">
        <f t="shared" si="68"/>
        <v>0</v>
      </c>
      <c r="IV7" s="2">
        <f t="shared" si="69"/>
        <v>0</v>
      </c>
      <c r="IW7" s="2">
        <f t="shared" si="70"/>
        <v>0</v>
      </c>
      <c r="IX7" s="2">
        <f t="shared" si="71"/>
        <v>0</v>
      </c>
      <c r="IY7" s="2">
        <f t="shared" si="72"/>
        <v>0</v>
      </c>
      <c r="IZ7" s="2">
        <f t="shared" si="73"/>
        <v>0</v>
      </c>
      <c r="JA7" s="2">
        <f t="shared" si="74"/>
        <v>0</v>
      </c>
      <c r="JB7" s="2">
        <f t="shared" si="75"/>
        <v>0</v>
      </c>
      <c r="JC7" s="2">
        <f t="shared" si="76"/>
        <v>0</v>
      </c>
      <c r="JD7" s="2">
        <f t="shared" si="77"/>
        <v>0</v>
      </c>
    </row>
    <row r="8" spans="1:265">
      <c r="A8" s="75">
        <v>8</v>
      </c>
      <c r="B8" s="75"/>
      <c r="D8" s="75">
        <v>8</v>
      </c>
      <c r="E8" s="1119">
        <v>0</v>
      </c>
      <c r="F8" s="1119">
        <v>0</v>
      </c>
      <c r="G8" s="1119">
        <v>0</v>
      </c>
      <c r="H8" s="1119">
        <v>0</v>
      </c>
      <c r="I8" s="1119">
        <v>0</v>
      </c>
      <c r="J8" s="1119">
        <v>0</v>
      </c>
      <c r="K8" s="1119">
        <v>0</v>
      </c>
      <c r="L8" s="1119">
        <v>0</v>
      </c>
      <c r="M8" s="1119">
        <v>0</v>
      </c>
      <c r="N8" s="1119">
        <v>0</v>
      </c>
      <c r="O8" s="1119">
        <v>0</v>
      </c>
      <c r="Q8" s="75">
        <v>8</v>
      </c>
      <c r="R8" s="2">
        <f t="shared" si="78"/>
        <v>0</v>
      </c>
      <c r="S8" s="2">
        <f t="shared" si="35"/>
        <v>0</v>
      </c>
      <c r="T8" s="2">
        <f t="shared" si="35"/>
        <v>0</v>
      </c>
      <c r="U8" s="2">
        <f t="shared" si="35"/>
        <v>0</v>
      </c>
      <c r="V8" s="2">
        <f t="shared" si="35"/>
        <v>0</v>
      </c>
      <c r="W8" s="2">
        <f t="shared" si="35"/>
        <v>0</v>
      </c>
      <c r="X8" s="2">
        <f t="shared" si="35"/>
        <v>0</v>
      </c>
      <c r="Y8" s="2">
        <f t="shared" si="35"/>
        <v>0</v>
      </c>
      <c r="Z8" s="2">
        <f t="shared" si="35"/>
        <v>0</v>
      </c>
      <c r="AA8" s="2">
        <f t="shared" si="35"/>
        <v>0</v>
      </c>
      <c r="AB8" s="2">
        <f t="shared" si="35"/>
        <v>0</v>
      </c>
      <c r="AN8" s="75">
        <v>8</v>
      </c>
      <c r="BG8" s="75">
        <v>8</v>
      </c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CI8" s="1">
        <v>5902043.4843008788</v>
      </c>
      <c r="CJ8" s="1">
        <v>14</v>
      </c>
      <c r="CK8" s="2">
        <v>100</v>
      </c>
      <c r="CL8" s="2"/>
      <c r="CM8" s="2"/>
      <c r="CN8" s="2"/>
      <c r="CZ8" s="1">
        <v>100</v>
      </c>
      <c r="DC8" s="1">
        <v>14</v>
      </c>
      <c r="DD8" s="2">
        <f t="shared" si="2"/>
        <v>5902043.4843008788</v>
      </c>
      <c r="DE8" s="2">
        <f t="shared" si="3"/>
        <v>0</v>
      </c>
      <c r="DF8" s="2">
        <f t="shared" si="4"/>
        <v>0</v>
      </c>
      <c r="DG8" s="2">
        <f t="shared" si="5"/>
        <v>0</v>
      </c>
      <c r="DH8" s="2">
        <f t="shared" si="6"/>
        <v>0</v>
      </c>
      <c r="DI8" s="2">
        <f t="shared" si="7"/>
        <v>0</v>
      </c>
      <c r="DJ8" s="2">
        <f t="shared" si="8"/>
        <v>0</v>
      </c>
      <c r="DK8" s="2">
        <f t="shared" si="9"/>
        <v>0</v>
      </c>
      <c r="DL8" s="2">
        <f t="shared" si="10"/>
        <v>0</v>
      </c>
      <c r="DM8" s="2">
        <f t="shared" si="11"/>
        <v>0</v>
      </c>
      <c r="DN8" s="2">
        <f t="shared" si="12"/>
        <v>0</v>
      </c>
      <c r="DO8" s="2">
        <f t="shared" si="13"/>
        <v>0</v>
      </c>
      <c r="DP8" s="2">
        <f t="shared" si="14"/>
        <v>0</v>
      </c>
      <c r="DQ8" s="2">
        <f t="shared" si="15"/>
        <v>0</v>
      </c>
      <c r="DR8" s="2">
        <f t="shared" si="16"/>
        <v>0</v>
      </c>
      <c r="DT8" s="1">
        <v>12</v>
      </c>
      <c r="DU8" s="1">
        <v>753570.37198290066</v>
      </c>
      <c r="DV8" s="1">
        <v>100</v>
      </c>
      <c r="DW8" s="1">
        <v>0</v>
      </c>
      <c r="EM8" s="1">
        <v>12</v>
      </c>
      <c r="EN8" s="2">
        <f t="shared" si="17"/>
        <v>753570.37198290066</v>
      </c>
      <c r="EO8" s="2">
        <f t="shared" si="18"/>
        <v>0</v>
      </c>
      <c r="EP8" s="2">
        <f t="shared" si="19"/>
        <v>0</v>
      </c>
      <c r="EQ8" s="2">
        <f t="shared" si="20"/>
        <v>0</v>
      </c>
      <c r="ER8" s="2">
        <f t="shared" si="21"/>
        <v>0</v>
      </c>
      <c r="ES8" s="2">
        <f t="shared" si="22"/>
        <v>0</v>
      </c>
      <c r="ET8" s="2">
        <f t="shared" si="23"/>
        <v>0</v>
      </c>
      <c r="EU8" s="2">
        <f t="shared" si="24"/>
        <v>0</v>
      </c>
      <c r="EV8" s="2">
        <f t="shared" si="25"/>
        <v>0</v>
      </c>
      <c r="EW8" s="2">
        <f t="shared" si="26"/>
        <v>0</v>
      </c>
      <c r="EX8" s="2">
        <f t="shared" si="27"/>
        <v>0</v>
      </c>
      <c r="EY8" s="2">
        <f t="shared" si="28"/>
        <v>0</v>
      </c>
      <c r="EZ8" s="2">
        <f t="shared" si="29"/>
        <v>0</v>
      </c>
      <c r="FA8" s="2">
        <f t="shared" si="30"/>
        <v>0</v>
      </c>
      <c r="FB8" s="2">
        <f t="shared" si="31"/>
        <v>0</v>
      </c>
      <c r="FE8" s="1256">
        <v>11</v>
      </c>
      <c r="FF8" s="1252">
        <v>100</v>
      </c>
      <c r="FG8" s="1252"/>
      <c r="FH8" s="1253"/>
      <c r="FI8" s="1253"/>
      <c r="FJ8" s="1253"/>
      <c r="FK8" s="1253"/>
      <c r="FL8" s="1253"/>
      <c r="FM8" s="1253"/>
      <c r="FN8" s="1253"/>
      <c r="FO8" s="1253"/>
      <c r="FP8" s="1253"/>
      <c r="FQ8" s="1253"/>
      <c r="FR8" s="1134"/>
      <c r="FS8" s="1254"/>
      <c r="FT8"/>
      <c r="FU8" s="1255">
        <v>100</v>
      </c>
      <c r="FV8" s="1452"/>
      <c r="FX8" s="2">
        <v>1370397.6030973427</v>
      </c>
      <c r="FY8" s="1256">
        <v>11</v>
      </c>
      <c r="FZ8" s="2">
        <f t="shared" si="36"/>
        <v>1370397.6030973427</v>
      </c>
      <c r="GA8" s="2">
        <f t="shared" si="37"/>
        <v>0</v>
      </c>
      <c r="GB8" s="2">
        <f t="shared" si="38"/>
        <v>0</v>
      </c>
      <c r="GC8" s="2">
        <f t="shared" si="39"/>
        <v>0</v>
      </c>
      <c r="GD8" s="2">
        <f t="shared" si="40"/>
        <v>0</v>
      </c>
      <c r="GE8" s="2">
        <f t="shared" si="41"/>
        <v>0</v>
      </c>
      <c r="GF8" s="2">
        <f t="shared" si="42"/>
        <v>0</v>
      </c>
      <c r="GG8" s="2">
        <f t="shared" si="43"/>
        <v>0</v>
      </c>
      <c r="GH8" s="2">
        <f t="shared" si="44"/>
        <v>0</v>
      </c>
      <c r="GI8" s="2">
        <f t="shared" si="45"/>
        <v>0</v>
      </c>
      <c r="GJ8" s="2">
        <f t="shared" si="46"/>
        <v>0</v>
      </c>
      <c r="GK8" s="2">
        <f t="shared" si="47"/>
        <v>0</v>
      </c>
      <c r="GL8" s="2">
        <f t="shared" si="48"/>
        <v>0</v>
      </c>
      <c r="GM8" s="2">
        <f t="shared" si="49"/>
        <v>0</v>
      </c>
      <c r="GN8" s="2">
        <f t="shared" si="50"/>
        <v>0</v>
      </c>
      <c r="GQ8" s="1256">
        <v>13</v>
      </c>
      <c r="GR8" s="1456">
        <v>60</v>
      </c>
      <c r="GS8" s="1456">
        <v>40</v>
      </c>
      <c r="GT8" s="1456"/>
      <c r="GU8" s="1456"/>
      <c r="GV8" s="1456"/>
      <c r="GW8" s="1456"/>
      <c r="GX8" s="1456"/>
      <c r="GY8" s="1456"/>
      <c r="GZ8" s="1456"/>
      <c r="HA8" s="1456"/>
      <c r="HB8" s="1456"/>
      <c r="HC8" s="1456"/>
      <c r="HD8" s="1456"/>
      <c r="HE8" s="1456"/>
      <c r="HF8" s="1134"/>
      <c r="HG8" s="1266">
        <f t="shared" si="79"/>
        <v>100</v>
      </c>
      <c r="HI8" s="2">
        <v>8205795.8301883023</v>
      </c>
      <c r="HJ8" s="1820">
        <v>11</v>
      </c>
      <c r="HK8" s="2">
        <f t="shared" si="51"/>
        <v>4923477.4981129812</v>
      </c>
      <c r="HL8" s="2">
        <f t="shared" si="52"/>
        <v>3282318.3320753211</v>
      </c>
      <c r="HM8" s="2">
        <f t="shared" si="53"/>
        <v>0</v>
      </c>
      <c r="HN8" s="2">
        <f t="shared" si="54"/>
        <v>0</v>
      </c>
      <c r="HO8" s="2">
        <f t="shared" si="55"/>
        <v>0</v>
      </c>
      <c r="HP8" s="2">
        <f t="shared" si="56"/>
        <v>0</v>
      </c>
      <c r="HQ8" s="2">
        <f t="shared" si="57"/>
        <v>0</v>
      </c>
      <c r="HR8" s="2">
        <f t="shared" si="58"/>
        <v>0</v>
      </c>
      <c r="HS8" s="2">
        <f t="shared" si="59"/>
        <v>0</v>
      </c>
      <c r="HT8" s="2">
        <f t="shared" si="60"/>
        <v>0</v>
      </c>
      <c r="HU8" s="2">
        <f t="shared" si="61"/>
        <v>0</v>
      </c>
      <c r="HV8" s="2">
        <f t="shared" si="62"/>
        <v>0</v>
      </c>
      <c r="HW8" s="2">
        <f t="shared" si="63"/>
        <v>0</v>
      </c>
      <c r="HX8" s="2">
        <f t="shared" si="64"/>
        <v>0</v>
      </c>
      <c r="HY8" s="2">
        <f t="shared" si="65"/>
        <v>0</v>
      </c>
      <c r="IB8" s="1">
        <v>13</v>
      </c>
      <c r="IC8" s="1">
        <v>100</v>
      </c>
      <c r="IO8" s="1">
        <v>100</v>
      </c>
      <c r="IQ8" s="2">
        <v>29870764.45131956</v>
      </c>
      <c r="IR8" s="1">
        <v>13</v>
      </c>
      <c r="IS8" s="2">
        <f t="shared" si="66"/>
        <v>29870764.45131956</v>
      </c>
      <c r="IT8" s="2">
        <f t="shared" si="67"/>
        <v>0</v>
      </c>
      <c r="IU8" s="2">
        <f t="shared" si="68"/>
        <v>0</v>
      </c>
      <c r="IV8" s="2">
        <f t="shared" si="69"/>
        <v>0</v>
      </c>
      <c r="IW8" s="2">
        <f t="shared" si="70"/>
        <v>0</v>
      </c>
      <c r="IX8" s="2">
        <f t="shared" si="71"/>
        <v>0</v>
      </c>
      <c r="IY8" s="2">
        <f t="shared" si="72"/>
        <v>0</v>
      </c>
      <c r="IZ8" s="2">
        <f t="shared" si="73"/>
        <v>0</v>
      </c>
      <c r="JA8" s="2">
        <f t="shared" si="74"/>
        <v>0</v>
      </c>
      <c r="JB8" s="2">
        <f t="shared" si="75"/>
        <v>0</v>
      </c>
      <c r="JC8" s="2">
        <f t="shared" si="76"/>
        <v>0</v>
      </c>
      <c r="JD8" s="2">
        <f t="shared" si="77"/>
        <v>0</v>
      </c>
    </row>
    <row r="9" spans="1:265">
      <c r="A9" s="75">
        <v>9</v>
      </c>
      <c r="B9" s="75"/>
      <c r="D9" s="75">
        <v>9</v>
      </c>
      <c r="E9" s="1119">
        <v>0</v>
      </c>
      <c r="F9" s="1119">
        <v>0</v>
      </c>
      <c r="G9" s="1119">
        <v>0</v>
      </c>
      <c r="H9" s="1119">
        <v>0</v>
      </c>
      <c r="I9" s="1119">
        <v>0</v>
      </c>
      <c r="J9" s="1119">
        <v>0</v>
      </c>
      <c r="K9" s="1119">
        <v>0</v>
      </c>
      <c r="L9" s="1119">
        <v>0</v>
      </c>
      <c r="M9" s="1119">
        <v>0</v>
      </c>
      <c r="N9" s="1119">
        <v>0</v>
      </c>
      <c r="O9" s="1119">
        <v>0</v>
      </c>
      <c r="Q9" s="75">
        <v>9</v>
      </c>
      <c r="R9" s="2">
        <f t="shared" si="78"/>
        <v>0</v>
      </c>
      <c r="S9" s="2">
        <f t="shared" si="35"/>
        <v>0</v>
      </c>
      <c r="T9" s="2">
        <f t="shared" si="35"/>
        <v>0</v>
      </c>
      <c r="U9" s="2">
        <f t="shared" si="35"/>
        <v>0</v>
      </c>
      <c r="V9" s="2">
        <f t="shared" si="35"/>
        <v>0</v>
      </c>
      <c r="W9" s="2">
        <f t="shared" si="35"/>
        <v>0</v>
      </c>
      <c r="X9" s="2">
        <f t="shared" si="35"/>
        <v>0</v>
      </c>
      <c r="Y9" s="2">
        <f t="shared" si="35"/>
        <v>0</v>
      </c>
      <c r="Z9" s="2">
        <f t="shared" si="35"/>
        <v>0</v>
      </c>
      <c r="AA9" s="2">
        <f t="shared" si="35"/>
        <v>0</v>
      </c>
      <c r="AB9" s="2">
        <f t="shared" si="35"/>
        <v>0</v>
      </c>
      <c r="AN9" s="75">
        <v>9</v>
      </c>
      <c r="BG9" s="75">
        <v>9</v>
      </c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CI9" s="1">
        <v>10067316.170994956</v>
      </c>
      <c r="CJ9" s="1">
        <v>15</v>
      </c>
      <c r="CK9" s="2">
        <v>73.333333333333329</v>
      </c>
      <c r="CL9" s="2">
        <v>26.666666666666668</v>
      </c>
      <c r="CM9" s="2"/>
      <c r="CN9" s="2"/>
      <c r="CZ9" s="1">
        <v>100</v>
      </c>
      <c r="DC9" s="1">
        <v>15</v>
      </c>
      <c r="DD9" s="2">
        <f t="shared" si="2"/>
        <v>7382698.5253963005</v>
      </c>
      <c r="DE9" s="2">
        <f t="shared" si="3"/>
        <v>2684617.6455986556</v>
      </c>
      <c r="DF9" s="2">
        <f t="shared" si="4"/>
        <v>0</v>
      </c>
      <c r="DG9" s="2">
        <f t="shared" si="5"/>
        <v>0</v>
      </c>
      <c r="DH9" s="2">
        <f t="shared" si="6"/>
        <v>0</v>
      </c>
      <c r="DI9" s="2">
        <f t="shared" si="7"/>
        <v>0</v>
      </c>
      <c r="DJ9" s="2">
        <f t="shared" si="8"/>
        <v>0</v>
      </c>
      <c r="DK9" s="2">
        <f t="shared" si="9"/>
        <v>0</v>
      </c>
      <c r="DL9" s="2">
        <f t="shared" si="10"/>
        <v>0</v>
      </c>
      <c r="DM9" s="2">
        <f t="shared" si="11"/>
        <v>0</v>
      </c>
      <c r="DN9" s="2">
        <f t="shared" si="12"/>
        <v>0</v>
      </c>
      <c r="DO9" s="2">
        <f t="shared" si="13"/>
        <v>0</v>
      </c>
      <c r="DP9" s="2">
        <f t="shared" si="14"/>
        <v>0</v>
      </c>
      <c r="DQ9" s="2">
        <f t="shared" si="15"/>
        <v>0</v>
      </c>
      <c r="DR9" s="2">
        <f t="shared" si="16"/>
        <v>0</v>
      </c>
      <c r="DT9" s="1">
        <v>13</v>
      </c>
      <c r="DU9" s="1">
        <v>1148691.5276228609</v>
      </c>
      <c r="DV9" s="1">
        <v>100</v>
      </c>
      <c r="DW9" s="1">
        <v>0</v>
      </c>
      <c r="EM9" s="1">
        <v>13</v>
      </c>
      <c r="EN9" s="2">
        <f t="shared" si="17"/>
        <v>1148691.5276228609</v>
      </c>
      <c r="EO9" s="2">
        <f t="shared" si="18"/>
        <v>0</v>
      </c>
      <c r="EP9" s="2">
        <f t="shared" si="19"/>
        <v>0</v>
      </c>
      <c r="EQ9" s="2">
        <f t="shared" si="20"/>
        <v>0</v>
      </c>
      <c r="ER9" s="2">
        <f t="shared" si="21"/>
        <v>0</v>
      </c>
      <c r="ES9" s="2">
        <f t="shared" si="22"/>
        <v>0</v>
      </c>
      <c r="ET9" s="2">
        <f t="shared" si="23"/>
        <v>0</v>
      </c>
      <c r="EU9" s="2">
        <f t="shared" si="24"/>
        <v>0</v>
      </c>
      <c r="EV9" s="2">
        <f t="shared" si="25"/>
        <v>0</v>
      </c>
      <c r="EW9" s="2">
        <f t="shared" si="26"/>
        <v>0</v>
      </c>
      <c r="EX9" s="2">
        <f t="shared" si="27"/>
        <v>0</v>
      </c>
      <c r="EY9" s="2">
        <f t="shared" si="28"/>
        <v>0</v>
      </c>
      <c r="EZ9" s="2">
        <f t="shared" si="29"/>
        <v>0</v>
      </c>
      <c r="FA9" s="2">
        <f t="shared" si="30"/>
        <v>0</v>
      </c>
      <c r="FB9" s="2">
        <f t="shared" si="31"/>
        <v>0</v>
      </c>
      <c r="FE9" s="1256">
        <v>12</v>
      </c>
      <c r="FF9" s="1252">
        <v>100</v>
      </c>
      <c r="FG9" s="1252"/>
      <c r="FH9" s="1253"/>
      <c r="FI9" s="1253"/>
      <c r="FJ9" s="1253"/>
      <c r="FK9" s="1253"/>
      <c r="FL9" s="1253"/>
      <c r="FM9" s="1253"/>
      <c r="FN9" s="1253"/>
      <c r="FO9" s="1253"/>
      <c r="FP9" s="1253"/>
      <c r="FQ9" s="1253"/>
      <c r="FR9" s="1134"/>
      <c r="FS9" s="1134"/>
      <c r="FT9" s="1257"/>
      <c r="FU9" s="1258">
        <v>100</v>
      </c>
      <c r="FV9" s="1452"/>
      <c r="FX9" s="2">
        <v>732377.08461571496</v>
      </c>
      <c r="FY9" s="1256">
        <v>12</v>
      </c>
      <c r="FZ9" s="2">
        <f t="shared" si="36"/>
        <v>732377.08461571496</v>
      </c>
      <c r="GA9" s="2">
        <f t="shared" si="37"/>
        <v>0</v>
      </c>
      <c r="GB9" s="2">
        <f t="shared" si="38"/>
        <v>0</v>
      </c>
      <c r="GC9" s="2">
        <f t="shared" si="39"/>
        <v>0</v>
      </c>
      <c r="GD9" s="2">
        <f t="shared" si="40"/>
        <v>0</v>
      </c>
      <c r="GE9" s="2">
        <f t="shared" si="41"/>
        <v>0</v>
      </c>
      <c r="GF9" s="2">
        <f t="shared" si="42"/>
        <v>0</v>
      </c>
      <c r="GG9" s="2">
        <f t="shared" si="43"/>
        <v>0</v>
      </c>
      <c r="GH9" s="2">
        <f t="shared" si="44"/>
        <v>0</v>
      </c>
      <c r="GI9" s="2">
        <f t="shared" si="45"/>
        <v>0</v>
      </c>
      <c r="GJ9" s="2">
        <f t="shared" si="46"/>
        <v>0</v>
      </c>
      <c r="GK9" s="2">
        <f t="shared" si="47"/>
        <v>0</v>
      </c>
      <c r="GL9" s="2">
        <f t="shared" si="48"/>
        <v>0</v>
      </c>
      <c r="GM9" s="2">
        <f t="shared" si="49"/>
        <v>0</v>
      </c>
      <c r="GN9" s="2">
        <f t="shared" si="50"/>
        <v>0</v>
      </c>
      <c r="GQ9" s="1256">
        <v>14</v>
      </c>
      <c r="GR9" s="1456">
        <v>50</v>
      </c>
      <c r="GS9" s="1456">
        <v>50</v>
      </c>
      <c r="GT9" s="1456"/>
      <c r="GU9" s="1456"/>
      <c r="GV9" s="1456"/>
      <c r="GW9" s="1456"/>
      <c r="GX9" s="1456"/>
      <c r="GY9" s="1456"/>
      <c r="GZ9" s="1456"/>
      <c r="HA9" s="1456"/>
      <c r="HB9" s="1456"/>
      <c r="HC9" s="1456"/>
      <c r="HD9" s="1456"/>
      <c r="HE9" s="1456"/>
      <c r="HF9" s="1134"/>
      <c r="HG9" s="1266">
        <f t="shared" si="79"/>
        <v>100</v>
      </c>
      <c r="HI9" s="2">
        <v>35334628.534217753</v>
      </c>
      <c r="HJ9" s="1820">
        <v>12</v>
      </c>
      <c r="HK9" s="2">
        <f t="shared" si="51"/>
        <v>17667314.267108876</v>
      </c>
      <c r="HL9" s="2">
        <f t="shared" si="52"/>
        <v>17667314.267108876</v>
      </c>
      <c r="HM9" s="2">
        <f t="shared" si="53"/>
        <v>0</v>
      </c>
      <c r="HN9" s="2">
        <f t="shared" si="54"/>
        <v>0</v>
      </c>
      <c r="HO9" s="2">
        <f t="shared" si="55"/>
        <v>0</v>
      </c>
      <c r="HP9" s="2">
        <f t="shared" si="56"/>
        <v>0</v>
      </c>
      <c r="HQ9" s="2">
        <f t="shared" si="57"/>
        <v>0</v>
      </c>
      <c r="HR9" s="2">
        <f t="shared" si="58"/>
        <v>0</v>
      </c>
      <c r="HS9" s="2">
        <f t="shared" si="59"/>
        <v>0</v>
      </c>
      <c r="HT9" s="2">
        <f t="shared" si="60"/>
        <v>0</v>
      </c>
      <c r="HU9" s="2">
        <f t="shared" si="61"/>
        <v>0</v>
      </c>
      <c r="HV9" s="2">
        <f t="shared" si="62"/>
        <v>0</v>
      </c>
      <c r="HW9" s="2">
        <f t="shared" si="63"/>
        <v>0</v>
      </c>
      <c r="HX9" s="2">
        <f t="shared" si="64"/>
        <v>0</v>
      </c>
      <c r="HY9" s="2">
        <f t="shared" si="65"/>
        <v>0</v>
      </c>
      <c r="IB9" s="1">
        <v>14</v>
      </c>
      <c r="IC9" s="1">
        <v>94.74</v>
      </c>
      <c r="ID9" s="1">
        <v>5.26</v>
      </c>
      <c r="IO9" s="1">
        <v>100</v>
      </c>
      <c r="IQ9" s="2">
        <v>69273912.962530091</v>
      </c>
      <c r="IR9" s="1">
        <v>14</v>
      </c>
      <c r="IS9" s="2">
        <f t="shared" si="66"/>
        <v>65630105.140701011</v>
      </c>
      <c r="IT9" s="2">
        <f t="shared" si="67"/>
        <v>3643807.8218290824</v>
      </c>
      <c r="IU9" s="2">
        <f t="shared" si="68"/>
        <v>0</v>
      </c>
      <c r="IV9" s="2">
        <f t="shared" si="69"/>
        <v>0</v>
      </c>
      <c r="IW9" s="2">
        <f t="shared" si="70"/>
        <v>0</v>
      </c>
      <c r="IX9" s="2">
        <f t="shared" si="71"/>
        <v>0</v>
      </c>
      <c r="IY9" s="2">
        <f t="shared" si="72"/>
        <v>0</v>
      </c>
      <c r="IZ9" s="2">
        <f t="shared" si="73"/>
        <v>0</v>
      </c>
      <c r="JA9" s="2">
        <f t="shared" si="74"/>
        <v>0</v>
      </c>
      <c r="JB9" s="2">
        <f t="shared" si="75"/>
        <v>0</v>
      </c>
      <c r="JC9" s="2">
        <f t="shared" si="76"/>
        <v>0</v>
      </c>
      <c r="JD9" s="2">
        <f t="shared" si="77"/>
        <v>0</v>
      </c>
    </row>
    <row r="10" spans="1:265">
      <c r="A10" s="1">
        <v>10</v>
      </c>
      <c r="D10" s="1">
        <v>10</v>
      </c>
      <c r="E10" s="1119">
        <v>0</v>
      </c>
      <c r="F10" s="1119">
        <v>0</v>
      </c>
      <c r="G10" s="1119">
        <v>0</v>
      </c>
      <c r="H10" s="1119">
        <v>0</v>
      </c>
      <c r="I10" s="1119">
        <v>0</v>
      </c>
      <c r="J10" s="1119">
        <v>0</v>
      </c>
      <c r="K10" s="1119">
        <v>0</v>
      </c>
      <c r="L10" s="1119">
        <v>0</v>
      </c>
      <c r="M10" s="1119">
        <v>0</v>
      </c>
      <c r="N10" s="1119">
        <v>0</v>
      </c>
      <c r="O10" s="1119">
        <v>0</v>
      </c>
      <c r="Q10" s="1">
        <v>10</v>
      </c>
      <c r="R10" s="2">
        <f t="shared" si="78"/>
        <v>0</v>
      </c>
      <c r="S10" s="2">
        <f t="shared" si="35"/>
        <v>0</v>
      </c>
      <c r="T10" s="2">
        <f t="shared" si="35"/>
        <v>0</v>
      </c>
      <c r="U10" s="2">
        <f t="shared" si="35"/>
        <v>0</v>
      </c>
      <c r="V10" s="2">
        <f t="shared" si="35"/>
        <v>0</v>
      </c>
      <c r="W10" s="2">
        <f t="shared" si="35"/>
        <v>0</v>
      </c>
      <c r="X10" s="2">
        <f t="shared" si="35"/>
        <v>0</v>
      </c>
      <c r="Y10" s="2">
        <f t="shared" si="35"/>
        <v>0</v>
      </c>
      <c r="Z10" s="2">
        <f t="shared" si="35"/>
        <v>0</v>
      </c>
      <c r="AA10" s="2">
        <f t="shared" si="35"/>
        <v>0</v>
      </c>
      <c r="AB10" s="2">
        <f t="shared" si="35"/>
        <v>0</v>
      </c>
      <c r="AN10" s="1">
        <v>10</v>
      </c>
      <c r="BG10" s="1">
        <v>10</v>
      </c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CI10" s="1">
        <v>17954668.973725848</v>
      </c>
      <c r="CJ10" s="1">
        <v>16</v>
      </c>
      <c r="CK10" s="2">
        <v>36</v>
      </c>
      <c r="CL10" s="2">
        <v>64</v>
      </c>
      <c r="CM10" s="2"/>
      <c r="CN10" s="2"/>
      <c r="CZ10" s="1">
        <v>100</v>
      </c>
      <c r="DC10" s="1">
        <v>16</v>
      </c>
      <c r="DD10" s="2">
        <f t="shared" si="2"/>
        <v>6463680.8305413052</v>
      </c>
      <c r="DE10" s="2">
        <f t="shared" si="3"/>
        <v>11490988.143184543</v>
      </c>
      <c r="DF10" s="2">
        <f t="shared" si="4"/>
        <v>0</v>
      </c>
      <c r="DG10" s="2">
        <f t="shared" si="5"/>
        <v>0</v>
      </c>
      <c r="DH10" s="2">
        <f t="shared" si="6"/>
        <v>0</v>
      </c>
      <c r="DI10" s="2">
        <f t="shared" si="7"/>
        <v>0</v>
      </c>
      <c r="DJ10" s="2">
        <f t="shared" si="8"/>
        <v>0</v>
      </c>
      <c r="DK10" s="2">
        <f t="shared" si="9"/>
        <v>0</v>
      </c>
      <c r="DL10" s="2">
        <f t="shared" si="10"/>
        <v>0</v>
      </c>
      <c r="DM10" s="2">
        <f t="shared" si="11"/>
        <v>0</v>
      </c>
      <c r="DN10" s="2">
        <f t="shared" si="12"/>
        <v>0</v>
      </c>
      <c r="DO10" s="2">
        <f t="shared" si="13"/>
        <v>0</v>
      </c>
      <c r="DP10" s="2">
        <f t="shared" si="14"/>
        <v>0</v>
      </c>
      <c r="DQ10" s="2">
        <f t="shared" si="15"/>
        <v>0</v>
      </c>
      <c r="DR10" s="2">
        <f t="shared" si="16"/>
        <v>0</v>
      </c>
      <c r="DT10" s="1">
        <v>14</v>
      </c>
      <c r="DU10" s="1">
        <v>2469272.8689864669</v>
      </c>
      <c r="DV10" s="1">
        <v>100</v>
      </c>
      <c r="DW10" s="1">
        <v>0</v>
      </c>
      <c r="EM10" s="1">
        <v>14</v>
      </c>
      <c r="EN10" s="2">
        <f t="shared" si="17"/>
        <v>2469272.8689864669</v>
      </c>
      <c r="EO10" s="2">
        <f t="shared" si="18"/>
        <v>0</v>
      </c>
      <c r="EP10" s="2">
        <f t="shared" si="19"/>
        <v>0</v>
      </c>
      <c r="EQ10" s="2">
        <f t="shared" si="20"/>
        <v>0</v>
      </c>
      <c r="ER10" s="2">
        <f t="shared" si="21"/>
        <v>0</v>
      </c>
      <c r="ES10" s="2">
        <f t="shared" si="22"/>
        <v>0</v>
      </c>
      <c r="ET10" s="2">
        <f t="shared" si="23"/>
        <v>0</v>
      </c>
      <c r="EU10" s="2">
        <f t="shared" si="24"/>
        <v>0</v>
      </c>
      <c r="EV10" s="2">
        <f t="shared" si="25"/>
        <v>0</v>
      </c>
      <c r="EW10" s="2">
        <f t="shared" si="26"/>
        <v>0</v>
      </c>
      <c r="EX10" s="2">
        <f t="shared" si="27"/>
        <v>0</v>
      </c>
      <c r="EY10" s="2">
        <f t="shared" si="28"/>
        <v>0</v>
      </c>
      <c r="EZ10" s="2">
        <f t="shared" si="29"/>
        <v>0</v>
      </c>
      <c r="FA10" s="2">
        <f t="shared" si="30"/>
        <v>0</v>
      </c>
      <c r="FB10" s="2">
        <f t="shared" si="31"/>
        <v>0</v>
      </c>
      <c r="FE10" s="1256">
        <v>13</v>
      </c>
      <c r="FF10" s="1252">
        <v>100</v>
      </c>
      <c r="FG10" s="1252"/>
      <c r="FH10" s="1253"/>
      <c r="FI10" s="1253"/>
      <c r="FJ10" s="1253"/>
      <c r="FK10" s="1253"/>
      <c r="FL10" s="1253"/>
      <c r="FM10" s="1253"/>
      <c r="FN10" s="1253"/>
      <c r="FO10" s="1253"/>
      <c r="FP10" s="1253"/>
      <c r="FQ10" s="1253"/>
      <c r="FR10" s="1134"/>
      <c r="FS10" s="1254"/>
      <c r="FT10"/>
      <c r="FU10" s="1255">
        <v>100</v>
      </c>
      <c r="FV10" s="1452"/>
      <c r="FX10" s="2">
        <v>1510910.0473646456</v>
      </c>
      <c r="FY10" s="1256">
        <v>13</v>
      </c>
      <c r="FZ10" s="2">
        <f t="shared" si="36"/>
        <v>1510910.0473646456</v>
      </c>
      <c r="GA10" s="2">
        <f t="shared" si="37"/>
        <v>0</v>
      </c>
      <c r="GB10" s="2">
        <f t="shared" si="38"/>
        <v>0</v>
      </c>
      <c r="GC10" s="2">
        <f t="shared" si="39"/>
        <v>0</v>
      </c>
      <c r="GD10" s="2">
        <f t="shared" si="40"/>
        <v>0</v>
      </c>
      <c r="GE10" s="2">
        <f t="shared" si="41"/>
        <v>0</v>
      </c>
      <c r="GF10" s="2">
        <f t="shared" si="42"/>
        <v>0</v>
      </c>
      <c r="GG10" s="2">
        <f t="shared" si="43"/>
        <v>0</v>
      </c>
      <c r="GH10" s="2">
        <f t="shared" si="44"/>
        <v>0</v>
      </c>
      <c r="GI10" s="2">
        <f t="shared" si="45"/>
        <v>0</v>
      </c>
      <c r="GJ10" s="2">
        <f t="shared" si="46"/>
        <v>0</v>
      </c>
      <c r="GK10" s="2">
        <f t="shared" si="47"/>
        <v>0</v>
      </c>
      <c r="GL10" s="2">
        <f t="shared" si="48"/>
        <v>0</v>
      </c>
      <c r="GM10" s="2">
        <f t="shared" si="49"/>
        <v>0</v>
      </c>
      <c r="GN10" s="2">
        <f t="shared" si="50"/>
        <v>0</v>
      </c>
      <c r="GQ10" s="1256">
        <v>15</v>
      </c>
      <c r="GR10" s="1456">
        <v>20</v>
      </c>
      <c r="GS10" s="1456">
        <v>80</v>
      </c>
      <c r="GT10" s="1456"/>
      <c r="GU10" s="1456"/>
      <c r="GV10" s="1456"/>
      <c r="GW10" s="1456"/>
      <c r="GX10" s="1456"/>
      <c r="GY10" s="1456"/>
      <c r="GZ10" s="1456"/>
      <c r="HA10" s="1456"/>
      <c r="HB10" s="1456"/>
      <c r="HC10" s="1456"/>
      <c r="HD10" s="1456"/>
      <c r="HE10" s="1456"/>
      <c r="HF10" s="1134"/>
      <c r="HG10" s="1266">
        <f t="shared" si="79"/>
        <v>100</v>
      </c>
      <c r="HI10" s="2">
        <v>38703740.497870825</v>
      </c>
      <c r="HJ10" s="1820">
        <v>13</v>
      </c>
      <c r="HK10" s="2">
        <f t="shared" si="51"/>
        <v>7740748.0995741654</v>
      </c>
      <c r="HL10" s="2">
        <f t="shared" si="52"/>
        <v>30962992.398296662</v>
      </c>
      <c r="HM10" s="2">
        <f t="shared" si="53"/>
        <v>0</v>
      </c>
      <c r="HN10" s="2">
        <f t="shared" si="54"/>
        <v>0</v>
      </c>
      <c r="HO10" s="2">
        <f t="shared" si="55"/>
        <v>0</v>
      </c>
      <c r="HP10" s="2">
        <f t="shared" si="56"/>
        <v>0</v>
      </c>
      <c r="HQ10" s="2">
        <f t="shared" si="57"/>
        <v>0</v>
      </c>
      <c r="HR10" s="2">
        <f t="shared" si="58"/>
        <v>0</v>
      </c>
      <c r="HS10" s="2">
        <f t="shared" si="59"/>
        <v>0</v>
      </c>
      <c r="HT10" s="2">
        <f t="shared" si="60"/>
        <v>0</v>
      </c>
      <c r="HU10" s="2">
        <f t="shared" si="61"/>
        <v>0</v>
      </c>
      <c r="HV10" s="2">
        <f t="shared" si="62"/>
        <v>0</v>
      </c>
      <c r="HW10" s="2">
        <f t="shared" si="63"/>
        <v>0</v>
      </c>
      <c r="HX10" s="2">
        <f t="shared" si="64"/>
        <v>0</v>
      </c>
      <c r="HY10" s="2">
        <f t="shared" si="65"/>
        <v>0</v>
      </c>
      <c r="IB10" s="1">
        <v>15</v>
      </c>
      <c r="IC10" s="1">
        <v>66.67</v>
      </c>
      <c r="ID10" s="1">
        <v>33.33</v>
      </c>
      <c r="IO10" s="1">
        <v>100</v>
      </c>
      <c r="IQ10" s="2">
        <v>60145723.159994356</v>
      </c>
      <c r="IR10" s="1">
        <v>15</v>
      </c>
      <c r="IS10" s="2">
        <f t="shared" si="66"/>
        <v>40099153.630768239</v>
      </c>
      <c r="IT10" s="2">
        <f t="shared" si="67"/>
        <v>20046569.529226117</v>
      </c>
      <c r="IU10" s="2">
        <f t="shared" si="68"/>
        <v>0</v>
      </c>
      <c r="IV10" s="2">
        <f t="shared" si="69"/>
        <v>0</v>
      </c>
      <c r="IW10" s="2">
        <f t="shared" si="70"/>
        <v>0</v>
      </c>
      <c r="IX10" s="2">
        <f t="shared" si="71"/>
        <v>0</v>
      </c>
      <c r="IY10" s="2">
        <f t="shared" si="72"/>
        <v>0</v>
      </c>
      <c r="IZ10" s="2">
        <f t="shared" si="73"/>
        <v>0</v>
      </c>
      <c r="JA10" s="2">
        <f t="shared" si="74"/>
        <v>0</v>
      </c>
      <c r="JB10" s="2">
        <f t="shared" si="75"/>
        <v>0</v>
      </c>
      <c r="JC10" s="2">
        <f t="shared" si="76"/>
        <v>0</v>
      </c>
      <c r="JD10" s="2">
        <f t="shared" si="77"/>
        <v>0</v>
      </c>
    </row>
    <row r="11" spans="1:265">
      <c r="A11" s="1">
        <v>11</v>
      </c>
      <c r="D11" s="1">
        <v>11</v>
      </c>
      <c r="E11" s="1119">
        <v>0</v>
      </c>
      <c r="F11" s="1119">
        <v>0</v>
      </c>
      <c r="G11" s="1119">
        <v>0</v>
      </c>
      <c r="H11" s="1119">
        <v>0</v>
      </c>
      <c r="I11" s="1119">
        <v>0</v>
      </c>
      <c r="J11" s="1119">
        <v>0</v>
      </c>
      <c r="K11" s="1119">
        <v>0</v>
      </c>
      <c r="L11" s="1119">
        <v>0</v>
      </c>
      <c r="M11" s="1119">
        <v>0</v>
      </c>
      <c r="N11" s="1119">
        <v>0</v>
      </c>
      <c r="O11" s="1119">
        <v>0</v>
      </c>
      <c r="Q11" s="1">
        <v>11</v>
      </c>
      <c r="R11" s="2">
        <f t="shared" si="78"/>
        <v>0</v>
      </c>
      <c r="S11" s="2">
        <f t="shared" si="35"/>
        <v>0</v>
      </c>
      <c r="T11" s="2">
        <f t="shared" si="35"/>
        <v>0</v>
      </c>
      <c r="U11" s="2">
        <f t="shared" si="35"/>
        <v>0</v>
      </c>
      <c r="V11" s="2">
        <f t="shared" si="35"/>
        <v>0</v>
      </c>
      <c r="W11" s="2">
        <f t="shared" si="35"/>
        <v>0</v>
      </c>
      <c r="X11" s="2">
        <f t="shared" si="35"/>
        <v>0</v>
      </c>
      <c r="Y11" s="2">
        <f t="shared" si="35"/>
        <v>0</v>
      </c>
      <c r="Z11" s="2">
        <f t="shared" si="35"/>
        <v>0</v>
      </c>
      <c r="AA11" s="2">
        <f t="shared" si="35"/>
        <v>0</v>
      </c>
      <c r="AB11" s="2">
        <f t="shared" si="35"/>
        <v>0</v>
      </c>
      <c r="AN11" s="1">
        <v>11</v>
      </c>
      <c r="BG11" s="1">
        <v>11</v>
      </c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CI11" s="1">
        <v>37225749.850696944</v>
      </c>
      <c r="CJ11" s="1">
        <v>17</v>
      </c>
      <c r="CK11" s="2">
        <v>0</v>
      </c>
      <c r="CL11" s="2">
        <v>100</v>
      </c>
      <c r="CM11" s="2"/>
      <c r="CN11" s="2"/>
      <c r="CZ11" s="1">
        <v>100</v>
      </c>
      <c r="DC11" s="1">
        <v>17</v>
      </c>
      <c r="DD11" s="2">
        <f t="shared" si="2"/>
        <v>0</v>
      </c>
      <c r="DE11" s="2">
        <f t="shared" si="3"/>
        <v>37225749.850696944</v>
      </c>
      <c r="DF11" s="2">
        <f t="shared" si="4"/>
        <v>0</v>
      </c>
      <c r="DG11" s="2">
        <f t="shared" si="5"/>
        <v>0</v>
      </c>
      <c r="DH11" s="2">
        <f t="shared" si="6"/>
        <v>0</v>
      </c>
      <c r="DI11" s="2">
        <f t="shared" si="7"/>
        <v>0</v>
      </c>
      <c r="DJ11" s="2">
        <f t="shared" si="8"/>
        <v>0</v>
      </c>
      <c r="DK11" s="2">
        <f t="shared" si="9"/>
        <v>0</v>
      </c>
      <c r="DL11" s="2">
        <f t="shared" si="10"/>
        <v>0</v>
      </c>
      <c r="DM11" s="2">
        <f t="shared" si="11"/>
        <v>0</v>
      </c>
      <c r="DN11" s="2">
        <f t="shared" si="12"/>
        <v>0</v>
      </c>
      <c r="DO11" s="2">
        <f t="shared" si="13"/>
        <v>0</v>
      </c>
      <c r="DP11" s="2">
        <f t="shared" si="14"/>
        <v>0</v>
      </c>
      <c r="DQ11" s="2">
        <f t="shared" si="15"/>
        <v>0</v>
      </c>
      <c r="DR11" s="2">
        <f t="shared" si="16"/>
        <v>0</v>
      </c>
      <c r="DT11" s="1">
        <v>15</v>
      </c>
      <c r="DU11" s="1">
        <v>17815097.416518282</v>
      </c>
      <c r="DV11" s="1261">
        <v>66.666666666666671</v>
      </c>
      <c r="DW11" s="1261">
        <v>33.333333333333336</v>
      </c>
      <c r="DX11" s="1261"/>
      <c r="DY11" s="1261"/>
      <c r="DZ11" s="1261"/>
      <c r="EA11" s="1261"/>
      <c r="EB11" s="1261"/>
      <c r="EC11" s="1261"/>
      <c r="ED11" s="1261"/>
      <c r="EE11" s="1261"/>
      <c r="EF11" s="1261"/>
      <c r="EG11" s="1261"/>
      <c r="EH11" s="1261"/>
      <c r="EI11" s="1134"/>
      <c r="EJ11" s="1134"/>
      <c r="EM11" s="1">
        <v>15</v>
      </c>
      <c r="EN11" s="2">
        <f t="shared" si="17"/>
        <v>11876731.611012189</v>
      </c>
      <c r="EO11" s="2">
        <f t="shared" si="18"/>
        <v>5938365.8055060944</v>
      </c>
      <c r="EP11" s="2">
        <f t="shared" si="19"/>
        <v>0</v>
      </c>
      <c r="EQ11" s="2">
        <f t="shared" si="20"/>
        <v>0</v>
      </c>
      <c r="ER11" s="2">
        <f t="shared" si="21"/>
        <v>0</v>
      </c>
      <c r="ES11" s="2">
        <f t="shared" si="22"/>
        <v>0</v>
      </c>
      <c r="ET11" s="2">
        <f t="shared" si="23"/>
        <v>0</v>
      </c>
      <c r="EU11" s="2">
        <f t="shared" si="24"/>
        <v>0</v>
      </c>
      <c r="EV11" s="2">
        <f t="shared" si="25"/>
        <v>0</v>
      </c>
      <c r="EW11" s="2">
        <f t="shared" si="26"/>
        <v>0</v>
      </c>
      <c r="EX11" s="2">
        <f t="shared" si="27"/>
        <v>0</v>
      </c>
      <c r="EY11" s="2">
        <f t="shared" si="28"/>
        <v>0</v>
      </c>
      <c r="EZ11" s="2">
        <f t="shared" si="29"/>
        <v>0</v>
      </c>
      <c r="FA11" s="2">
        <f t="shared" si="30"/>
        <v>0</v>
      </c>
      <c r="FB11" s="2">
        <f t="shared" si="31"/>
        <v>0</v>
      </c>
      <c r="FE11" s="1256">
        <v>14</v>
      </c>
      <c r="FF11" s="1252">
        <v>60</v>
      </c>
      <c r="FG11" s="1252">
        <v>40</v>
      </c>
      <c r="FH11" s="1253"/>
      <c r="FI11" s="1253"/>
      <c r="FJ11" s="1253"/>
      <c r="FK11" s="1253"/>
      <c r="FL11" s="1253"/>
      <c r="FM11" s="1253"/>
      <c r="FN11" s="1253"/>
      <c r="FO11" s="1253"/>
      <c r="FP11" s="1253"/>
      <c r="FQ11" s="1253"/>
      <c r="FR11" s="1134"/>
      <c r="FS11" s="1134"/>
      <c r="FT11" s="1257"/>
      <c r="FU11" s="1258">
        <v>100</v>
      </c>
      <c r="FV11" s="1452"/>
      <c r="FX11" s="2">
        <v>16558849.313814953</v>
      </c>
      <c r="FY11" s="1256">
        <v>14</v>
      </c>
      <c r="FZ11" s="2">
        <f t="shared" si="36"/>
        <v>9935309.5882889722</v>
      </c>
      <c r="GA11" s="2">
        <f t="shared" si="37"/>
        <v>6623539.7255259808</v>
      </c>
      <c r="GB11" s="2">
        <f t="shared" si="38"/>
        <v>0</v>
      </c>
      <c r="GC11" s="2">
        <f t="shared" si="39"/>
        <v>0</v>
      </c>
      <c r="GD11" s="2">
        <f t="shared" si="40"/>
        <v>0</v>
      </c>
      <c r="GE11" s="2">
        <f t="shared" si="41"/>
        <v>0</v>
      </c>
      <c r="GF11" s="2">
        <f t="shared" si="42"/>
        <v>0</v>
      </c>
      <c r="GG11" s="2">
        <f t="shared" si="43"/>
        <v>0</v>
      </c>
      <c r="GH11" s="2">
        <f t="shared" si="44"/>
        <v>0</v>
      </c>
      <c r="GI11" s="2">
        <f t="shared" si="45"/>
        <v>0</v>
      </c>
      <c r="GJ11" s="2">
        <f t="shared" si="46"/>
        <v>0</v>
      </c>
      <c r="GK11" s="2">
        <f t="shared" si="47"/>
        <v>0</v>
      </c>
      <c r="GL11" s="2">
        <f t="shared" si="48"/>
        <v>0</v>
      </c>
      <c r="GM11" s="2">
        <f t="shared" si="49"/>
        <v>0</v>
      </c>
      <c r="GN11" s="2">
        <f t="shared" si="50"/>
        <v>0</v>
      </c>
      <c r="GQ11" s="1260">
        <v>16</v>
      </c>
      <c r="GR11" s="1456">
        <v>19.05</v>
      </c>
      <c r="GS11" s="1456">
        <v>80.95</v>
      </c>
      <c r="GT11" s="1456"/>
      <c r="GU11" s="1456"/>
      <c r="GV11" s="1456"/>
      <c r="GW11" s="1456"/>
      <c r="GX11" s="1456"/>
      <c r="GY11" s="1456"/>
      <c r="GZ11" s="1456"/>
      <c r="HA11" s="1456"/>
      <c r="HB11" s="1456"/>
      <c r="HC11" s="1456"/>
      <c r="HD11" s="1456"/>
      <c r="HE11" s="1456"/>
      <c r="HF11" s="1134"/>
      <c r="HG11" s="1266">
        <f t="shared" si="79"/>
        <v>100</v>
      </c>
      <c r="HI11" s="2">
        <v>52809323.252497196</v>
      </c>
      <c r="HJ11" s="1820">
        <v>14</v>
      </c>
      <c r="HK11" s="2">
        <f t="shared" si="51"/>
        <v>10060176.079600716</v>
      </c>
      <c r="HL11" s="2">
        <f t="shared" si="52"/>
        <v>42749147.172896482</v>
      </c>
      <c r="HM11" s="2">
        <f t="shared" si="53"/>
        <v>0</v>
      </c>
      <c r="HN11" s="2">
        <f t="shared" si="54"/>
        <v>0</v>
      </c>
      <c r="HO11" s="2">
        <f t="shared" si="55"/>
        <v>0</v>
      </c>
      <c r="HP11" s="2">
        <f t="shared" si="56"/>
        <v>0</v>
      </c>
      <c r="HQ11" s="2">
        <f t="shared" si="57"/>
        <v>0</v>
      </c>
      <c r="HR11" s="2">
        <f t="shared" si="58"/>
        <v>0</v>
      </c>
      <c r="HS11" s="2">
        <f t="shared" si="59"/>
        <v>0</v>
      </c>
      <c r="HT11" s="2">
        <f t="shared" si="60"/>
        <v>0</v>
      </c>
      <c r="HU11" s="2">
        <f t="shared" si="61"/>
        <v>0</v>
      </c>
      <c r="HV11" s="2">
        <f t="shared" si="62"/>
        <v>0</v>
      </c>
      <c r="HW11" s="2">
        <f t="shared" si="63"/>
        <v>0</v>
      </c>
      <c r="HX11" s="2">
        <f t="shared" si="64"/>
        <v>0</v>
      </c>
      <c r="HY11" s="2">
        <f t="shared" si="65"/>
        <v>0</v>
      </c>
      <c r="IB11" s="1">
        <v>16</v>
      </c>
      <c r="IC11" s="1">
        <v>31.25</v>
      </c>
      <c r="ID11" s="1">
        <v>68.75</v>
      </c>
      <c r="IO11" s="1">
        <v>100</v>
      </c>
      <c r="IQ11" s="2">
        <v>44524206.993557885</v>
      </c>
      <c r="IR11" s="1">
        <v>16</v>
      </c>
      <c r="IS11" s="2">
        <f t="shared" si="66"/>
        <v>13913814.685486838</v>
      </c>
      <c r="IT11" s="2">
        <f t="shared" si="67"/>
        <v>30610392.308071047</v>
      </c>
      <c r="IU11" s="2">
        <f t="shared" si="68"/>
        <v>0</v>
      </c>
      <c r="IV11" s="2">
        <f t="shared" si="69"/>
        <v>0</v>
      </c>
      <c r="IW11" s="2">
        <f t="shared" si="70"/>
        <v>0</v>
      </c>
      <c r="IX11" s="2">
        <f t="shared" si="71"/>
        <v>0</v>
      </c>
      <c r="IY11" s="2">
        <f t="shared" si="72"/>
        <v>0</v>
      </c>
      <c r="IZ11" s="2">
        <f t="shared" si="73"/>
        <v>0</v>
      </c>
      <c r="JA11" s="2">
        <f t="shared" si="74"/>
        <v>0</v>
      </c>
      <c r="JB11" s="2">
        <f t="shared" si="75"/>
        <v>0</v>
      </c>
      <c r="JC11" s="2">
        <f t="shared" si="76"/>
        <v>0</v>
      </c>
      <c r="JD11" s="2">
        <f t="shared" si="77"/>
        <v>0</v>
      </c>
    </row>
    <row r="12" spans="1:265">
      <c r="A12" s="1">
        <v>12</v>
      </c>
      <c r="D12" s="1">
        <v>12</v>
      </c>
      <c r="E12" s="1119">
        <v>0</v>
      </c>
      <c r="F12" s="1119">
        <v>0</v>
      </c>
      <c r="G12" s="1119">
        <v>0</v>
      </c>
      <c r="H12" s="1119">
        <v>0</v>
      </c>
      <c r="I12" s="1119">
        <v>0</v>
      </c>
      <c r="J12" s="1119">
        <v>0</v>
      </c>
      <c r="K12" s="1119">
        <v>0</v>
      </c>
      <c r="L12" s="1119">
        <v>0</v>
      </c>
      <c r="M12" s="1119">
        <v>0</v>
      </c>
      <c r="N12" s="1119">
        <v>0</v>
      </c>
      <c r="O12" s="1119">
        <v>0</v>
      </c>
      <c r="Q12" s="1">
        <v>12</v>
      </c>
      <c r="R12" s="2">
        <f t="shared" si="78"/>
        <v>0</v>
      </c>
      <c r="S12" s="2">
        <f t="shared" si="35"/>
        <v>0</v>
      </c>
      <c r="T12" s="2">
        <f t="shared" si="35"/>
        <v>0</v>
      </c>
      <c r="U12" s="2">
        <f t="shared" si="35"/>
        <v>0</v>
      </c>
      <c r="V12" s="2">
        <f t="shared" si="35"/>
        <v>0</v>
      </c>
      <c r="W12" s="2">
        <f t="shared" si="35"/>
        <v>0</v>
      </c>
      <c r="X12" s="2">
        <f t="shared" si="35"/>
        <v>0</v>
      </c>
      <c r="Y12" s="2">
        <f t="shared" si="35"/>
        <v>0</v>
      </c>
      <c r="Z12" s="2">
        <f t="shared" si="35"/>
        <v>0</v>
      </c>
      <c r="AA12" s="2">
        <f t="shared" si="35"/>
        <v>0</v>
      </c>
      <c r="AB12" s="2">
        <f t="shared" si="35"/>
        <v>0</v>
      </c>
      <c r="AN12" s="1">
        <v>12</v>
      </c>
      <c r="BG12" s="1">
        <v>12</v>
      </c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CI12" s="1">
        <v>46286004.73659946</v>
      </c>
      <c r="CJ12" s="1">
        <v>18</v>
      </c>
      <c r="CK12" s="2"/>
      <c r="CL12" s="2">
        <v>100</v>
      </c>
      <c r="CM12" s="2"/>
      <c r="CN12" s="2"/>
      <c r="CZ12" s="1">
        <v>100</v>
      </c>
      <c r="DC12" s="1">
        <v>18</v>
      </c>
      <c r="DD12" s="2">
        <f t="shared" si="2"/>
        <v>0</v>
      </c>
      <c r="DE12" s="2">
        <f t="shared" si="3"/>
        <v>46286004.736599468</v>
      </c>
      <c r="DF12" s="2">
        <f t="shared" si="4"/>
        <v>0</v>
      </c>
      <c r="DG12" s="2">
        <f t="shared" si="5"/>
        <v>0</v>
      </c>
      <c r="DH12" s="2">
        <f t="shared" si="6"/>
        <v>0</v>
      </c>
      <c r="DI12" s="2">
        <f t="shared" si="7"/>
        <v>0</v>
      </c>
      <c r="DJ12" s="2">
        <f t="shared" si="8"/>
        <v>0</v>
      </c>
      <c r="DK12" s="2">
        <f t="shared" si="9"/>
        <v>0</v>
      </c>
      <c r="DL12" s="2">
        <f t="shared" si="10"/>
        <v>0</v>
      </c>
      <c r="DM12" s="2">
        <f t="shared" si="11"/>
        <v>0</v>
      </c>
      <c r="DN12" s="2">
        <f t="shared" si="12"/>
        <v>0</v>
      </c>
      <c r="DO12" s="2">
        <f t="shared" si="13"/>
        <v>0</v>
      </c>
      <c r="DP12" s="2">
        <f t="shared" si="14"/>
        <v>0</v>
      </c>
      <c r="DQ12" s="2">
        <f t="shared" si="15"/>
        <v>0</v>
      </c>
      <c r="DR12" s="2">
        <f t="shared" si="16"/>
        <v>0</v>
      </c>
      <c r="DT12" s="1">
        <v>16</v>
      </c>
      <c r="DU12" s="1">
        <v>72701131.211643577</v>
      </c>
      <c r="DV12" s="1261">
        <v>50</v>
      </c>
      <c r="DW12" s="1261">
        <v>50</v>
      </c>
      <c r="DX12" s="1261"/>
      <c r="DY12" s="1261"/>
      <c r="DZ12" s="1261"/>
      <c r="EA12" s="1261"/>
      <c r="EB12" s="1261"/>
      <c r="EC12" s="1261"/>
      <c r="ED12" s="1261"/>
      <c r="EE12" s="1261"/>
      <c r="EF12" s="1261"/>
      <c r="EG12" s="1261"/>
      <c r="EH12" s="1261"/>
      <c r="EI12" s="1134"/>
      <c r="EJ12" s="1134"/>
      <c r="EM12" s="1">
        <v>16</v>
      </c>
      <c r="EN12" s="2">
        <f t="shared" si="17"/>
        <v>36350565.605821788</v>
      </c>
      <c r="EO12" s="2">
        <f t="shared" si="18"/>
        <v>36350565.605821788</v>
      </c>
      <c r="EP12" s="2">
        <f t="shared" si="19"/>
        <v>0</v>
      </c>
      <c r="EQ12" s="2">
        <f t="shared" si="20"/>
        <v>0</v>
      </c>
      <c r="ER12" s="2">
        <f t="shared" si="21"/>
        <v>0</v>
      </c>
      <c r="ES12" s="2">
        <f t="shared" si="22"/>
        <v>0</v>
      </c>
      <c r="ET12" s="2">
        <f t="shared" si="23"/>
        <v>0</v>
      </c>
      <c r="EU12" s="2">
        <f t="shared" si="24"/>
        <v>0</v>
      </c>
      <c r="EV12" s="2">
        <f t="shared" si="25"/>
        <v>0</v>
      </c>
      <c r="EW12" s="2">
        <f t="shared" si="26"/>
        <v>0</v>
      </c>
      <c r="EX12" s="2">
        <f t="shared" si="27"/>
        <v>0</v>
      </c>
      <c r="EY12" s="2">
        <f t="shared" si="28"/>
        <v>0</v>
      </c>
      <c r="EZ12" s="2">
        <f t="shared" si="29"/>
        <v>0</v>
      </c>
      <c r="FA12" s="2">
        <f t="shared" si="30"/>
        <v>0</v>
      </c>
      <c r="FB12" s="2">
        <f t="shared" si="31"/>
        <v>0</v>
      </c>
      <c r="FE12" s="1256">
        <v>15</v>
      </c>
      <c r="FF12" s="1252">
        <v>80</v>
      </c>
      <c r="FG12" s="1252">
        <v>20</v>
      </c>
      <c r="FH12" s="1259"/>
      <c r="FI12" s="1259"/>
      <c r="FJ12" s="1259"/>
      <c r="FK12" s="1253"/>
      <c r="FL12" s="1253"/>
      <c r="FM12" s="1253"/>
      <c r="FN12" s="1253"/>
      <c r="FO12" s="1253"/>
      <c r="FP12" s="1253"/>
      <c r="FQ12" s="1253"/>
      <c r="FR12" s="1134"/>
      <c r="FS12" s="1254"/>
      <c r="FT12"/>
      <c r="FU12" s="1255">
        <v>100</v>
      </c>
      <c r="FV12" s="1452"/>
      <c r="FX12" s="2">
        <v>40356447.260963105</v>
      </c>
      <c r="FY12" s="1256">
        <v>15</v>
      </c>
      <c r="FZ12" s="2">
        <f t="shared" si="36"/>
        <v>32285157.808770485</v>
      </c>
      <c r="GA12" s="2">
        <f t="shared" si="37"/>
        <v>8071289.4521926213</v>
      </c>
      <c r="GB12" s="2">
        <f t="shared" si="38"/>
        <v>0</v>
      </c>
      <c r="GC12" s="2">
        <f t="shared" si="39"/>
        <v>0</v>
      </c>
      <c r="GD12" s="2">
        <f t="shared" si="40"/>
        <v>0</v>
      </c>
      <c r="GE12" s="2">
        <f t="shared" si="41"/>
        <v>0</v>
      </c>
      <c r="GF12" s="2">
        <f t="shared" si="42"/>
        <v>0</v>
      </c>
      <c r="GG12" s="2">
        <f t="shared" si="43"/>
        <v>0</v>
      </c>
      <c r="GH12" s="2">
        <f t="shared" si="44"/>
        <v>0</v>
      </c>
      <c r="GI12" s="2">
        <f t="shared" si="45"/>
        <v>0</v>
      </c>
      <c r="GJ12" s="2">
        <f t="shared" si="46"/>
        <v>0</v>
      </c>
      <c r="GK12" s="2">
        <f t="shared" si="47"/>
        <v>0</v>
      </c>
      <c r="GL12" s="2">
        <f t="shared" si="48"/>
        <v>0</v>
      </c>
      <c r="GM12" s="2">
        <f t="shared" si="49"/>
        <v>0</v>
      </c>
      <c r="GN12" s="2">
        <f t="shared" si="50"/>
        <v>0</v>
      </c>
      <c r="GQ12" s="1260">
        <v>17</v>
      </c>
      <c r="GR12" s="1456"/>
      <c r="GS12" s="1456">
        <v>75</v>
      </c>
      <c r="GT12" s="1456">
        <v>25</v>
      </c>
      <c r="GU12" s="1456"/>
      <c r="GV12" s="1456"/>
      <c r="GW12" s="1456"/>
      <c r="GX12" s="1456"/>
      <c r="GY12" s="1456"/>
      <c r="GZ12" s="1456"/>
      <c r="HA12" s="1456"/>
      <c r="HB12" s="1456"/>
      <c r="HC12" s="1456"/>
      <c r="HD12" s="1456"/>
      <c r="HE12" s="1456"/>
      <c r="HF12" s="1134"/>
      <c r="HG12" s="1266">
        <f t="shared" si="79"/>
        <v>100</v>
      </c>
      <c r="HI12" s="2">
        <v>77357672.196443751</v>
      </c>
      <c r="HJ12" s="1820">
        <v>15</v>
      </c>
      <c r="HK12" s="2">
        <f t="shared" si="51"/>
        <v>0</v>
      </c>
      <c r="HL12" s="2">
        <f t="shared" si="52"/>
        <v>58018254.14733281</v>
      </c>
      <c r="HM12" s="2">
        <f t="shared" si="53"/>
        <v>19339418.049110938</v>
      </c>
      <c r="HN12" s="2">
        <f t="shared" si="54"/>
        <v>0</v>
      </c>
      <c r="HO12" s="2">
        <f t="shared" si="55"/>
        <v>0</v>
      </c>
      <c r="HP12" s="2">
        <f t="shared" si="56"/>
        <v>0</v>
      </c>
      <c r="HQ12" s="2">
        <f t="shared" si="57"/>
        <v>0</v>
      </c>
      <c r="HR12" s="2">
        <f t="shared" si="58"/>
        <v>0</v>
      </c>
      <c r="HS12" s="2">
        <f t="shared" si="59"/>
        <v>0</v>
      </c>
      <c r="HT12" s="2">
        <f t="shared" si="60"/>
        <v>0</v>
      </c>
      <c r="HU12" s="2">
        <f t="shared" si="61"/>
        <v>0</v>
      </c>
      <c r="HV12" s="2">
        <f t="shared" si="62"/>
        <v>0</v>
      </c>
      <c r="HW12" s="2">
        <f t="shared" si="63"/>
        <v>0</v>
      </c>
      <c r="HX12" s="2">
        <f t="shared" si="64"/>
        <v>0</v>
      </c>
      <c r="HY12" s="2">
        <f t="shared" si="65"/>
        <v>0</v>
      </c>
      <c r="IB12" s="1">
        <v>17</v>
      </c>
      <c r="IC12" s="1">
        <v>14.29</v>
      </c>
      <c r="ID12" s="1">
        <v>85.71</v>
      </c>
      <c r="IO12" s="1">
        <v>100</v>
      </c>
      <c r="IQ12" s="2">
        <v>44816149.277899355</v>
      </c>
      <c r="IR12" s="1">
        <v>17</v>
      </c>
      <c r="IS12" s="2">
        <f t="shared" si="66"/>
        <v>6404227.7318118177</v>
      </c>
      <c r="IT12" s="2">
        <f t="shared" si="67"/>
        <v>38411921.546087533</v>
      </c>
      <c r="IU12" s="2">
        <f t="shared" si="68"/>
        <v>0</v>
      </c>
      <c r="IV12" s="2">
        <f t="shared" si="69"/>
        <v>0</v>
      </c>
      <c r="IW12" s="2">
        <f t="shared" si="70"/>
        <v>0</v>
      </c>
      <c r="IX12" s="2">
        <f t="shared" si="71"/>
        <v>0</v>
      </c>
      <c r="IY12" s="2">
        <f t="shared" si="72"/>
        <v>0</v>
      </c>
      <c r="IZ12" s="2">
        <f t="shared" si="73"/>
        <v>0</v>
      </c>
      <c r="JA12" s="2">
        <f t="shared" si="74"/>
        <v>0</v>
      </c>
      <c r="JB12" s="2">
        <f t="shared" si="75"/>
        <v>0</v>
      </c>
      <c r="JC12" s="2">
        <f t="shared" si="76"/>
        <v>0</v>
      </c>
      <c r="JD12" s="2">
        <f t="shared" si="77"/>
        <v>0</v>
      </c>
    </row>
    <row r="13" spans="1:265">
      <c r="A13" s="1">
        <v>13</v>
      </c>
      <c r="D13" s="1">
        <v>13</v>
      </c>
      <c r="E13" s="1119">
        <v>0</v>
      </c>
      <c r="F13" s="1119">
        <v>0</v>
      </c>
      <c r="G13" s="1119">
        <v>0</v>
      </c>
      <c r="H13" s="1119">
        <v>0</v>
      </c>
      <c r="I13" s="1119">
        <v>0</v>
      </c>
      <c r="J13" s="1119">
        <v>0</v>
      </c>
      <c r="K13" s="1119">
        <v>0</v>
      </c>
      <c r="L13" s="1119">
        <v>0</v>
      </c>
      <c r="M13" s="1119">
        <v>0</v>
      </c>
      <c r="N13" s="1119">
        <v>0</v>
      </c>
      <c r="O13" s="1119">
        <v>0</v>
      </c>
      <c r="Q13" s="1">
        <v>13</v>
      </c>
      <c r="R13" s="2">
        <f t="shared" si="78"/>
        <v>0</v>
      </c>
      <c r="S13" s="2">
        <f t="shared" si="35"/>
        <v>0</v>
      </c>
      <c r="T13" s="2">
        <f t="shared" si="35"/>
        <v>0</v>
      </c>
      <c r="U13" s="2">
        <f t="shared" si="35"/>
        <v>0</v>
      </c>
      <c r="V13" s="2">
        <f t="shared" si="35"/>
        <v>0</v>
      </c>
      <c r="W13" s="2">
        <f t="shared" si="35"/>
        <v>0</v>
      </c>
      <c r="X13" s="2">
        <f t="shared" si="35"/>
        <v>0</v>
      </c>
      <c r="Y13" s="2">
        <f t="shared" si="35"/>
        <v>0</v>
      </c>
      <c r="Z13" s="2">
        <f t="shared" si="35"/>
        <v>0</v>
      </c>
      <c r="AA13" s="2">
        <f t="shared" si="35"/>
        <v>0</v>
      </c>
      <c r="AB13" s="2">
        <f t="shared" si="35"/>
        <v>0</v>
      </c>
      <c r="AN13" s="1">
        <v>13</v>
      </c>
      <c r="BG13" s="1">
        <v>13</v>
      </c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CI13" s="1">
        <v>43308156.735302113</v>
      </c>
      <c r="CJ13" s="1">
        <v>19</v>
      </c>
      <c r="CK13" s="2"/>
      <c r="CL13" s="2">
        <v>86.84210526315789</v>
      </c>
      <c r="CM13" s="2">
        <v>13.157894736842104</v>
      </c>
      <c r="CN13" s="2"/>
      <c r="CZ13" s="1">
        <v>100</v>
      </c>
      <c r="DC13" s="1">
        <v>19</v>
      </c>
      <c r="DD13" s="2">
        <f t="shared" si="2"/>
        <v>0</v>
      </c>
      <c r="DE13" s="2">
        <f t="shared" si="3"/>
        <v>37609715.059604466</v>
      </c>
      <c r="DF13" s="2">
        <f t="shared" si="4"/>
        <v>5698441.6756976461</v>
      </c>
      <c r="DG13" s="2">
        <f t="shared" si="5"/>
        <v>0</v>
      </c>
      <c r="DH13" s="2">
        <f t="shared" si="6"/>
        <v>0</v>
      </c>
      <c r="DI13" s="2">
        <f t="shared" si="7"/>
        <v>0</v>
      </c>
      <c r="DJ13" s="2">
        <f t="shared" si="8"/>
        <v>0</v>
      </c>
      <c r="DK13" s="2">
        <f t="shared" si="9"/>
        <v>0</v>
      </c>
      <c r="DL13" s="2">
        <f t="shared" si="10"/>
        <v>0</v>
      </c>
      <c r="DM13" s="2">
        <f t="shared" si="11"/>
        <v>0</v>
      </c>
      <c r="DN13" s="2">
        <f t="shared" si="12"/>
        <v>0</v>
      </c>
      <c r="DO13" s="2">
        <f t="shared" si="13"/>
        <v>0</v>
      </c>
      <c r="DP13" s="2">
        <f t="shared" si="14"/>
        <v>0</v>
      </c>
      <c r="DQ13" s="2">
        <f t="shared" si="15"/>
        <v>0</v>
      </c>
      <c r="DR13" s="2">
        <f t="shared" si="16"/>
        <v>0</v>
      </c>
      <c r="DT13" s="1">
        <v>17</v>
      </c>
      <c r="DU13" s="1">
        <v>146220137.69319314</v>
      </c>
      <c r="DV13" s="1262">
        <v>15.384615384615385</v>
      </c>
      <c r="DW13" s="1261">
        <v>84.615384615384613</v>
      </c>
      <c r="DX13" s="1261"/>
      <c r="DY13" s="1261"/>
      <c r="DZ13" s="1261"/>
      <c r="EA13" s="1261"/>
      <c r="EB13" s="1261"/>
      <c r="EC13" s="1261"/>
      <c r="ED13" s="1261"/>
      <c r="EE13" s="1261"/>
      <c r="EF13" s="1261"/>
      <c r="EG13" s="1261"/>
      <c r="EH13" s="1261"/>
      <c r="EI13" s="1134"/>
      <c r="EJ13" s="1134"/>
      <c r="EM13" s="1">
        <v>17</v>
      </c>
      <c r="EN13" s="2">
        <f t="shared" si="17"/>
        <v>22495405.798952788</v>
      </c>
      <c r="EO13" s="2">
        <f t="shared" si="18"/>
        <v>123724731.89424033</v>
      </c>
      <c r="EP13" s="2">
        <f t="shared" si="19"/>
        <v>0</v>
      </c>
      <c r="EQ13" s="2">
        <f t="shared" si="20"/>
        <v>0</v>
      </c>
      <c r="ER13" s="2">
        <f t="shared" si="21"/>
        <v>0</v>
      </c>
      <c r="ES13" s="2">
        <f t="shared" si="22"/>
        <v>0</v>
      </c>
      <c r="ET13" s="2">
        <f t="shared" si="23"/>
        <v>0</v>
      </c>
      <c r="EU13" s="2">
        <f t="shared" si="24"/>
        <v>0</v>
      </c>
      <c r="EV13" s="2">
        <f t="shared" si="25"/>
        <v>0</v>
      </c>
      <c r="EW13" s="2">
        <f t="shared" si="26"/>
        <v>0</v>
      </c>
      <c r="EX13" s="2">
        <f t="shared" si="27"/>
        <v>0</v>
      </c>
      <c r="EY13" s="2">
        <f t="shared" si="28"/>
        <v>0</v>
      </c>
      <c r="EZ13" s="2">
        <f t="shared" si="29"/>
        <v>0</v>
      </c>
      <c r="FA13" s="2">
        <f t="shared" si="30"/>
        <v>0</v>
      </c>
      <c r="FB13" s="2">
        <f t="shared" si="31"/>
        <v>0</v>
      </c>
      <c r="FE13" s="1260">
        <v>16</v>
      </c>
      <c r="FF13" s="1252">
        <v>27.777777777777779</v>
      </c>
      <c r="FG13" s="1252">
        <v>72.222222222222229</v>
      </c>
      <c r="FH13" s="1261"/>
      <c r="FI13" s="1261"/>
      <c r="FJ13" s="1261"/>
      <c r="FK13" s="1262"/>
      <c r="FL13" s="1262"/>
      <c r="FM13" s="1262"/>
      <c r="FN13" s="1262"/>
      <c r="FO13" s="1262"/>
      <c r="FP13" s="1262"/>
      <c r="FQ13" s="1263"/>
      <c r="FR13" s="1134"/>
      <c r="FS13" s="1134"/>
      <c r="FT13" s="1257"/>
      <c r="FU13" s="1258">
        <v>100</v>
      </c>
      <c r="FV13" s="1452"/>
      <c r="FX13" s="2">
        <v>43784187.787118182</v>
      </c>
      <c r="FY13" s="1260">
        <v>16</v>
      </c>
      <c r="FZ13" s="2">
        <f t="shared" si="36"/>
        <v>12162274.385310607</v>
      </c>
      <c r="GA13" s="2">
        <f t="shared" si="37"/>
        <v>31621913.40180758</v>
      </c>
      <c r="GB13" s="2">
        <f t="shared" si="38"/>
        <v>0</v>
      </c>
      <c r="GC13" s="2">
        <f t="shared" si="39"/>
        <v>0</v>
      </c>
      <c r="GD13" s="2">
        <f t="shared" si="40"/>
        <v>0</v>
      </c>
      <c r="GE13" s="2">
        <f t="shared" si="41"/>
        <v>0</v>
      </c>
      <c r="GF13" s="2">
        <f t="shared" si="42"/>
        <v>0</v>
      </c>
      <c r="GG13" s="2">
        <f t="shared" si="43"/>
        <v>0</v>
      </c>
      <c r="GH13" s="2">
        <f t="shared" si="44"/>
        <v>0</v>
      </c>
      <c r="GI13" s="2">
        <f t="shared" si="45"/>
        <v>0</v>
      </c>
      <c r="GJ13" s="2">
        <f t="shared" si="46"/>
        <v>0</v>
      </c>
      <c r="GK13" s="2">
        <f t="shared" si="47"/>
        <v>0</v>
      </c>
      <c r="GL13" s="2">
        <f t="shared" si="48"/>
        <v>0</v>
      </c>
      <c r="GM13" s="2">
        <f t="shared" si="49"/>
        <v>0</v>
      </c>
      <c r="GN13" s="2">
        <f t="shared" si="50"/>
        <v>0</v>
      </c>
      <c r="GQ13" s="1260">
        <v>18</v>
      </c>
      <c r="GR13" s="1456"/>
      <c r="GS13" s="1456">
        <v>33.33</v>
      </c>
      <c r="GT13" s="1456">
        <v>66.67</v>
      </c>
      <c r="GU13" s="1456"/>
      <c r="GV13" s="1456"/>
      <c r="GW13" s="1456"/>
      <c r="GX13" s="1456"/>
      <c r="GY13" s="1456"/>
      <c r="GZ13" s="1456"/>
      <c r="HA13" s="1456"/>
      <c r="HB13" s="1456"/>
      <c r="HC13" s="1456"/>
      <c r="HD13" s="1456"/>
      <c r="HE13" s="1456"/>
      <c r="HF13" s="1134"/>
      <c r="HG13" s="1266">
        <f t="shared" si="79"/>
        <v>100</v>
      </c>
      <c r="HI13" s="2">
        <v>80704007.983936116</v>
      </c>
      <c r="HJ13" s="1820">
        <v>16</v>
      </c>
      <c r="HK13" s="2">
        <f t="shared" si="51"/>
        <v>0</v>
      </c>
      <c r="HL13" s="2">
        <f t="shared" si="52"/>
        <v>26898645.861045904</v>
      </c>
      <c r="HM13" s="2">
        <f t="shared" si="53"/>
        <v>53805362.122890204</v>
      </c>
      <c r="HN13" s="2">
        <f t="shared" si="54"/>
        <v>0</v>
      </c>
      <c r="HO13" s="2">
        <f t="shared" si="55"/>
        <v>0</v>
      </c>
      <c r="HP13" s="2">
        <f t="shared" si="56"/>
        <v>0</v>
      </c>
      <c r="HQ13" s="2">
        <f t="shared" si="57"/>
        <v>0</v>
      </c>
      <c r="HR13" s="2">
        <f t="shared" si="58"/>
        <v>0</v>
      </c>
      <c r="HS13" s="2">
        <f t="shared" si="59"/>
        <v>0</v>
      </c>
      <c r="HT13" s="2">
        <f t="shared" si="60"/>
        <v>0</v>
      </c>
      <c r="HU13" s="2">
        <f t="shared" si="61"/>
        <v>0</v>
      </c>
      <c r="HV13" s="2">
        <f t="shared" si="62"/>
        <v>0</v>
      </c>
      <c r="HW13" s="2">
        <f t="shared" si="63"/>
        <v>0</v>
      </c>
      <c r="HX13" s="2">
        <f t="shared" si="64"/>
        <v>0</v>
      </c>
      <c r="HY13" s="2">
        <f t="shared" si="65"/>
        <v>0</v>
      </c>
      <c r="IB13" s="1">
        <v>18</v>
      </c>
      <c r="IC13" s="1">
        <v>10.53</v>
      </c>
      <c r="ID13" s="1">
        <v>89.47</v>
      </c>
      <c r="IO13" s="1">
        <v>100</v>
      </c>
      <c r="IQ13" s="2">
        <v>61462607.418510407</v>
      </c>
      <c r="IR13" s="1">
        <v>18</v>
      </c>
      <c r="IS13" s="2">
        <f t="shared" si="66"/>
        <v>6472012.5611691447</v>
      </c>
      <c r="IT13" s="2">
        <f t="shared" si="67"/>
        <v>54990594.85734126</v>
      </c>
      <c r="IU13" s="2">
        <f t="shared" si="68"/>
        <v>0</v>
      </c>
      <c r="IV13" s="2">
        <f t="shared" si="69"/>
        <v>0</v>
      </c>
      <c r="IW13" s="2">
        <f t="shared" si="70"/>
        <v>0</v>
      </c>
      <c r="IX13" s="2">
        <f t="shared" si="71"/>
        <v>0</v>
      </c>
      <c r="IY13" s="2">
        <f t="shared" si="72"/>
        <v>0</v>
      </c>
      <c r="IZ13" s="2">
        <f t="shared" si="73"/>
        <v>0</v>
      </c>
      <c r="JA13" s="2">
        <f t="shared" si="74"/>
        <v>0</v>
      </c>
      <c r="JB13" s="2">
        <f t="shared" si="75"/>
        <v>0</v>
      </c>
      <c r="JC13" s="2">
        <f t="shared" si="76"/>
        <v>0</v>
      </c>
      <c r="JD13" s="2">
        <f t="shared" si="77"/>
        <v>0</v>
      </c>
    </row>
    <row r="14" spans="1:265">
      <c r="A14" s="1">
        <v>14</v>
      </c>
      <c r="D14" s="1">
        <v>14</v>
      </c>
      <c r="E14" s="1119">
        <v>0</v>
      </c>
      <c r="F14" s="1119">
        <v>0</v>
      </c>
      <c r="G14" s="1119">
        <v>0</v>
      </c>
      <c r="H14" s="1119">
        <v>0</v>
      </c>
      <c r="I14" s="1119">
        <v>0</v>
      </c>
      <c r="J14" s="1119">
        <v>0</v>
      </c>
      <c r="K14" s="1119">
        <v>0</v>
      </c>
      <c r="L14" s="1119">
        <v>0</v>
      </c>
      <c r="M14" s="1119">
        <v>0</v>
      </c>
      <c r="N14" s="1119">
        <v>0</v>
      </c>
      <c r="O14" s="1119">
        <v>0</v>
      </c>
      <c r="Q14" s="1">
        <v>14</v>
      </c>
      <c r="R14" s="2">
        <f t="shared" si="78"/>
        <v>0</v>
      </c>
      <c r="S14" s="2">
        <v>0</v>
      </c>
      <c r="T14" s="2">
        <f t="shared" si="35"/>
        <v>0</v>
      </c>
      <c r="U14" s="2">
        <f t="shared" si="35"/>
        <v>0</v>
      </c>
      <c r="V14" s="2">
        <f t="shared" si="35"/>
        <v>0</v>
      </c>
      <c r="W14" s="2">
        <f t="shared" si="35"/>
        <v>0</v>
      </c>
      <c r="X14" s="2">
        <f t="shared" si="35"/>
        <v>0</v>
      </c>
      <c r="Y14" s="2">
        <f t="shared" si="35"/>
        <v>0</v>
      </c>
      <c r="Z14" s="2">
        <f t="shared" si="35"/>
        <v>0</v>
      </c>
      <c r="AA14" s="2">
        <f t="shared" si="35"/>
        <v>0</v>
      </c>
      <c r="AB14" s="2">
        <f t="shared" si="35"/>
        <v>0</v>
      </c>
      <c r="AN14" s="1">
        <v>14</v>
      </c>
      <c r="BG14" s="1">
        <v>14</v>
      </c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CI14" s="1">
        <v>32922926.079890639</v>
      </c>
      <c r="CJ14" s="1">
        <v>20</v>
      </c>
      <c r="CK14" s="2"/>
      <c r="CL14" s="2">
        <v>70</v>
      </c>
      <c r="CM14" s="2">
        <v>30</v>
      </c>
      <c r="CN14" s="2"/>
      <c r="CZ14" s="1">
        <v>100</v>
      </c>
      <c r="DC14" s="1">
        <v>20</v>
      </c>
      <c r="DD14" s="2">
        <f t="shared" si="2"/>
        <v>0</v>
      </c>
      <c r="DE14" s="2">
        <f t="shared" si="3"/>
        <v>23046048.255923446</v>
      </c>
      <c r="DF14" s="2">
        <f t="shared" si="4"/>
        <v>9876877.8239671923</v>
      </c>
      <c r="DG14" s="2">
        <f t="shared" si="5"/>
        <v>0</v>
      </c>
      <c r="DH14" s="2">
        <f t="shared" si="6"/>
        <v>0</v>
      </c>
      <c r="DI14" s="2">
        <f t="shared" si="7"/>
        <v>0</v>
      </c>
      <c r="DJ14" s="2">
        <f t="shared" si="8"/>
        <v>0</v>
      </c>
      <c r="DK14" s="2">
        <f t="shared" si="9"/>
        <v>0</v>
      </c>
      <c r="DL14" s="2">
        <f t="shared" si="10"/>
        <v>0</v>
      </c>
      <c r="DM14" s="2">
        <f t="shared" si="11"/>
        <v>0</v>
      </c>
      <c r="DN14" s="2">
        <f t="shared" si="12"/>
        <v>0</v>
      </c>
      <c r="DO14" s="2">
        <f t="shared" si="13"/>
        <v>0</v>
      </c>
      <c r="DP14" s="2">
        <f t="shared" si="14"/>
        <v>0</v>
      </c>
      <c r="DQ14" s="2">
        <f t="shared" si="15"/>
        <v>0</v>
      </c>
      <c r="DR14" s="2">
        <f t="shared" si="16"/>
        <v>0</v>
      </c>
      <c r="DT14" s="1">
        <v>18</v>
      </c>
      <c r="DU14" s="1">
        <v>201063265.03361276</v>
      </c>
      <c r="DV14" s="1262"/>
      <c r="DW14" s="1261">
        <v>100</v>
      </c>
      <c r="DX14" s="1261"/>
      <c r="DY14" s="1261"/>
      <c r="DZ14" s="1261"/>
      <c r="EA14" s="1261"/>
      <c r="EB14" s="1261"/>
      <c r="EC14" s="1261"/>
      <c r="ED14" s="1261"/>
      <c r="EE14" s="1261"/>
      <c r="EF14" s="1261"/>
      <c r="EG14" s="1261"/>
      <c r="EH14" s="1261"/>
      <c r="EI14" s="1134"/>
      <c r="EJ14" s="1134"/>
      <c r="EM14" s="1">
        <v>18</v>
      </c>
      <c r="EN14" s="2">
        <f t="shared" si="17"/>
        <v>0</v>
      </c>
      <c r="EO14" s="2">
        <f t="shared" si="18"/>
        <v>201063265.03361276</v>
      </c>
      <c r="EP14" s="2">
        <f t="shared" si="19"/>
        <v>0</v>
      </c>
      <c r="EQ14" s="2">
        <f t="shared" si="20"/>
        <v>0</v>
      </c>
      <c r="ER14" s="2">
        <f t="shared" si="21"/>
        <v>0</v>
      </c>
      <c r="ES14" s="2">
        <f t="shared" si="22"/>
        <v>0</v>
      </c>
      <c r="ET14" s="2">
        <f t="shared" si="23"/>
        <v>0</v>
      </c>
      <c r="EU14" s="2">
        <f t="shared" si="24"/>
        <v>0</v>
      </c>
      <c r="EV14" s="2">
        <f t="shared" si="25"/>
        <v>0</v>
      </c>
      <c r="EW14" s="2">
        <f t="shared" si="26"/>
        <v>0</v>
      </c>
      <c r="EX14" s="2">
        <f t="shared" si="27"/>
        <v>0</v>
      </c>
      <c r="EY14" s="2">
        <f t="shared" si="28"/>
        <v>0</v>
      </c>
      <c r="EZ14" s="2">
        <f t="shared" si="29"/>
        <v>0</v>
      </c>
      <c r="FA14" s="2">
        <f t="shared" si="30"/>
        <v>0</v>
      </c>
      <c r="FB14" s="2">
        <f t="shared" si="31"/>
        <v>0</v>
      </c>
      <c r="FE14" s="1260">
        <v>17</v>
      </c>
      <c r="FF14" s="1252">
        <v>0</v>
      </c>
      <c r="FG14" s="1252">
        <v>100</v>
      </c>
      <c r="FH14" s="1261"/>
      <c r="FI14" s="1261"/>
      <c r="FJ14" s="1261"/>
      <c r="FK14" s="1262"/>
      <c r="FL14" s="1262"/>
      <c r="FM14" s="1262"/>
      <c r="FN14" s="1262"/>
      <c r="FO14" s="1262"/>
      <c r="FP14" s="1262"/>
      <c r="FQ14" s="1263"/>
      <c r="FR14" s="1134"/>
      <c r="FS14" s="1254"/>
      <c r="FT14"/>
      <c r="FU14" s="1255">
        <v>100</v>
      </c>
      <c r="FV14" s="1452"/>
      <c r="FX14" s="2">
        <v>50662343.650523923</v>
      </c>
      <c r="FY14" s="1260">
        <v>17</v>
      </c>
      <c r="FZ14" s="2">
        <f t="shared" si="36"/>
        <v>0</v>
      </c>
      <c r="GA14" s="2">
        <f t="shared" si="37"/>
        <v>50662343.650523923</v>
      </c>
      <c r="GB14" s="2">
        <f t="shared" si="38"/>
        <v>0</v>
      </c>
      <c r="GC14" s="2">
        <f t="shared" si="39"/>
        <v>0</v>
      </c>
      <c r="GD14" s="2">
        <f t="shared" si="40"/>
        <v>0</v>
      </c>
      <c r="GE14" s="2">
        <f t="shared" si="41"/>
        <v>0</v>
      </c>
      <c r="GF14" s="2">
        <f t="shared" si="42"/>
        <v>0</v>
      </c>
      <c r="GG14" s="2">
        <f t="shared" si="43"/>
        <v>0</v>
      </c>
      <c r="GH14" s="2">
        <f t="shared" si="44"/>
        <v>0</v>
      </c>
      <c r="GI14" s="2">
        <f t="shared" si="45"/>
        <v>0</v>
      </c>
      <c r="GJ14" s="2">
        <f t="shared" si="46"/>
        <v>0</v>
      </c>
      <c r="GK14" s="2">
        <f t="shared" si="47"/>
        <v>0</v>
      </c>
      <c r="GL14" s="2">
        <f t="shared" si="48"/>
        <v>0</v>
      </c>
      <c r="GM14" s="2">
        <f t="shared" si="49"/>
        <v>0</v>
      </c>
      <c r="GN14" s="2">
        <f t="shared" si="50"/>
        <v>0</v>
      </c>
      <c r="GQ14" s="1260">
        <v>19</v>
      </c>
      <c r="GR14" s="1456"/>
      <c r="GS14" s="1456">
        <v>22.22</v>
      </c>
      <c r="GT14" s="1456">
        <v>77.78</v>
      </c>
      <c r="GU14" s="1456"/>
      <c r="GV14" s="1456"/>
      <c r="GW14" s="1456"/>
      <c r="GX14" s="1456"/>
      <c r="GY14" s="1456"/>
      <c r="GZ14" s="1456"/>
      <c r="HA14" s="1456"/>
      <c r="HB14" s="1456"/>
      <c r="HC14" s="1456"/>
      <c r="HD14" s="1456"/>
      <c r="HE14" s="1456"/>
      <c r="HF14" s="1134"/>
      <c r="HG14" s="1266">
        <f t="shared" si="79"/>
        <v>100</v>
      </c>
      <c r="HI14" s="2">
        <v>101557096.58966911</v>
      </c>
      <c r="HJ14" s="1823">
        <v>17</v>
      </c>
      <c r="HK14" s="2">
        <f t="shared" si="51"/>
        <v>0</v>
      </c>
      <c r="HL14" s="2">
        <f t="shared" si="52"/>
        <v>22565986.862224475</v>
      </c>
      <c r="HM14" s="2">
        <f t="shared" si="53"/>
        <v>78991109.727444634</v>
      </c>
      <c r="HN14" s="2">
        <f t="shared" si="54"/>
        <v>0</v>
      </c>
      <c r="HO14" s="2">
        <f t="shared" si="55"/>
        <v>0</v>
      </c>
      <c r="HP14" s="2">
        <f t="shared" si="56"/>
        <v>0</v>
      </c>
      <c r="HQ14" s="2">
        <f t="shared" si="57"/>
        <v>0</v>
      </c>
      <c r="HR14" s="2">
        <f t="shared" si="58"/>
        <v>0</v>
      </c>
      <c r="HS14" s="2">
        <f t="shared" si="59"/>
        <v>0</v>
      </c>
      <c r="HT14" s="2">
        <f t="shared" si="60"/>
        <v>0</v>
      </c>
      <c r="HU14" s="2">
        <f t="shared" si="61"/>
        <v>0</v>
      </c>
      <c r="HV14" s="2">
        <f t="shared" si="62"/>
        <v>0</v>
      </c>
      <c r="HW14" s="2">
        <f t="shared" si="63"/>
        <v>0</v>
      </c>
      <c r="HX14" s="2">
        <f t="shared" si="64"/>
        <v>0</v>
      </c>
      <c r="HY14" s="2">
        <f t="shared" si="65"/>
        <v>0</v>
      </c>
      <c r="IB14" s="1">
        <v>19</v>
      </c>
      <c r="IC14" s="1">
        <v>8.33</v>
      </c>
      <c r="ID14" s="1">
        <v>79.17</v>
      </c>
      <c r="IE14" s="1">
        <v>12.5</v>
      </c>
      <c r="IO14" s="1">
        <v>100</v>
      </c>
      <c r="IQ14" s="2">
        <v>59915911.780597717</v>
      </c>
      <c r="IR14" s="1">
        <v>19</v>
      </c>
      <c r="IS14" s="2">
        <f t="shared" si="66"/>
        <v>4990995.4513237895</v>
      </c>
      <c r="IT14" s="2">
        <f t="shared" si="67"/>
        <v>47435427.356699206</v>
      </c>
      <c r="IU14" s="2">
        <f t="shared" si="68"/>
        <v>7489488.9725747146</v>
      </c>
      <c r="IV14" s="2">
        <f t="shared" si="69"/>
        <v>0</v>
      </c>
      <c r="IW14" s="2">
        <f t="shared" si="70"/>
        <v>0</v>
      </c>
      <c r="IX14" s="2">
        <f t="shared" si="71"/>
        <v>0</v>
      </c>
      <c r="IY14" s="2">
        <f t="shared" si="72"/>
        <v>0</v>
      </c>
      <c r="IZ14" s="2">
        <f t="shared" si="73"/>
        <v>0</v>
      </c>
      <c r="JA14" s="2">
        <f t="shared" si="74"/>
        <v>0</v>
      </c>
      <c r="JB14" s="2">
        <f t="shared" si="75"/>
        <v>0</v>
      </c>
      <c r="JC14" s="2">
        <f t="shared" si="76"/>
        <v>0</v>
      </c>
      <c r="JD14" s="2">
        <f t="shared" si="77"/>
        <v>0</v>
      </c>
    </row>
    <row r="15" spans="1:265">
      <c r="A15" s="1">
        <v>15</v>
      </c>
      <c r="B15" s="2"/>
      <c r="D15" s="1">
        <v>15</v>
      </c>
      <c r="E15" s="1119">
        <v>0</v>
      </c>
      <c r="F15" s="1119">
        <v>0</v>
      </c>
      <c r="G15" s="1119">
        <v>0</v>
      </c>
      <c r="H15" s="1119">
        <v>0</v>
      </c>
      <c r="I15" s="1119">
        <v>0</v>
      </c>
      <c r="J15" s="1119">
        <v>0</v>
      </c>
      <c r="K15" s="1119">
        <v>0</v>
      </c>
      <c r="L15" s="1119">
        <v>0</v>
      </c>
      <c r="M15" s="1119">
        <v>0</v>
      </c>
      <c r="N15" s="1119">
        <v>0</v>
      </c>
      <c r="O15" s="1119">
        <v>0</v>
      </c>
      <c r="Q15" s="1">
        <v>15</v>
      </c>
      <c r="R15" s="2">
        <f t="shared" si="78"/>
        <v>0</v>
      </c>
      <c r="S15" s="2">
        <f t="shared" si="35"/>
        <v>0</v>
      </c>
      <c r="T15" s="2">
        <f t="shared" si="35"/>
        <v>0</v>
      </c>
      <c r="U15" s="2">
        <f t="shared" si="35"/>
        <v>0</v>
      </c>
      <c r="V15" s="2">
        <f t="shared" si="35"/>
        <v>0</v>
      </c>
      <c r="W15" s="2">
        <f t="shared" si="35"/>
        <v>0</v>
      </c>
      <c r="X15" s="2">
        <f t="shared" si="35"/>
        <v>0</v>
      </c>
      <c r="Y15" s="2">
        <f t="shared" si="35"/>
        <v>0</v>
      </c>
      <c r="Z15" s="2">
        <f t="shared" si="35"/>
        <v>0</v>
      </c>
      <c r="AA15" s="2">
        <f t="shared" si="35"/>
        <v>0</v>
      </c>
      <c r="AB15" s="2">
        <f t="shared" si="35"/>
        <v>0</v>
      </c>
      <c r="AN15" s="1">
        <v>15</v>
      </c>
      <c r="BG15" s="1">
        <v>15</v>
      </c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CI15" s="1">
        <v>28724448.479642324</v>
      </c>
      <c r="CJ15" s="1">
        <v>21</v>
      </c>
      <c r="CK15" s="2"/>
      <c r="CL15" s="2">
        <v>25</v>
      </c>
      <c r="CM15" s="2">
        <v>75</v>
      </c>
      <c r="CN15" s="2"/>
      <c r="CZ15" s="1">
        <v>100</v>
      </c>
      <c r="DC15" s="1">
        <v>21</v>
      </c>
      <c r="DD15" s="2">
        <f t="shared" si="2"/>
        <v>0</v>
      </c>
      <c r="DE15" s="2">
        <f t="shared" si="3"/>
        <v>7181112.119910581</v>
      </c>
      <c r="DF15" s="2">
        <f t="shared" si="4"/>
        <v>21543336.359731741</v>
      </c>
      <c r="DG15" s="2">
        <f t="shared" si="5"/>
        <v>0</v>
      </c>
      <c r="DH15" s="2">
        <f t="shared" si="6"/>
        <v>0</v>
      </c>
      <c r="DI15" s="2">
        <f t="shared" si="7"/>
        <v>0</v>
      </c>
      <c r="DJ15" s="2">
        <f t="shared" si="8"/>
        <v>0</v>
      </c>
      <c r="DK15" s="2">
        <f t="shared" si="9"/>
        <v>0</v>
      </c>
      <c r="DL15" s="2">
        <f t="shared" si="10"/>
        <v>0</v>
      </c>
      <c r="DM15" s="2">
        <f t="shared" si="11"/>
        <v>0</v>
      </c>
      <c r="DN15" s="2">
        <f t="shared" si="12"/>
        <v>0</v>
      </c>
      <c r="DO15" s="2">
        <f t="shared" si="13"/>
        <v>0</v>
      </c>
      <c r="DP15" s="2">
        <f t="shared" si="14"/>
        <v>0</v>
      </c>
      <c r="DQ15" s="2">
        <f t="shared" si="15"/>
        <v>0</v>
      </c>
      <c r="DR15" s="2">
        <f t="shared" si="16"/>
        <v>0</v>
      </c>
      <c r="DT15" s="1">
        <v>19</v>
      </c>
      <c r="DU15" s="1">
        <v>177067734.86306694</v>
      </c>
      <c r="DV15" s="1262"/>
      <c r="DW15" s="1261">
        <v>89.743589743589737</v>
      </c>
      <c r="DX15" s="1261">
        <v>10.256410256410257</v>
      </c>
      <c r="DY15" s="1261"/>
      <c r="DZ15" s="1261"/>
      <c r="EA15" s="1261"/>
      <c r="EB15" s="1261"/>
      <c r="EC15" s="1261"/>
      <c r="ED15" s="1261"/>
      <c r="EE15" s="1261"/>
      <c r="EF15" s="1261"/>
      <c r="EG15" s="1261"/>
      <c r="EH15" s="1261"/>
      <c r="EI15" s="1134"/>
      <c r="EJ15" s="1134"/>
      <c r="EM15" s="1">
        <v>19</v>
      </c>
      <c r="EN15" s="2">
        <f t="shared" si="17"/>
        <v>0</v>
      </c>
      <c r="EO15" s="2">
        <f t="shared" si="18"/>
        <v>158906941.54377803</v>
      </c>
      <c r="EP15" s="2">
        <f t="shared" si="19"/>
        <v>18160793.319288921</v>
      </c>
      <c r="EQ15" s="2">
        <f t="shared" si="20"/>
        <v>0</v>
      </c>
      <c r="ER15" s="2">
        <f t="shared" si="21"/>
        <v>0</v>
      </c>
      <c r="ES15" s="2">
        <f t="shared" si="22"/>
        <v>0</v>
      </c>
      <c r="ET15" s="2">
        <f t="shared" si="23"/>
        <v>0</v>
      </c>
      <c r="EU15" s="2">
        <f t="shared" si="24"/>
        <v>0</v>
      </c>
      <c r="EV15" s="2">
        <f t="shared" si="25"/>
        <v>0</v>
      </c>
      <c r="EW15" s="2">
        <f t="shared" si="26"/>
        <v>0</v>
      </c>
      <c r="EX15" s="2">
        <f t="shared" si="27"/>
        <v>0</v>
      </c>
      <c r="EY15" s="2">
        <f t="shared" si="28"/>
        <v>0</v>
      </c>
      <c r="EZ15" s="2">
        <f t="shared" si="29"/>
        <v>0</v>
      </c>
      <c r="FA15" s="2">
        <f t="shared" si="30"/>
        <v>0</v>
      </c>
      <c r="FB15" s="2">
        <f t="shared" si="31"/>
        <v>0</v>
      </c>
      <c r="FE15" s="1260">
        <v>18</v>
      </c>
      <c r="FF15" s="1252">
        <v>0</v>
      </c>
      <c r="FG15" s="1252">
        <v>100</v>
      </c>
      <c r="FH15" s="1252">
        <v>0</v>
      </c>
      <c r="FI15" s="1261"/>
      <c r="FJ15" s="1261"/>
      <c r="FK15" s="1262"/>
      <c r="FL15" s="1262"/>
      <c r="FM15" s="1262"/>
      <c r="FN15" s="1262"/>
      <c r="FO15" s="1262"/>
      <c r="FP15" s="1262"/>
      <c r="FQ15" s="1263"/>
      <c r="FR15" s="1134"/>
      <c r="FS15" s="1134"/>
      <c r="FT15" s="1257"/>
      <c r="FU15" s="1258">
        <v>100</v>
      </c>
      <c r="FV15" s="1452"/>
      <c r="FX15" s="2">
        <v>52683403.173552722</v>
      </c>
      <c r="FY15" s="1260">
        <v>18</v>
      </c>
      <c r="FZ15" s="2">
        <f t="shared" si="36"/>
        <v>0</v>
      </c>
      <c r="GA15" s="2">
        <f t="shared" si="37"/>
        <v>52683403.173552722</v>
      </c>
      <c r="GB15" s="2">
        <f t="shared" si="38"/>
        <v>0</v>
      </c>
      <c r="GC15" s="2">
        <f t="shared" si="39"/>
        <v>0</v>
      </c>
      <c r="GD15" s="2">
        <f t="shared" si="40"/>
        <v>0</v>
      </c>
      <c r="GE15" s="2">
        <f t="shared" si="41"/>
        <v>0</v>
      </c>
      <c r="GF15" s="2">
        <f t="shared" si="42"/>
        <v>0</v>
      </c>
      <c r="GG15" s="2">
        <f t="shared" si="43"/>
        <v>0</v>
      </c>
      <c r="GH15" s="2">
        <f t="shared" si="44"/>
        <v>0</v>
      </c>
      <c r="GI15" s="2">
        <f t="shared" si="45"/>
        <v>0</v>
      </c>
      <c r="GJ15" s="2">
        <f t="shared" si="46"/>
        <v>0</v>
      </c>
      <c r="GK15" s="2">
        <f t="shared" si="47"/>
        <v>0</v>
      </c>
      <c r="GL15" s="2">
        <f t="shared" si="48"/>
        <v>0</v>
      </c>
      <c r="GM15" s="2">
        <f t="shared" si="49"/>
        <v>0</v>
      </c>
      <c r="GN15" s="2">
        <f t="shared" si="50"/>
        <v>0</v>
      </c>
      <c r="GQ15" s="1260">
        <v>20</v>
      </c>
      <c r="GR15" s="1456"/>
      <c r="GS15" s="1456">
        <v>10.81</v>
      </c>
      <c r="GT15" s="1456">
        <v>89.19</v>
      </c>
      <c r="GU15" s="1456"/>
      <c r="GV15" s="1456"/>
      <c r="GW15" s="1456"/>
      <c r="GX15" s="1456"/>
      <c r="GY15" s="1456"/>
      <c r="GZ15" s="1456"/>
      <c r="HA15" s="1456"/>
      <c r="HB15" s="1456"/>
      <c r="HC15" s="1456"/>
      <c r="HD15" s="1456"/>
      <c r="HE15" s="1456"/>
      <c r="HF15" s="1134"/>
      <c r="HG15" s="1266">
        <f t="shared" si="79"/>
        <v>100</v>
      </c>
      <c r="HI15" s="2">
        <v>146445285.07896021</v>
      </c>
      <c r="HJ15" s="1823">
        <v>18</v>
      </c>
      <c r="HK15" s="2">
        <f t="shared" si="51"/>
        <v>0</v>
      </c>
      <c r="HL15" s="2">
        <f t="shared" si="52"/>
        <v>15830735.317035599</v>
      </c>
      <c r="HM15" s="2">
        <f t="shared" si="53"/>
        <v>130614549.76192461</v>
      </c>
      <c r="HN15" s="2">
        <f t="shared" si="54"/>
        <v>0</v>
      </c>
      <c r="HO15" s="2">
        <f t="shared" si="55"/>
        <v>0</v>
      </c>
      <c r="HP15" s="2">
        <f t="shared" si="56"/>
        <v>0</v>
      </c>
      <c r="HQ15" s="2">
        <f t="shared" si="57"/>
        <v>0</v>
      </c>
      <c r="HR15" s="2">
        <f t="shared" si="58"/>
        <v>0</v>
      </c>
      <c r="HS15" s="2">
        <f t="shared" si="59"/>
        <v>0</v>
      </c>
      <c r="HT15" s="2">
        <f t="shared" si="60"/>
        <v>0</v>
      </c>
      <c r="HU15" s="2">
        <f t="shared" si="61"/>
        <v>0</v>
      </c>
      <c r="HV15" s="2">
        <f t="shared" si="62"/>
        <v>0</v>
      </c>
      <c r="HW15" s="2">
        <f t="shared" si="63"/>
        <v>0</v>
      </c>
      <c r="HX15" s="2">
        <f t="shared" si="64"/>
        <v>0</v>
      </c>
      <c r="HY15" s="2">
        <f t="shared" si="65"/>
        <v>0</v>
      </c>
      <c r="IB15" s="1">
        <v>20</v>
      </c>
      <c r="ID15" s="1">
        <v>82.35</v>
      </c>
      <c r="IE15" s="1">
        <v>17.649999999999999</v>
      </c>
      <c r="IO15" s="1">
        <v>100</v>
      </c>
      <c r="IQ15" s="2">
        <v>76164992.104035854</v>
      </c>
      <c r="IR15" s="1">
        <v>20</v>
      </c>
      <c r="IS15" s="2">
        <f t="shared" si="66"/>
        <v>0</v>
      </c>
      <c r="IT15" s="2">
        <f t="shared" si="67"/>
        <v>62721870.997673519</v>
      </c>
      <c r="IU15" s="2">
        <f t="shared" si="68"/>
        <v>13443121.106362326</v>
      </c>
      <c r="IV15" s="2">
        <f t="shared" si="69"/>
        <v>0</v>
      </c>
      <c r="IW15" s="2">
        <f t="shared" si="70"/>
        <v>0</v>
      </c>
      <c r="IX15" s="2">
        <f t="shared" si="71"/>
        <v>0</v>
      </c>
      <c r="IY15" s="2">
        <f t="shared" si="72"/>
        <v>0</v>
      </c>
      <c r="IZ15" s="2">
        <f t="shared" si="73"/>
        <v>0</v>
      </c>
      <c r="JA15" s="2">
        <f t="shared" si="74"/>
        <v>0</v>
      </c>
      <c r="JB15" s="2">
        <f t="shared" si="75"/>
        <v>0</v>
      </c>
      <c r="JC15" s="2">
        <f t="shared" si="76"/>
        <v>0</v>
      </c>
      <c r="JD15" s="2">
        <f t="shared" si="77"/>
        <v>0</v>
      </c>
    </row>
    <row r="16" spans="1:265">
      <c r="A16" s="1">
        <v>16</v>
      </c>
      <c r="B16" s="2"/>
      <c r="D16" s="1">
        <v>16</v>
      </c>
      <c r="E16" s="1119">
        <v>0</v>
      </c>
      <c r="F16" s="1119">
        <v>0</v>
      </c>
      <c r="G16" s="1119">
        <v>0</v>
      </c>
      <c r="H16" s="1119">
        <v>0</v>
      </c>
      <c r="I16" s="1119">
        <v>0</v>
      </c>
      <c r="J16" s="1119">
        <v>0</v>
      </c>
      <c r="K16" s="1119">
        <v>0</v>
      </c>
      <c r="L16" s="1119">
        <v>0</v>
      </c>
      <c r="M16" s="1119">
        <v>0</v>
      </c>
      <c r="N16" s="1119">
        <v>0</v>
      </c>
      <c r="O16" s="1119">
        <v>0</v>
      </c>
      <c r="Q16" s="1">
        <v>16</v>
      </c>
      <c r="R16" s="2">
        <f t="shared" si="78"/>
        <v>0</v>
      </c>
      <c r="S16" s="2">
        <f t="shared" si="35"/>
        <v>0</v>
      </c>
      <c r="T16" s="2">
        <f t="shared" si="35"/>
        <v>0</v>
      </c>
      <c r="U16" s="2">
        <f t="shared" si="35"/>
        <v>0</v>
      </c>
      <c r="V16" s="2">
        <f t="shared" si="35"/>
        <v>0</v>
      </c>
      <c r="W16" s="2">
        <f t="shared" si="35"/>
        <v>0</v>
      </c>
      <c r="X16" s="2">
        <f t="shared" si="35"/>
        <v>0</v>
      </c>
      <c r="Y16" s="2">
        <f t="shared" si="35"/>
        <v>0</v>
      </c>
      <c r="Z16" s="2">
        <f t="shared" si="35"/>
        <v>0</v>
      </c>
      <c r="AA16" s="2">
        <f t="shared" si="35"/>
        <v>0</v>
      </c>
      <c r="AB16" s="2">
        <f t="shared" si="35"/>
        <v>0</v>
      </c>
      <c r="AN16" s="1">
        <v>16</v>
      </c>
      <c r="BG16" s="1">
        <v>16</v>
      </c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CI16" s="1">
        <v>27482382.550138667</v>
      </c>
      <c r="CJ16" s="1">
        <v>22</v>
      </c>
      <c r="CK16" s="2"/>
      <c r="CL16" s="2">
        <v>8.3333333333333339</v>
      </c>
      <c r="CM16" s="2">
        <v>75</v>
      </c>
      <c r="CN16" s="2">
        <v>16.666666666666668</v>
      </c>
      <c r="CZ16" s="1">
        <v>100</v>
      </c>
      <c r="DC16" s="1">
        <v>22</v>
      </c>
      <c r="DD16" s="2">
        <f t="shared" si="2"/>
        <v>0</v>
      </c>
      <c r="DE16" s="2">
        <f t="shared" si="3"/>
        <v>2290198.5458448888</v>
      </c>
      <c r="DF16" s="2">
        <f t="shared" si="4"/>
        <v>20611786.912604</v>
      </c>
      <c r="DG16" s="2">
        <f t="shared" si="5"/>
        <v>4580397.0916897776</v>
      </c>
      <c r="DH16" s="2">
        <f t="shared" si="6"/>
        <v>0</v>
      </c>
      <c r="DI16" s="2">
        <f t="shared" si="7"/>
        <v>0</v>
      </c>
      <c r="DJ16" s="2">
        <f t="shared" si="8"/>
        <v>0</v>
      </c>
      <c r="DK16" s="2">
        <f t="shared" si="9"/>
        <v>0</v>
      </c>
      <c r="DL16" s="2">
        <f t="shared" si="10"/>
        <v>0</v>
      </c>
      <c r="DM16" s="2">
        <f t="shared" si="11"/>
        <v>0</v>
      </c>
      <c r="DN16" s="2">
        <f t="shared" si="12"/>
        <v>0</v>
      </c>
      <c r="DO16" s="2">
        <f t="shared" si="13"/>
        <v>0</v>
      </c>
      <c r="DP16" s="2">
        <f t="shared" si="14"/>
        <v>0</v>
      </c>
      <c r="DQ16" s="2">
        <f t="shared" si="15"/>
        <v>0</v>
      </c>
      <c r="DR16" s="2">
        <f t="shared" si="16"/>
        <v>0</v>
      </c>
      <c r="DT16" s="1">
        <v>20</v>
      </c>
      <c r="DU16" s="1">
        <v>116026268.661346</v>
      </c>
      <c r="DV16" s="1262"/>
      <c r="DW16" s="1261">
        <v>70.833333333333329</v>
      </c>
      <c r="DX16" s="1261">
        <v>29.166666666666668</v>
      </c>
      <c r="DY16" s="1261"/>
      <c r="DZ16" s="1261"/>
      <c r="EA16" s="1261"/>
      <c r="EB16" s="1261"/>
      <c r="EC16" s="1261"/>
      <c r="ED16" s="1261"/>
      <c r="EE16" s="1261"/>
      <c r="EF16" s="1261"/>
      <c r="EG16" s="1261"/>
      <c r="EH16" s="1261"/>
      <c r="EI16" s="1134"/>
      <c r="EJ16" s="1134"/>
      <c r="EM16" s="1">
        <v>20</v>
      </c>
      <c r="EN16" s="2">
        <f t="shared" si="17"/>
        <v>0</v>
      </c>
      <c r="EO16" s="2">
        <f t="shared" si="18"/>
        <v>82185273.635120079</v>
      </c>
      <c r="EP16" s="2">
        <f t="shared" si="19"/>
        <v>33840995.026225917</v>
      </c>
      <c r="EQ16" s="2">
        <f t="shared" si="20"/>
        <v>0</v>
      </c>
      <c r="ER16" s="2">
        <f t="shared" si="21"/>
        <v>0</v>
      </c>
      <c r="ES16" s="2">
        <f t="shared" si="22"/>
        <v>0</v>
      </c>
      <c r="ET16" s="2">
        <f t="shared" si="23"/>
        <v>0</v>
      </c>
      <c r="EU16" s="2">
        <f t="shared" si="24"/>
        <v>0</v>
      </c>
      <c r="EV16" s="2">
        <f t="shared" si="25"/>
        <v>0</v>
      </c>
      <c r="EW16" s="2">
        <f t="shared" si="26"/>
        <v>0</v>
      </c>
      <c r="EX16" s="2">
        <f t="shared" si="27"/>
        <v>0</v>
      </c>
      <c r="EY16" s="2">
        <f t="shared" si="28"/>
        <v>0</v>
      </c>
      <c r="EZ16" s="2">
        <f t="shared" si="29"/>
        <v>0</v>
      </c>
      <c r="FA16" s="2">
        <f t="shared" si="30"/>
        <v>0</v>
      </c>
      <c r="FB16" s="2">
        <f t="shared" si="31"/>
        <v>0</v>
      </c>
      <c r="FE16" s="1260">
        <v>19</v>
      </c>
      <c r="FF16" s="1252"/>
      <c r="FG16" s="1252">
        <v>81.818181818181813</v>
      </c>
      <c r="FH16" s="1252">
        <v>18.181818181818183</v>
      </c>
      <c r="FI16" s="1261"/>
      <c r="FJ16" s="1261"/>
      <c r="FK16" s="1262"/>
      <c r="FL16" s="1262"/>
      <c r="FM16" s="1262"/>
      <c r="FN16" s="1262"/>
      <c r="FO16" s="1262"/>
      <c r="FP16" s="1262"/>
      <c r="FQ16" s="1263"/>
      <c r="FR16" s="1134"/>
      <c r="FS16" s="1254"/>
      <c r="FT16"/>
      <c r="FU16" s="1255">
        <v>100</v>
      </c>
      <c r="FV16" s="1452"/>
      <c r="FX16" s="2">
        <v>65472649.603315115</v>
      </c>
      <c r="FY16" s="1260">
        <v>19</v>
      </c>
      <c r="FZ16" s="2">
        <f t="shared" si="36"/>
        <v>0</v>
      </c>
      <c r="GA16" s="2">
        <f t="shared" si="37"/>
        <v>53568531.493621454</v>
      </c>
      <c r="GB16" s="2">
        <f t="shared" si="38"/>
        <v>11904118.109693658</v>
      </c>
      <c r="GC16" s="2">
        <f t="shared" si="39"/>
        <v>0</v>
      </c>
      <c r="GD16" s="2">
        <f t="shared" si="40"/>
        <v>0</v>
      </c>
      <c r="GE16" s="2">
        <f t="shared" si="41"/>
        <v>0</v>
      </c>
      <c r="GF16" s="2">
        <f t="shared" si="42"/>
        <v>0</v>
      </c>
      <c r="GG16" s="2">
        <f t="shared" si="43"/>
        <v>0</v>
      </c>
      <c r="GH16" s="2">
        <f t="shared" si="44"/>
        <v>0</v>
      </c>
      <c r="GI16" s="2">
        <f t="shared" si="45"/>
        <v>0</v>
      </c>
      <c r="GJ16" s="2">
        <f t="shared" si="46"/>
        <v>0</v>
      </c>
      <c r="GK16" s="2">
        <f t="shared" si="47"/>
        <v>0</v>
      </c>
      <c r="GL16" s="2">
        <f t="shared" si="48"/>
        <v>0</v>
      </c>
      <c r="GM16" s="2">
        <f t="shared" si="49"/>
        <v>0</v>
      </c>
      <c r="GN16" s="2">
        <f t="shared" si="50"/>
        <v>0</v>
      </c>
      <c r="GQ16" s="1260">
        <v>21</v>
      </c>
      <c r="GR16" s="1456"/>
      <c r="GS16" s="1456">
        <v>10</v>
      </c>
      <c r="GT16" s="1456">
        <v>76.67</v>
      </c>
      <c r="GU16" s="1456">
        <v>13.33</v>
      </c>
      <c r="GV16" s="1456"/>
      <c r="GW16" s="1456"/>
      <c r="GX16" s="1456"/>
      <c r="GY16" s="1456"/>
      <c r="GZ16" s="1456"/>
      <c r="HA16" s="1456"/>
      <c r="HB16" s="1456"/>
      <c r="HC16" s="1456"/>
      <c r="HD16" s="1456"/>
      <c r="HE16" s="1456"/>
      <c r="HF16" s="1134"/>
      <c r="HG16" s="1266">
        <f t="shared" si="79"/>
        <v>100</v>
      </c>
      <c r="HI16" s="2">
        <v>219868674.31609359</v>
      </c>
      <c r="HJ16" s="1823">
        <v>19</v>
      </c>
      <c r="HK16" s="2">
        <f t="shared" si="51"/>
        <v>0</v>
      </c>
      <c r="HL16" s="2">
        <f t="shared" si="52"/>
        <v>21986867.431609359</v>
      </c>
      <c r="HM16" s="2">
        <f t="shared" si="53"/>
        <v>168573312.59814894</v>
      </c>
      <c r="HN16" s="2">
        <f t="shared" si="54"/>
        <v>29308494.286335278</v>
      </c>
      <c r="HO16" s="2">
        <f t="shared" si="55"/>
        <v>0</v>
      </c>
      <c r="HP16" s="2">
        <f t="shared" si="56"/>
        <v>0</v>
      </c>
      <c r="HQ16" s="2">
        <f t="shared" si="57"/>
        <v>0</v>
      </c>
      <c r="HR16" s="2">
        <f t="shared" si="58"/>
        <v>0</v>
      </c>
      <c r="HS16" s="2">
        <f t="shared" si="59"/>
        <v>0</v>
      </c>
      <c r="HT16" s="2">
        <f t="shared" si="60"/>
        <v>0</v>
      </c>
      <c r="HU16" s="2">
        <f t="shared" si="61"/>
        <v>0</v>
      </c>
      <c r="HV16" s="2">
        <f t="shared" si="62"/>
        <v>0</v>
      </c>
      <c r="HW16" s="2">
        <f t="shared" si="63"/>
        <v>0</v>
      </c>
      <c r="HX16" s="2">
        <f t="shared" si="64"/>
        <v>0</v>
      </c>
      <c r="HY16" s="2">
        <f t="shared" si="65"/>
        <v>0</v>
      </c>
      <c r="IB16" s="1">
        <v>21</v>
      </c>
      <c r="ID16" s="1">
        <v>52.63</v>
      </c>
      <c r="IE16" s="1">
        <v>47.37</v>
      </c>
      <c r="IO16" s="1">
        <v>100</v>
      </c>
      <c r="IQ16" s="2">
        <v>91263963.643807381</v>
      </c>
      <c r="IR16" s="1">
        <v>21</v>
      </c>
      <c r="IS16" s="2">
        <f t="shared" si="66"/>
        <v>0</v>
      </c>
      <c r="IT16" s="2">
        <f t="shared" si="67"/>
        <v>48032224.065735824</v>
      </c>
      <c r="IU16" s="2">
        <f t="shared" si="68"/>
        <v>43231739.578071557</v>
      </c>
      <c r="IV16" s="2">
        <f t="shared" si="69"/>
        <v>0</v>
      </c>
      <c r="IW16" s="2">
        <f t="shared" si="70"/>
        <v>0</v>
      </c>
      <c r="IX16" s="2">
        <f t="shared" si="71"/>
        <v>0</v>
      </c>
      <c r="IY16" s="2">
        <f t="shared" si="72"/>
        <v>0</v>
      </c>
      <c r="IZ16" s="2">
        <f t="shared" si="73"/>
        <v>0</v>
      </c>
      <c r="JA16" s="2">
        <f t="shared" si="74"/>
        <v>0</v>
      </c>
      <c r="JB16" s="2">
        <f t="shared" si="75"/>
        <v>0</v>
      </c>
      <c r="JC16" s="2">
        <f t="shared" si="76"/>
        <v>0</v>
      </c>
      <c r="JD16" s="2">
        <f t="shared" si="77"/>
        <v>0</v>
      </c>
    </row>
    <row r="17" spans="1:264">
      <c r="A17" s="1">
        <v>17</v>
      </c>
      <c r="B17" s="2"/>
      <c r="D17" s="1">
        <v>17</v>
      </c>
      <c r="E17" s="1119">
        <v>0</v>
      </c>
      <c r="F17" s="1119">
        <v>0</v>
      </c>
      <c r="G17" s="1119">
        <v>0</v>
      </c>
      <c r="H17" s="1119">
        <v>0</v>
      </c>
      <c r="I17" s="1119">
        <v>0</v>
      </c>
      <c r="J17" s="1119">
        <v>0</v>
      </c>
      <c r="K17" s="1119">
        <v>0</v>
      </c>
      <c r="L17" s="1119">
        <v>0</v>
      </c>
      <c r="M17" s="1119">
        <v>0</v>
      </c>
      <c r="N17" s="1119">
        <v>0</v>
      </c>
      <c r="O17" s="1119">
        <v>0</v>
      </c>
      <c r="Q17" s="1">
        <v>17</v>
      </c>
      <c r="R17" s="2">
        <f t="shared" si="78"/>
        <v>0</v>
      </c>
      <c r="S17" s="2">
        <f t="shared" si="35"/>
        <v>0</v>
      </c>
      <c r="T17" s="2">
        <f t="shared" si="35"/>
        <v>0</v>
      </c>
      <c r="U17" s="2">
        <f t="shared" si="35"/>
        <v>0</v>
      </c>
      <c r="V17" s="2">
        <f t="shared" si="35"/>
        <v>0</v>
      </c>
      <c r="W17" s="2">
        <f t="shared" si="35"/>
        <v>0</v>
      </c>
      <c r="X17" s="2">
        <f t="shared" si="35"/>
        <v>0</v>
      </c>
      <c r="Y17" s="2">
        <f t="shared" si="35"/>
        <v>0</v>
      </c>
      <c r="Z17" s="2">
        <f t="shared" si="35"/>
        <v>0</v>
      </c>
      <c r="AA17" s="2">
        <f t="shared" si="35"/>
        <v>0</v>
      </c>
      <c r="AB17" s="2">
        <f t="shared" si="35"/>
        <v>0</v>
      </c>
      <c r="AN17" s="1">
        <v>17</v>
      </c>
      <c r="BG17" s="1">
        <v>17</v>
      </c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CI17" s="1">
        <v>25204359.37914934</v>
      </c>
      <c r="CJ17" s="1">
        <v>23</v>
      </c>
      <c r="CK17" s="2"/>
      <c r="CL17" s="2"/>
      <c r="CM17" s="2">
        <v>61.111111111111114</v>
      </c>
      <c r="CN17" s="2">
        <v>38.888888888888886</v>
      </c>
      <c r="CZ17" s="1">
        <v>100</v>
      </c>
      <c r="DC17" s="1">
        <v>23</v>
      </c>
      <c r="DD17" s="2">
        <f t="shared" si="2"/>
        <v>0</v>
      </c>
      <c r="DE17" s="2">
        <f t="shared" si="3"/>
        <v>0</v>
      </c>
      <c r="DF17" s="2">
        <f t="shared" si="4"/>
        <v>15402664.065035708</v>
      </c>
      <c r="DG17" s="2">
        <f t="shared" si="5"/>
        <v>9801695.3141136318</v>
      </c>
      <c r="DH17" s="2">
        <f t="shared" si="6"/>
        <v>0</v>
      </c>
      <c r="DI17" s="2">
        <f t="shared" si="7"/>
        <v>0</v>
      </c>
      <c r="DJ17" s="2">
        <f t="shared" si="8"/>
        <v>0</v>
      </c>
      <c r="DK17" s="2">
        <f t="shared" si="9"/>
        <v>0</v>
      </c>
      <c r="DL17" s="2">
        <f t="shared" si="10"/>
        <v>0</v>
      </c>
      <c r="DM17" s="2">
        <f t="shared" si="11"/>
        <v>0</v>
      </c>
      <c r="DN17" s="2">
        <f t="shared" si="12"/>
        <v>0</v>
      </c>
      <c r="DO17" s="2">
        <f t="shared" si="13"/>
        <v>0</v>
      </c>
      <c r="DP17" s="2">
        <f t="shared" si="14"/>
        <v>0</v>
      </c>
      <c r="DQ17" s="2">
        <f t="shared" si="15"/>
        <v>0</v>
      </c>
      <c r="DR17" s="2">
        <f t="shared" si="16"/>
        <v>0</v>
      </c>
      <c r="DT17" s="1">
        <v>21</v>
      </c>
      <c r="DU17" s="1">
        <v>66188693.463409975</v>
      </c>
      <c r="DV17" s="1262"/>
      <c r="DW17" s="1261">
        <v>50</v>
      </c>
      <c r="DX17" s="1261">
        <v>50</v>
      </c>
      <c r="DY17" s="1261"/>
      <c r="DZ17" s="1261"/>
      <c r="EA17" s="1261"/>
      <c r="EB17" s="1261"/>
      <c r="EC17" s="1261"/>
      <c r="ED17" s="1261"/>
      <c r="EE17" s="1261"/>
      <c r="EF17" s="1261"/>
      <c r="EG17" s="1261"/>
      <c r="EH17" s="1261"/>
      <c r="EI17" s="1134"/>
      <c r="EJ17" s="1134"/>
      <c r="EM17" s="1">
        <v>21</v>
      </c>
      <c r="EN17" s="2">
        <f t="shared" si="17"/>
        <v>0</v>
      </c>
      <c r="EO17" s="2">
        <f t="shared" si="18"/>
        <v>33094346.731704988</v>
      </c>
      <c r="EP17" s="2">
        <f t="shared" si="19"/>
        <v>33094346.731704988</v>
      </c>
      <c r="EQ17" s="2">
        <f t="shared" si="20"/>
        <v>0</v>
      </c>
      <c r="ER17" s="2">
        <f t="shared" si="21"/>
        <v>0</v>
      </c>
      <c r="ES17" s="2">
        <f t="shared" si="22"/>
        <v>0</v>
      </c>
      <c r="ET17" s="2">
        <f t="shared" si="23"/>
        <v>0</v>
      </c>
      <c r="EU17" s="2">
        <f t="shared" si="24"/>
        <v>0</v>
      </c>
      <c r="EV17" s="2">
        <f t="shared" si="25"/>
        <v>0</v>
      </c>
      <c r="EW17" s="2">
        <f t="shared" si="26"/>
        <v>0</v>
      </c>
      <c r="EX17" s="2">
        <f t="shared" si="27"/>
        <v>0</v>
      </c>
      <c r="EY17" s="2">
        <f t="shared" si="28"/>
        <v>0</v>
      </c>
      <c r="EZ17" s="2">
        <f t="shared" si="29"/>
        <v>0</v>
      </c>
      <c r="FA17" s="2">
        <f t="shared" si="30"/>
        <v>0</v>
      </c>
      <c r="FB17" s="2">
        <f t="shared" si="31"/>
        <v>0</v>
      </c>
      <c r="FE17" s="1260">
        <v>20</v>
      </c>
      <c r="FF17" s="1261"/>
      <c r="FG17" s="1252">
        <v>80</v>
      </c>
      <c r="FH17" s="1252">
        <v>20</v>
      </c>
      <c r="FI17" s="1261"/>
      <c r="FJ17" s="1261"/>
      <c r="FK17" s="1262"/>
      <c r="FL17" s="1262"/>
      <c r="FM17" s="1262"/>
      <c r="FN17" s="1262"/>
      <c r="FO17" s="1262"/>
      <c r="FP17" s="1262"/>
      <c r="FQ17" s="1263"/>
      <c r="FR17" s="1134"/>
      <c r="FS17" s="1134"/>
      <c r="FT17" s="1257"/>
      <c r="FU17" s="1258">
        <v>100</v>
      </c>
      <c r="FV17" s="1452"/>
      <c r="FX17" s="2">
        <v>84247148.533835948</v>
      </c>
      <c r="FY17" s="1260">
        <v>20</v>
      </c>
      <c r="FZ17" s="2">
        <f t="shared" si="36"/>
        <v>0</v>
      </c>
      <c r="GA17" s="2">
        <f t="shared" si="37"/>
        <v>67397718.827068761</v>
      </c>
      <c r="GB17" s="2">
        <f t="shared" si="38"/>
        <v>16849429.70676719</v>
      </c>
      <c r="GC17" s="2">
        <f t="shared" si="39"/>
        <v>0</v>
      </c>
      <c r="GD17" s="2">
        <f t="shared" si="40"/>
        <v>0</v>
      </c>
      <c r="GE17" s="2">
        <f t="shared" si="41"/>
        <v>0</v>
      </c>
      <c r="GF17" s="2">
        <f t="shared" si="42"/>
        <v>0</v>
      </c>
      <c r="GG17" s="2">
        <f t="shared" si="43"/>
        <v>0</v>
      </c>
      <c r="GH17" s="2">
        <f t="shared" si="44"/>
        <v>0</v>
      </c>
      <c r="GI17" s="2">
        <f t="shared" si="45"/>
        <v>0</v>
      </c>
      <c r="GJ17" s="2">
        <f t="shared" si="46"/>
        <v>0</v>
      </c>
      <c r="GK17" s="2">
        <f t="shared" si="47"/>
        <v>0</v>
      </c>
      <c r="GL17" s="2">
        <f t="shared" si="48"/>
        <v>0</v>
      </c>
      <c r="GM17" s="2">
        <f t="shared" si="49"/>
        <v>0</v>
      </c>
      <c r="GN17" s="2">
        <f t="shared" si="50"/>
        <v>0</v>
      </c>
      <c r="GQ17" s="1260">
        <v>22</v>
      </c>
      <c r="GR17" s="1456"/>
      <c r="GS17" s="1456"/>
      <c r="GT17" s="1456">
        <v>60</v>
      </c>
      <c r="GU17" s="1456">
        <v>40</v>
      </c>
      <c r="GV17" s="1456"/>
      <c r="GW17" s="1456"/>
      <c r="GX17" s="1456"/>
      <c r="GY17" s="1456"/>
      <c r="GZ17" s="1456"/>
      <c r="HA17" s="1456"/>
      <c r="HB17" s="1456"/>
      <c r="HC17" s="1456"/>
      <c r="HD17" s="1456"/>
      <c r="HE17" s="1456"/>
      <c r="HF17" s="1134"/>
      <c r="HG17" s="1266">
        <f t="shared" si="79"/>
        <v>100</v>
      </c>
      <c r="HI17" s="2">
        <v>228369958.82888785</v>
      </c>
      <c r="HJ17" s="1823">
        <v>20</v>
      </c>
      <c r="HK17" s="2">
        <f t="shared" si="51"/>
        <v>0</v>
      </c>
      <c r="HL17" s="2">
        <f t="shared" si="52"/>
        <v>0</v>
      </c>
      <c r="HM17" s="2">
        <f t="shared" si="53"/>
        <v>137021975.2973327</v>
      </c>
      <c r="HN17" s="2">
        <f t="shared" si="54"/>
        <v>91347983.531555131</v>
      </c>
      <c r="HO17" s="2">
        <f t="shared" si="55"/>
        <v>0</v>
      </c>
      <c r="HP17" s="2">
        <f t="shared" si="56"/>
        <v>0</v>
      </c>
      <c r="HQ17" s="2">
        <f t="shared" si="57"/>
        <v>0</v>
      </c>
      <c r="HR17" s="2">
        <f t="shared" si="58"/>
        <v>0</v>
      </c>
      <c r="HS17" s="2">
        <f t="shared" si="59"/>
        <v>0</v>
      </c>
      <c r="HT17" s="2">
        <f t="shared" si="60"/>
        <v>0</v>
      </c>
      <c r="HU17" s="2">
        <f t="shared" si="61"/>
        <v>0</v>
      </c>
      <c r="HV17" s="2">
        <f t="shared" si="62"/>
        <v>0</v>
      </c>
      <c r="HW17" s="2">
        <f t="shared" si="63"/>
        <v>0</v>
      </c>
      <c r="HX17" s="2">
        <f t="shared" si="64"/>
        <v>0</v>
      </c>
      <c r="HY17" s="2">
        <f t="shared" si="65"/>
        <v>0</v>
      </c>
      <c r="IB17" s="1">
        <v>22</v>
      </c>
      <c r="ID17" s="1">
        <v>26.32</v>
      </c>
      <c r="IE17" s="1">
        <v>73.680000000000007</v>
      </c>
      <c r="IO17" s="1">
        <v>100</v>
      </c>
      <c r="IQ17" s="2">
        <v>139070638.16209695</v>
      </c>
      <c r="IR17" s="1">
        <v>22</v>
      </c>
      <c r="IS17" s="2">
        <f t="shared" si="66"/>
        <v>0</v>
      </c>
      <c r="IT17" s="2">
        <f t="shared" si="67"/>
        <v>36603391.964263916</v>
      </c>
      <c r="IU17" s="2">
        <f t="shared" si="68"/>
        <v>102467246.19783305</v>
      </c>
      <c r="IV17" s="2">
        <f t="shared" si="69"/>
        <v>0</v>
      </c>
      <c r="IW17" s="2">
        <f t="shared" si="70"/>
        <v>0</v>
      </c>
      <c r="IX17" s="2">
        <f t="shared" si="71"/>
        <v>0</v>
      </c>
      <c r="IY17" s="2">
        <f t="shared" si="72"/>
        <v>0</v>
      </c>
      <c r="IZ17" s="2">
        <f t="shared" si="73"/>
        <v>0</v>
      </c>
      <c r="JA17" s="2">
        <f t="shared" si="74"/>
        <v>0</v>
      </c>
      <c r="JB17" s="2">
        <f t="shared" si="75"/>
        <v>0</v>
      </c>
      <c r="JC17" s="2">
        <f t="shared" si="76"/>
        <v>0</v>
      </c>
      <c r="JD17" s="2">
        <f t="shared" si="77"/>
        <v>0</v>
      </c>
    </row>
    <row r="18" spans="1:264">
      <c r="A18" s="1">
        <v>18</v>
      </c>
      <c r="B18" s="2"/>
      <c r="D18" s="1">
        <v>18</v>
      </c>
      <c r="E18" s="1119">
        <v>0</v>
      </c>
      <c r="F18" s="1119">
        <v>0</v>
      </c>
      <c r="G18" s="1119">
        <v>0</v>
      </c>
      <c r="H18" s="1119">
        <v>0</v>
      </c>
      <c r="I18" s="1119">
        <v>0</v>
      </c>
      <c r="J18" s="1119">
        <v>0</v>
      </c>
      <c r="K18" s="1119">
        <v>0</v>
      </c>
      <c r="L18" s="1119">
        <v>0</v>
      </c>
      <c r="M18" s="1119">
        <v>0</v>
      </c>
      <c r="N18" s="1119">
        <v>0</v>
      </c>
      <c r="O18" s="1119">
        <v>0</v>
      </c>
      <c r="Q18" s="1">
        <v>18</v>
      </c>
      <c r="R18" s="2">
        <f t="shared" si="78"/>
        <v>0</v>
      </c>
      <c r="S18" s="2">
        <f t="shared" si="35"/>
        <v>0</v>
      </c>
      <c r="T18" s="2">
        <f t="shared" si="35"/>
        <v>0</v>
      </c>
      <c r="U18" s="2">
        <f t="shared" si="35"/>
        <v>0</v>
      </c>
      <c r="V18" s="2">
        <f t="shared" si="35"/>
        <v>0</v>
      </c>
      <c r="W18" s="2">
        <f t="shared" si="35"/>
        <v>0</v>
      </c>
      <c r="X18" s="2">
        <f t="shared" si="35"/>
        <v>0</v>
      </c>
      <c r="Y18" s="2">
        <f t="shared" si="35"/>
        <v>0</v>
      </c>
      <c r="Z18" s="2">
        <f t="shared" si="35"/>
        <v>0</v>
      </c>
      <c r="AA18" s="2">
        <f t="shared" si="35"/>
        <v>0</v>
      </c>
      <c r="AB18" s="2">
        <f t="shared" si="35"/>
        <v>0</v>
      </c>
      <c r="AN18" s="1">
        <v>18</v>
      </c>
      <c r="BG18" s="1">
        <v>18</v>
      </c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CI18" s="1">
        <v>28021364.393323515</v>
      </c>
      <c r="CJ18" s="1">
        <v>24</v>
      </c>
      <c r="CK18" s="2"/>
      <c r="CL18" s="2"/>
      <c r="CM18" s="2">
        <v>35.714285714285715</v>
      </c>
      <c r="CN18" s="2">
        <v>64.285714285714292</v>
      </c>
      <c r="CZ18" s="1">
        <v>100</v>
      </c>
      <c r="DC18" s="1">
        <v>24</v>
      </c>
      <c r="DD18" s="2">
        <f t="shared" si="2"/>
        <v>0</v>
      </c>
      <c r="DE18" s="2">
        <f t="shared" si="3"/>
        <v>0</v>
      </c>
      <c r="DF18" s="2">
        <f t="shared" si="4"/>
        <v>10007630.140472684</v>
      </c>
      <c r="DG18" s="2">
        <f t="shared" si="5"/>
        <v>18013734.252850834</v>
      </c>
      <c r="DH18" s="2">
        <f t="shared" si="6"/>
        <v>0</v>
      </c>
      <c r="DI18" s="2">
        <f t="shared" si="7"/>
        <v>0</v>
      </c>
      <c r="DJ18" s="2">
        <f t="shared" si="8"/>
        <v>0</v>
      </c>
      <c r="DK18" s="2">
        <f t="shared" si="9"/>
        <v>0</v>
      </c>
      <c r="DL18" s="2">
        <f t="shared" si="10"/>
        <v>0</v>
      </c>
      <c r="DM18" s="2">
        <f t="shared" si="11"/>
        <v>0</v>
      </c>
      <c r="DN18" s="2">
        <f t="shared" si="12"/>
        <v>0</v>
      </c>
      <c r="DO18" s="2">
        <f t="shared" si="13"/>
        <v>0</v>
      </c>
      <c r="DP18" s="2">
        <f t="shared" si="14"/>
        <v>0</v>
      </c>
      <c r="DQ18" s="2">
        <f t="shared" si="15"/>
        <v>0</v>
      </c>
      <c r="DR18" s="2">
        <f t="shared" si="16"/>
        <v>0</v>
      </c>
      <c r="DT18" s="1">
        <v>22</v>
      </c>
      <c r="DU18" s="1">
        <v>46301272.687605187</v>
      </c>
      <c r="DV18" s="1262"/>
      <c r="DW18" s="1261">
        <v>5.2631578947368425</v>
      </c>
      <c r="DX18" s="1261">
        <v>94.736842105263165</v>
      </c>
      <c r="DY18" s="1261"/>
      <c r="DZ18" s="1261"/>
      <c r="EA18" s="1261"/>
      <c r="EB18" s="1261"/>
      <c r="EC18" s="1261"/>
      <c r="ED18" s="1261"/>
      <c r="EE18" s="1261"/>
      <c r="EF18" s="1261"/>
      <c r="EG18" s="1261"/>
      <c r="EH18" s="1261"/>
      <c r="EI18" s="1134"/>
      <c r="EJ18" s="1134"/>
      <c r="EM18" s="1">
        <v>22</v>
      </c>
      <c r="EN18" s="2">
        <f t="shared" si="17"/>
        <v>0</v>
      </c>
      <c r="EO18" s="2">
        <f t="shared" si="18"/>
        <v>2436909.0888213259</v>
      </c>
      <c r="EP18" s="2">
        <f t="shared" si="19"/>
        <v>43864363.598783866</v>
      </c>
      <c r="EQ18" s="2">
        <f t="shared" si="20"/>
        <v>0</v>
      </c>
      <c r="ER18" s="2">
        <f t="shared" si="21"/>
        <v>0</v>
      </c>
      <c r="ES18" s="2">
        <f t="shared" si="22"/>
        <v>0</v>
      </c>
      <c r="ET18" s="2">
        <f t="shared" si="23"/>
        <v>0</v>
      </c>
      <c r="EU18" s="2">
        <f t="shared" si="24"/>
        <v>0</v>
      </c>
      <c r="EV18" s="2">
        <f t="shared" si="25"/>
        <v>0</v>
      </c>
      <c r="EW18" s="2">
        <f t="shared" si="26"/>
        <v>0</v>
      </c>
      <c r="EX18" s="2">
        <f t="shared" si="27"/>
        <v>0</v>
      </c>
      <c r="EY18" s="2">
        <f t="shared" si="28"/>
        <v>0</v>
      </c>
      <c r="EZ18" s="2">
        <f t="shared" si="29"/>
        <v>0</v>
      </c>
      <c r="FA18" s="2">
        <f t="shared" si="30"/>
        <v>0</v>
      </c>
      <c r="FB18" s="2">
        <f t="shared" si="31"/>
        <v>0</v>
      </c>
      <c r="FE18" s="1260">
        <v>21</v>
      </c>
      <c r="FF18" s="1261"/>
      <c r="FG18" s="1252">
        <v>46.153846153846153</v>
      </c>
      <c r="FH18" s="1252">
        <v>53.846153846153847</v>
      </c>
      <c r="FI18" s="1252"/>
      <c r="FJ18" s="1261"/>
      <c r="FK18" s="1262"/>
      <c r="FL18" s="1262"/>
      <c r="FM18" s="1262"/>
      <c r="FN18" s="1262"/>
      <c r="FO18" s="1262"/>
      <c r="FP18" s="1262"/>
      <c r="FQ18" s="1263"/>
      <c r="FR18" s="1134"/>
      <c r="FS18" s="1254"/>
      <c r="FT18"/>
      <c r="FU18" s="1255">
        <v>100</v>
      </c>
      <c r="FV18" s="1452"/>
      <c r="FX18" s="2">
        <v>100889980.23997968</v>
      </c>
      <c r="FY18" s="1260">
        <v>21</v>
      </c>
      <c r="FZ18" s="2">
        <f t="shared" si="36"/>
        <v>0</v>
      </c>
      <c r="GA18" s="2">
        <f t="shared" si="37"/>
        <v>46564606.264606006</v>
      </c>
      <c r="GB18" s="2">
        <f t="shared" si="38"/>
        <v>54325373.975373678</v>
      </c>
      <c r="GC18" s="2">
        <f t="shared" si="39"/>
        <v>0</v>
      </c>
      <c r="GD18" s="2">
        <f t="shared" si="40"/>
        <v>0</v>
      </c>
      <c r="GE18" s="2">
        <f t="shared" si="41"/>
        <v>0</v>
      </c>
      <c r="GF18" s="2">
        <f t="shared" si="42"/>
        <v>0</v>
      </c>
      <c r="GG18" s="2">
        <f t="shared" si="43"/>
        <v>0</v>
      </c>
      <c r="GH18" s="2">
        <f t="shared" si="44"/>
        <v>0</v>
      </c>
      <c r="GI18" s="2">
        <f t="shared" si="45"/>
        <v>0</v>
      </c>
      <c r="GJ18" s="2">
        <f t="shared" si="46"/>
        <v>0</v>
      </c>
      <c r="GK18" s="2">
        <f t="shared" si="47"/>
        <v>0</v>
      </c>
      <c r="GL18" s="2">
        <f t="shared" si="48"/>
        <v>0</v>
      </c>
      <c r="GM18" s="2">
        <f t="shared" si="49"/>
        <v>0</v>
      </c>
      <c r="GN18" s="2">
        <f t="shared" si="50"/>
        <v>0</v>
      </c>
      <c r="GQ18" s="1260">
        <v>23</v>
      </c>
      <c r="GR18" s="1456"/>
      <c r="GS18" s="1456"/>
      <c r="GT18" s="1456">
        <v>41.94</v>
      </c>
      <c r="GU18" s="1456">
        <v>58.06</v>
      </c>
      <c r="GV18" s="1456"/>
      <c r="GW18" s="1456"/>
      <c r="GX18" s="1456"/>
      <c r="GY18" s="1456"/>
      <c r="GZ18" s="1456"/>
      <c r="HA18" s="1456"/>
      <c r="HB18" s="1456"/>
      <c r="HC18" s="1456"/>
      <c r="HD18" s="1456"/>
      <c r="HE18" s="1456"/>
      <c r="HF18" s="1134"/>
      <c r="HG18" s="1266">
        <f t="shared" si="79"/>
        <v>100</v>
      </c>
      <c r="HI18" s="2">
        <v>262792195.1306783</v>
      </c>
      <c r="HJ18" s="1823">
        <v>21</v>
      </c>
      <c r="HK18" s="2">
        <f t="shared" si="51"/>
        <v>0</v>
      </c>
      <c r="HL18" s="2">
        <f t="shared" si="52"/>
        <v>0</v>
      </c>
      <c r="HM18" s="2">
        <f t="shared" si="53"/>
        <v>110215046.63780648</v>
      </c>
      <c r="HN18" s="2">
        <f t="shared" si="54"/>
        <v>152577148.49287182</v>
      </c>
      <c r="HO18" s="2">
        <f t="shared" si="55"/>
        <v>0</v>
      </c>
      <c r="HP18" s="2">
        <f t="shared" si="56"/>
        <v>0</v>
      </c>
      <c r="HQ18" s="2">
        <f t="shared" si="57"/>
        <v>0</v>
      </c>
      <c r="HR18" s="2">
        <f t="shared" si="58"/>
        <v>0</v>
      </c>
      <c r="HS18" s="2">
        <f t="shared" si="59"/>
        <v>0</v>
      </c>
      <c r="HT18" s="2">
        <f t="shared" si="60"/>
        <v>0</v>
      </c>
      <c r="HU18" s="2">
        <f t="shared" si="61"/>
        <v>0</v>
      </c>
      <c r="HV18" s="2">
        <f t="shared" si="62"/>
        <v>0</v>
      </c>
      <c r="HW18" s="2">
        <f t="shared" si="63"/>
        <v>0</v>
      </c>
      <c r="HX18" s="2">
        <f t="shared" si="64"/>
        <v>0</v>
      </c>
      <c r="HY18" s="2">
        <f t="shared" si="65"/>
        <v>0</v>
      </c>
      <c r="IB18" s="1">
        <v>23</v>
      </c>
      <c r="ID18" s="1">
        <v>9.52</v>
      </c>
      <c r="IE18" s="1">
        <v>90.48</v>
      </c>
      <c r="IO18" s="1">
        <v>100</v>
      </c>
      <c r="IQ18" s="2">
        <v>197589300.61994535</v>
      </c>
      <c r="IR18" s="1">
        <v>23</v>
      </c>
      <c r="IS18" s="2">
        <f t="shared" si="66"/>
        <v>0</v>
      </c>
      <c r="IT18" s="2">
        <f t="shared" si="67"/>
        <v>18810501.419018794</v>
      </c>
      <c r="IU18" s="2">
        <f t="shared" si="68"/>
        <v>178778799.20092654</v>
      </c>
      <c r="IV18" s="2">
        <f t="shared" si="69"/>
        <v>0</v>
      </c>
      <c r="IW18" s="2">
        <f t="shared" si="70"/>
        <v>0</v>
      </c>
      <c r="IX18" s="2">
        <f t="shared" si="71"/>
        <v>0</v>
      </c>
      <c r="IY18" s="2">
        <f t="shared" si="72"/>
        <v>0</v>
      </c>
      <c r="IZ18" s="2">
        <f t="shared" si="73"/>
        <v>0</v>
      </c>
      <c r="JA18" s="2">
        <f t="shared" si="74"/>
        <v>0</v>
      </c>
      <c r="JB18" s="2">
        <f t="shared" si="75"/>
        <v>0</v>
      </c>
      <c r="JC18" s="2">
        <f t="shared" si="76"/>
        <v>0</v>
      </c>
      <c r="JD18" s="2">
        <f t="shared" si="77"/>
        <v>0</v>
      </c>
    </row>
    <row r="19" spans="1:264">
      <c r="A19" s="1">
        <v>19</v>
      </c>
      <c r="B19" s="2"/>
      <c r="D19" s="1">
        <v>19</v>
      </c>
      <c r="E19" s="1119">
        <v>0</v>
      </c>
      <c r="F19" s="1119">
        <v>0</v>
      </c>
      <c r="G19" s="1119">
        <v>0</v>
      </c>
      <c r="H19" s="1119">
        <v>0</v>
      </c>
      <c r="I19" s="1119">
        <v>0</v>
      </c>
      <c r="J19" s="1119">
        <v>0</v>
      </c>
      <c r="K19" s="1119">
        <v>0</v>
      </c>
      <c r="L19" s="1119">
        <v>0</v>
      </c>
      <c r="M19" s="1119">
        <v>0</v>
      </c>
      <c r="N19" s="1119">
        <v>0</v>
      </c>
      <c r="O19" s="1119">
        <v>0</v>
      </c>
      <c r="Q19" s="1">
        <v>19</v>
      </c>
      <c r="R19" s="2">
        <f t="shared" si="78"/>
        <v>0</v>
      </c>
      <c r="S19" s="2">
        <f t="shared" si="35"/>
        <v>0</v>
      </c>
      <c r="T19" s="2">
        <f t="shared" si="35"/>
        <v>0</v>
      </c>
      <c r="U19" s="2">
        <f t="shared" si="35"/>
        <v>0</v>
      </c>
      <c r="V19" s="2">
        <f t="shared" si="35"/>
        <v>0</v>
      </c>
      <c r="W19" s="2">
        <f t="shared" si="35"/>
        <v>0</v>
      </c>
      <c r="X19" s="2">
        <f t="shared" si="35"/>
        <v>0</v>
      </c>
      <c r="Y19" s="2">
        <f t="shared" si="35"/>
        <v>0</v>
      </c>
      <c r="Z19" s="2">
        <f t="shared" si="35"/>
        <v>0</v>
      </c>
      <c r="AA19" s="2">
        <f t="shared" si="35"/>
        <v>0</v>
      </c>
      <c r="AB19" s="2">
        <f t="shared" si="35"/>
        <v>0</v>
      </c>
      <c r="AL19" s="2">
        <v>412153.85092403286</v>
      </c>
      <c r="AN19" s="1">
        <v>19</v>
      </c>
      <c r="AP19" s="1">
        <v>100</v>
      </c>
      <c r="BG19" s="1">
        <v>19</v>
      </c>
      <c r="BH19" s="2">
        <f>$AL19*AP19/100</f>
        <v>412153.85092403286</v>
      </c>
      <c r="BI19" s="2">
        <f t="shared" ref="BI19:BV19" si="80">$AL19*AQ19/100</f>
        <v>0</v>
      </c>
      <c r="BJ19" s="2">
        <f t="shared" si="80"/>
        <v>0</v>
      </c>
      <c r="BK19" s="2">
        <f t="shared" si="80"/>
        <v>0</v>
      </c>
      <c r="BL19" s="2">
        <f t="shared" si="80"/>
        <v>0</v>
      </c>
      <c r="BM19" s="2">
        <f t="shared" si="80"/>
        <v>0</v>
      </c>
      <c r="BN19" s="2">
        <f t="shared" si="80"/>
        <v>0</v>
      </c>
      <c r="BO19" s="2">
        <f t="shared" si="80"/>
        <v>0</v>
      </c>
      <c r="BP19" s="2">
        <f t="shared" si="80"/>
        <v>0</v>
      </c>
      <c r="BQ19" s="2">
        <f t="shared" si="80"/>
        <v>0</v>
      </c>
      <c r="BR19" s="2">
        <f t="shared" si="80"/>
        <v>0</v>
      </c>
      <c r="BS19" s="2">
        <f t="shared" si="80"/>
        <v>0</v>
      </c>
      <c r="BT19" s="2">
        <f t="shared" si="80"/>
        <v>0</v>
      </c>
      <c r="BU19" s="2">
        <f t="shared" si="80"/>
        <v>0</v>
      </c>
      <c r="BV19" s="2">
        <f t="shared" si="80"/>
        <v>0</v>
      </c>
      <c r="CE19" s="1" t="s">
        <v>677</v>
      </c>
      <c r="CF19" s="1" t="s">
        <v>678</v>
      </c>
      <c r="CG19" s="1" t="s">
        <v>14</v>
      </c>
      <c r="CI19" s="1">
        <v>49123172.905309349</v>
      </c>
      <c r="CJ19" s="1">
        <v>25</v>
      </c>
      <c r="CK19" s="2"/>
      <c r="CL19" s="2"/>
      <c r="CM19" s="2">
        <v>20.689655172413794</v>
      </c>
      <c r="CN19" s="2">
        <v>65.517241379310349</v>
      </c>
      <c r="CO19" s="2">
        <v>13.793103448275861</v>
      </c>
      <c r="CZ19" s="1">
        <v>100</v>
      </c>
      <c r="DC19" s="1">
        <v>25</v>
      </c>
      <c r="DD19" s="2">
        <f t="shared" si="2"/>
        <v>0</v>
      </c>
      <c r="DE19" s="2">
        <f t="shared" si="3"/>
        <v>0</v>
      </c>
      <c r="DF19" s="2">
        <f t="shared" si="4"/>
        <v>10163415.083857108</v>
      </c>
      <c r="DG19" s="2">
        <f t="shared" si="5"/>
        <v>32184147.765547503</v>
      </c>
      <c r="DH19" s="2">
        <f t="shared" si="6"/>
        <v>6775610.0559047377</v>
      </c>
      <c r="DI19" s="2">
        <f t="shared" si="7"/>
        <v>0</v>
      </c>
      <c r="DJ19" s="2">
        <f t="shared" si="8"/>
        <v>0</v>
      </c>
      <c r="DK19" s="2">
        <f t="shared" si="9"/>
        <v>0</v>
      </c>
      <c r="DL19" s="2">
        <f t="shared" si="10"/>
        <v>0</v>
      </c>
      <c r="DM19" s="2">
        <f t="shared" si="11"/>
        <v>0</v>
      </c>
      <c r="DN19" s="2">
        <f t="shared" si="12"/>
        <v>0</v>
      </c>
      <c r="DO19" s="2">
        <f t="shared" si="13"/>
        <v>0</v>
      </c>
      <c r="DP19" s="2">
        <f t="shared" si="14"/>
        <v>0</v>
      </c>
      <c r="DQ19" s="2">
        <f t="shared" si="15"/>
        <v>0</v>
      </c>
      <c r="DR19" s="2">
        <f t="shared" si="16"/>
        <v>0</v>
      </c>
      <c r="DT19" s="1">
        <v>23</v>
      </c>
      <c r="DU19" s="1">
        <v>36192497.73159416</v>
      </c>
      <c r="DV19" s="1262"/>
      <c r="DW19" s="1262"/>
      <c r="DX19" s="1261">
        <v>82.142857142857139</v>
      </c>
      <c r="DY19" s="1261">
        <v>17.857142857142858</v>
      </c>
      <c r="DZ19" s="1261"/>
      <c r="EA19" s="1261"/>
      <c r="EB19" s="1261"/>
      <c r="EC19" s="1261"/>
      <c r="ED19" s="1261"/>
      <c r="EE19" s="1261"/>
      <c r="EF19" s="1261"/>
      <c r="EG19" s="1261"/>
      <c r="EH19" s="1261"/>
      <c r="EI19" s="1134"/>
      <c r="EJ19" s="1134"/>
      <c r="EM19" s="1">
        <v>23</v>
      </c>
      <c r="EN19" s="2">
        <f t="shared" si="17"/>
        <v>0</v>
      </c>
      <c r="EO19" s="2">
        <f t="shared" si="18"/>
        <v>0</v>
      </c>
      <c r="EP19" s="2">
        <f t="shared" si="19"/>
        <v>29729551.708095204</v>
      </c>
      <c r="EQ19" s="2">
        <f t="shared" si="20"/>
        <v>6462946.023498957</v>
      </c>
      <c r="ER19" s="2">
        <f t="shared" si="21"/>
        <v>0</v>
      </c>
      <c r="ES19" s="2">
        <f t="shared" si="22"/>
        <v>0</v>
      </c>
      <c r="ET19" s="2">
        <f t="shared" si="23"/>
        <v>0</v>
      </c>
      <c r="EU19" s="2">
        <f t="shared" si="24"/>
        <v>0</v>
      </c>
      <c r="EV19" s="2">
        <f t="shared" si="25"/>
        <v>0</v>
      </c>
      <c r="EW19" s="2">
        <f t="shared" si="26"/>
        <v>0</v>
      </c>
      <c r="EX19" s="2">
        <f t="shared" si="27"/>
        <v>0</v>
      </c>
      <c r="EY19" s="2">
        <f t="shared" si="28"/>
        <v>0</v>
      </c>
      <c r="EZ19" s="2">
        <f t="shared" si="29"/>
        <v>0</v>
      </c>
      <c r="FA19" s="2">
        <f t="shared" si="30"/>
        <v>0</v>
      </c>
      <c r="FB19" s="2">
        <f t="shared" si="31"/>
        <v>0</v>
      </c>
      <c r="FE19" s="1260">
        <v>22</v>
      </c>
      <c r="FF19" s="1261"/>
      <c r="FG19" s="1252">
        <v>35</v>
      </c>
      <c r="FH19" s="1252">
        <v>65</v>
      </c>
      <c r="FI19" s="1252">
        <v>0</v>
      </c>
      <c r="FJ19" s="1261"/>
      <c r="FK19" s="1262"/>
      <c r="FL19" s="1262"/>
      <c r="FM19" s="1262"/>
      <c r="FN19" s="1262"/>
      <c r="FO19" s="1262"/>
      <c r="FP19" s="1262"/>
      <c r="FQ19" s="1263"/>
      <c r="FR19" s="1134"/>
      <c r="FS19" s="1134"/>
      <c r="FT19" s="1257"/>
      <c r="FU19" s="1258">
        <v>100</v>
      </c>
      <c r="FV19" s="1452"/>
      <c r="FX19" s="2">
        <v>99331685.063007757</v>
      </c>
      <c r="FY19" s="1260">
        <v>22</v>
      </c>
      <c r="FZ19" s="2">
        <f t="shared" si="36"/>
        <v>0</v>
      </c>
      <c r="GA19" s="2">
        <f t="shared" si="37"/>
        <v>34766089.77205272</v>
      </c>
      <c r="GB19" s="2">
        <f t="shared" si="38"/>
        <v>64565595.290955037</v>
      </c>
      <c r="GC19" s="2">
        <f t="shared" si="39"/>
        <v>0</v>
      </c>
      <c r="GD19" s="2">
        <f t="shared" si="40"/>
        <v>0</v>
      </c>
      <c r="GE19" s="2">
        <f t="shared" si="41"/>
        <v>0</v>
      </c>
      <c r="GF19" s="2">
        <f t="shared" si="42"/>
        <v>0</v>
      </c>
      <c r="GG19" s="2">
        <f t="shared" si="43"/>
        <v>0</v>
      </c>
      <c r="GH19" s="2">
        <f t="shared" si="44"/>
        <v>0</v>
      </c>
      <c r="GI19" s="2">
        <f t="shared" si="45"/>
        <v>0</v>
      </c>
      <c r="GJ19" s="2">
        <f t="shared" si="46"/>
        <v>0</v>
      </c>
      <c r="GK19" s="2">
        <f t="shared" si="47"/>
        <v>0</v>
      </c>
      <c r="GL19" s="2">
        <f t="shared" si="48"/>
        <v>0</v>
      </c>
      <c r="GM19" s="2">
        <f t="shared" si="49"/>
        <v>0</v>
      </c>
      <c r="GN19" s="2">
        <f t="shared" si="50"/>
        <v>0</v>
      </c>
      <c r="GQ19" s="1260">
        <v>24</v>
      </c>
      <c r="GR19" s="1456"/>
      <c r="GS19" s="1456"/>
      <c r="GT19" s="1456">
        <v>18.75</v>
      </c>
      <c r="GU19" s="1456">
        <v>78.12</v>
      </c>
      <c r="GV19" s="1456">
        <v>3.13</v>
      </c>
      <c r="GW19" s="1456"/>
      <c r="GX19" s="1456"/>
      <c r="GY19" s="1456"/>
      <c r="GZ19" s="1456"/>
      <c r="HA19" s="1456"/>
      <c r="HB19" s="1456"/>
      <c r="HC19" s="1456"/>
      <c r="HD19" s="1456"/>
      <c r="HE19" s="1456"/>
      <c r="HF19" s="1134"/>
      <c r="HG19" s="1266">
        <f t="shared" si="79"/>
        <v>100</v>
      </c>
      <c r="HI19" s="2">
        <v>300204699.64109862</v>
      </c>
      <c r="HJ19" s="1823">
        <v>22</v>
      </c>
      <c r="HK19" s="2">
        <f t="shared" si="51"/>
        <v>0</v>
      </c>
      <c r="HL19" s="2">
        <f t="shared" si="52"/>
        <v>0</v>
      </c>
      <c r="HM19" s="2">
        <f t="shared" si="53"/>
        <v>56288381.182705991</v>
      </c>
      <c r="HN19" s="2">
        <f t="shared" si="54"/>
        <v>234519911.35962623</v>
      </c>
      <c r="HO19" s="2">
        <f t="shared" si="55"/>
        <v>9396407.0987663865</v>
      </c>
      <c r="HP19" s="2">
        <f t="shared" si="56"/>
        <v>0</v>
      </c>
      <c r="HQ19" s="2">
        <f t="shared" si="57"/>
        <v>0</v>
      </c>
      <c r="HR19" s="2">
        <f t="shared" si="58"/>
        <v>0</v>
      </c>
      <c r="HS19" s="2">
        <f t="shared" si="59"/>
        <v>0</v>
      </c>
      <c r="HT19" s="2">
        <f t="shared" si="60"/>
        <v>0</v>
      </c>
      <c r="HU19" s="2">
        <f t="shared" si="61"/>
        <v>0</v>
      </c>
      <c r="HV19" s="2">
        <f t="shared" si="62"/>
        <v>0</v>
      </c>
      <c r="HW19" s="2">
        <f t="shared" si="63"/>
        <v>0</v>
      </c>
      <c r="HX19" s="2">
        <f t="shared" si="64"/>
        <v>0</v>
      </c>
      <c r="HY19" s="2">
        <f t="shared" si="65"/>
        <v>0</v>
      </c>
      <c r="IB19" s="1">
        <v>24</v>
      </c>
      <c r="IE19" s="1">
        <v>83.33</v>
      </c>
      <c r="IF19" s="1">
        <v>16.670000000000002</v>
      </c>
      <c r="IO19" s="1">
        <v>100</v>
      </c>
      <c r="IQ19" s="2">
        <v>232054838.56825271</v>
      </c>
      <c r="IR19" s="1">
        <v>24</v>
      </c>
      <c r="IS19" s="2">
        <f t="shared" si="66"/>
        <v>0</v>
      </c>
      <c r="IT19" s="2">
        <f t="shared" si="67"/>
        <v>0</v>
      </c>
      <c r="IU19" s="2">
        <f>IE19*$IQ19/100</f>
        <v>193371296.97892499</v>
      </c>
      <c r="IV19" s="2">
        <f t="shared" si="69"/>
        <v>38683541.58932773</v>
      </c>
      <c r="IW19" s="2">
        <f t="shared" si="70"/>
        <v>0</v>
      </c>
      <c r="IX19" s="2">
        <f t="shared" si="71"/>
        <v>0</v>
      </c>
      <c r="IY19" s="2">
        <f t="shared" si="72"/>
        <v>0</v>
      </c>
      <c r="IZ19" s="2">
        <f t="shared" si="73"/>
        <v>0</v>
      </c>
      <c r="JA19" s="2">
        <f t="shared" si="74"/>
        <v>0</v>
      </c>
      <c r="JB19" s="2">
        <f t="shared" si="75"/>
        <v>0</v>
      </c>
      <c r="JC19" s="2">
        <f t="shared" si="76"/>
        <v>0</v>
      </c>
      <c r="JD19" s="2">
        <f t="shared" si="77"/>
        <v>0</v>
      </c>
    </row>
    <row r="20" spans="1:264">
      <c r="A20" s="1">
        <v>20</v>
      </c>
      <c r="B20" s="2"/>
      <c r="D20" s="1">
        <v>20</v>
      </c>
      <c r="E20" s="1119">
        <v>0</v>
      </c>
      <c r="F20" s="1119">
        <v>0</v>
      </c>
      <c r="G20" s="1119">
        <v>0</v>
      </c>
      <c r="H20" s="1119">
        <v>0</v>
      </c>
      <c r="I20" s="1119">
        <v>0</v>
      </c>
      <c r="J20" s="1119">
        <v>0</v>
      </c>
      <c r="K20" s="1119">
        <v>0</v>
      </c>
      <c r="L20" s="1119">
        <v>0</v>
      </c>
      <c r="M20" s="1119">
        <v>0</v>
      </c>
      <c r="N20" s="1119">
        <v>0</v>
      </c>
      <c r="O20" s="1119">
        <v>0</v>
      </c>
      <c r="Q20" s="1">
        <v>20</v>
      </c>
      <c r="R20" s="2">
        <f t="shared" si="78"/>
        <v>0</v>
      </c>
      <c r="S20" s="2">
        <f t="shared" si="35"/>
        <v>0</v>
      </c>
      <c r="T20" s="2">
        <f t="shared" si="35"/>
        <v>0</v>
      </c>
      <c r="U20" s="2">
        <f t="shared" si="35"/>
        <v>0</v>
      </c>
      <c r="V20" s="2">
        <f t="shared" si="35"/>
        <v>0</v>
      </c>
      <c r="W20" s="2">
        <f t="shared" si="35"/>
        <v>0</v>
      </c>
      <c r="X20" s="2">
        <f t="shared" si="35"/>
        <v>0</v>
      </c>
      <c r="Y20" s="2">
        <f t="shared" si="35"/>
        <v>0</v>
      </c>
      <c r="Z20" s="2">
        <f t="shared" si="35"/>
        <v>0</v>
      </c>
      <c r="AA20" s="2">
        <f t="shared" si="35"/>
        <v>0</v>
      </c>
      <c r="AB20" s="2">
        <f t="shared" si="35"/>
        <v>0</v>
      </c>
      <c r="AL20" s="2">
        <v>6306957.8694109814</v>
      </c>
      <c r="AN20" s="1">
        <v>20</v>
      </c>
      <c r="AP20" s="1">
        <v>100</v>
      </c>
      <c r="BG20" s="1">
        <v>20</v>
      </c>
      <c r="BH20" s="2">
        <f t="shared" ref="BH20:BH51" si="81">$AL20*AP20/100</f>
        <v>6306957.8694109805</v>
      </c>
      <c r="BI20" s="2">
        <f t="shared" ref="BI20:BI52" si="82">$AL20*AQ20/100</f>
        <v>0</v>
      </c>
      <c r="BJ20" s="2">
        <f t="shared" ref="BJ20:BJ52" si="83">$AL20*AR20/100</f>
        <v>0</v>
      </c>
      <c r="BK20" s="2">
        <f t="shared" ref="BK20:BK52" si="84">$AL20*AS20/100</f>
        <v>0</v>
      </c>
      <c r="BL20" s="2">
        <f t="shared" ref="BL20:BL52" si="85">$AL20*AT20/100</f>
        <v>0</v>
      </c>
      <c r="BM20" s="2">
        <f t="shared" ref="BM20:BM52" si="86">$AL20*AU20/100</f>
        <v>0</v>
      </c>
      <c r="BN20" s="2">
        <f t="shared" ref="BN20:BN52" si="87">$AL20*AV20/100</f>
        <v>0</v>
      </c>
      <c r="BO20" s="2">
        <f t="shared" ref="BO20:BO52" si="88">$AL20*AW20/100</f>
        <v>0</v>
      </c>
      <c r="BP20" s="2">
        <f t="shared" ref="BP20:BP52" si="89">$AL20*AX20/100</f>
        <v>0</v>
      </c>
      <c r="BQ20" s="2">
        <f t="shared" ref="BQ20:BQ52" si="90">$AL20*AY20/100</f>
        <v>0</v>
      </c>
      <c r="BR20" s="2">
        <f t="shared" ref="BR20:BR52" si="91">$AL20*AZ20/100</f>
        <v>0</v>
      </c>
      <c r="BS20" s="2">
        <f t="shared" ref="BS20:BS52" si="92">$AL20*BA20/100</f>
        <v>0</v>
      </c>
      <c r="BT20" s="2">
        <f t="shared" ref="BT20:BT52" si="93">$AL20*BB20/100</f>
        <v>0</v>
      </c>
      <c r="BU20" s="2">
        <f t="shared" ref="BU20:BU52" si="94">$AL20*BC20/100</f>
        <v>0</v>
      </c>
      <c r="BV20" s="2">
        <f t="shared" ref="BV20:BV52" si="95">$AL20*BD20/100</f>
        <v>0</v>
      </c>
      <c r="CD20" s="1" t="s">
        <v>571</v>
      </c>
      <c r="CF20" s="1">
        <v>33116437.251894929</v>
      </c>
      <c r="CG20" s="1">
        <f t="shared" ref="CG20:CG27" si="96">SUM(CE20:CF20)</f>
        <v>33116437.251894929</v>
      </c>
      <c r="CI20" s="1">
        <v>69098350.34749645</v>
      </c>
      <c r="CJ20" s="1">
        <v>26</v>
      </c>
      <c r="CK20" s="2"/>
      <c r="CL20" s="2"/>
      <c r="CM20" s="2">
        <v>5</v>
      </c>
      <c r="CN20" s="2">
        <v>75</v>
      </c>
      <c r="CO20" s="2">
        <v>20</v>
      </c>
      <c r="CZ20" s="1">
        <v>100</v>
      </c>
      <c r="DC20" s="1">
        <v>26</v>
      </c>
      <c r="DD20" s="2">
        <f t="shared" si="2"/>
        <v>0</v>
      </c>
      <c r="DE20" s="2">
        <f t="shared" si="3"/>
        <v>0</v>
      </c>
      <c r="DF20" s="2">
        <f t="shared" si="4"/>
        <v>3454917.5173748224</v>
      </c>
      <c r="DG20" s="2">
        <f t="shared" si="5"/>
        <v>51823762.760622337</v>
      </c>
      <c r="DH20" s="2">
        <f t="shared" si="6"/>
        <v>13819670.06949929</v>
      </c>
      <c r="DI20" s="2">
        <f t="shared" si="7"/>
        <v>0</v>
      </c>
      <c r="DJ20" s="2">
        <f t="shared" si="8"/>
        <v>0</v>
      </c>
      <c r="DK20" s="2">
        <f t="shared" si="9"/>
        <v>0</v>
      </c>
      <c r="DL20" s="2">
        <f t="shared" si="10"/>
        <v>0</v>
      </c>
      <c r="DM20" s="2">
        <f t="shared" si="11"/>
        <v>0</v>
      </c>
      <c r="DN20" s="2">
        <f t="shared" si="12"/>
        <v>0</v>
      </c>
      <c r="DO20" s="2">
        <f t="shared" si="13"/>
        <v>0</v>
      </c>
      <c r="DP20" s="2">
        <f t="shared" si="14"/>
        <v>0</v>
      </c>
      <c r="DQ20" s="2">
        <f t="shared" si="15"/>
        <v>0</v>
      </c>
      <c r="DR20" s="2">
        <f t="shared" si="16"/>
        <v>0</v>
      </c>
      <c r="DT20" s="1">
        <v>24</v>
      </c>
      <c r="DU20" s="1">
        <v>45621534.785808422</v>
      </c>
      <c r="DV20" s="1262"/>
      <c r="DW20" s="1262"/>
      <c r="DX20" s="1261">
        <v>53.658536585365852</v>
      </c>
      <c r="DY20" s="1261">
        <v>46.341463414634148</v>
      </c>
      <c r="DZ20" s="1261"/>
      <c r="EA20" s="1261"/>
      <c r="EB20" s="1261"/>
      <c r="EC20" s="1261"/>
      <c r="ED20" s="1261"/>
      <c r="EE20" s="1261"/>
      <c r="EF20" s="1261"/>
      <c r="EG20" s="1261"/>
      <c r="EH20" s="1261"/>
      <c r="EI20" s="1134"/>
      <c r="EJ20" s="1134"/>
      <c r="EM20" s="1">
        <v>24</v>
      </c>
      <c r="EN20" s="2">
        <f t="shared" si="17"/>
        <v>0</v>
      </c>
      <c r="EO20" s="2">
        <f t="shared" si="18"/>
        <v>0</v>
      </c>
      <c r="EP20" s="2">
        <f t="shared" si="19"/>
        <v>24479847.933848418</v>
      </c>
      <c r="EQ20" s="2">
        <f t="shared" si="20"/>
        <v>21141686.85196</v>
      </c>
      <c r="ER20" s="2">
        <f t="shared" si="21"/>
        <v>0</v>
      </c>
      <c r="ES20" s="2">
        <f t="shared" si="22"/>
        <v>0</v>
      </c>
      <c r="ET20" s="2">
        <f t="shared" si="23"/>
        <v>0</v>
      </c>
      <c r="EU20" s="2">
        <f t="shared" si="24"/>
        <v>0</v>
      </c>
      <c r="EV20" s="2">
        <f t="shared" si="25"/>
        <v>0</v>
      </c>
      <c r="EW20" s="2">
        <f t="shared" si="26"/>
        <v>0</v>
      </c>
      <c r="EX20" s="2">
        <f t="shared" si="27"/>
        <v>0</v>
      </c>
      <c r="EY20" s="2">
        <f t="shared" si="28"/>
        <v>0</v>
      </c>
      <c r="EZ20" s="2">
        <f t="shared" si="29"/>
        <v>0</v>
      </c>
      <c r="FA20" s="2">
        <f t="shared" si="30"/>
        <v>0</v>
      </c>
      <c r="FB20" s="2">
        <f t="shared" si="31"/>
        <v>0</v>
      </c>
      <c r="FE20" s="1260">
        <v>23</v>
      </c>
      <c r="FF20" s="1261"/>
      <c r="FG20" s="1252">
        <v>0</v>
      </c>
      <c r="FH20" s="1252">
        <v>84.615384615384613</v>
      </c>
      <c r="FI20" s="1252">
        <v>15.384615384615385</v>
      </c>
      <c r="FJ20" s="1261"/>
      <c r="FK20" s="1262"/>
      <c r="FL20" s="1262"/>
      <c r="FM20" s="1262"/>
      <c r="FN20" s="1262"/>
      <c r="FO20" s="1262"/>
      <c r="FP20" s="1262"/>
      <c r="FQ20" s="1263"/>
      <c r="FR20" s="1134"/>
      <c r="FS20" s="1254"/>
      <c r="FT20"/>
      <c r="FU20" s="1255">
        <v>100</v>
      </c>
      <c r="FV20" s="1452"/>
      <c r="FX20" s="2">
        <v>79683293.57968837</v>
      </c>
      <c r="FY20" s="1260">
        <v>23</v>
      </c>
      <c r="FZ20" s="2">
        <f t="shared" si="36"/>
        <v>0</v>
      </c>
      <c r="GA20" s="2">
        <f t="shared" si="37"/>
        <v>0</v>
      </c>
      <c r="GB20" s="2">
        <f t="shared" si="38"/>
        <v>67424325.336659387</v>
      </c>
      <c r="GC20" s="2">
        <f t="shared" si="39"/>
        <v>12258968.24302898</v>
      </c>
      <c r="GD20" s="2">
        <f t="shared" si="40"/>
        <v>0</v>
      </c>
      <c r="GE20" s="2">
        <f t="shared" si="41"/>
        <v>0</v>
      </c>
      <c r="GF20" s="2">
        <f t="shared" si="42"/>
        <v>0</v>
      </c>
      <c r="GG20" s="2">
        <f t="shared" si="43"/>
        <v>0</v>
      </c>
      <c r="GH20" s="2">
        <f t="shared" si="44"/>
        <v>0</v>
      </c>
      <c r="GI20" s="2">
        <f t="shared" si="45"/>
        <v>0</v>
      </c>
      <c r="GJ20" s="2">
        <f t="shared" si="46"/>
        <v>0</v>
      </c>
      <c r="GK20" s="2">
        <f t="shared" si="47"/>
        <v>0</v>
      </c>
      <c r="GL20" s="2">
        <f t="shared" si="48"/>
        <v>0</v>
      </c>
      <c r="GM20" s="2">
        <f t="shared" si="49"/>
        <v>0</v>
      </c>
      <c r="GN20" s="2">
        <f t="shared" si="50"/>
        <v>0</v>
      </c>
      <c r="GQ20" s="1260">
        <v>25</v>
      </c>
      <c r="GR20" s="1456"/>
      <c r="GS20" s="1456"/>
      <c r="GT20" s="1456">
        <v>10.81</v>
      </c>
      <c r="GU20" s="1456">
        <v>62.16</v>
      </c>
      <c r="GV20" s="1456">
        <v>27.03</v>
      </c>
      <c r="GW20" s="1456"/>
      <c r="GX20" s="1456"/>
      <c r="GY20" s="1456"/>
      <c r="GZ20" s="1456"/>
      <c r="HA20" s="1456"/>
      <c r="HB20" s="1456"/>
      <c r="HC20" s="1456"/>
      <c r="HD20" s="1456"/>
      <c r="HE20" s="1456"/>
      <c r="HF20" s="1134"/>
      <c r="HG20" s="1266">
        <f t="shared" si="79"/>
        <v>100</v>
      </c>
      <c r="HI20" s="2">
        <v>330511216.40693307</v>
      </c>
      <c r="HJ20" s="1823">
        <v>23</v>
      </c>
      <c r="HK20" s="2">
        <f t="shared" si="51"/>
        <v>0</v>
      </c>
      <c r="HL20" s="2">
        <f t="shared" si="52"/>
        <v>0</v>
      </c>
      <c r="HM20" s="2">
        <f t="shared" si="53"/>
        <v>35728262.493589468</v>
      </c>
      <c r="HN20" s="2">
        <f t="shared" si="54"/>
        <v>205445772.11854959</v>
      </c>
      <c r="HO20" s="2">
        <f t="shared" si="55"/>
        <v>89337181.794794008</v>
      </c>
      <c r="HP20" s="2">
        <f t="shared" si="56"/>
        <v>0</v>
      </c>
      <c r="HQ20" s="2">
        <f t="shared" si="57"/>
        <v>0</v>
      </c>
      <c r="HR20" s="2">
        <f t="shared" si="58"/>
        <v>0</v>
      </c>
      <c r="HS20" s="2">
        <f t="shared" si="59"/>
        <v>0</v>
      </c>
      <c r="HT20" s="2">
        <f t="shared" si="60"/>
        <v>0</v>
      </c>
      <c r="HU20" s="2">
        <f t="shared" si="61"/>
        <v>0</v>
      </c>
      <c r="HV20" s="2">
        <f t="shared" si="62"/>
        <v>0</v>
      </c>
      <c r="HW20" s="2">
        <f t="shared" si="63"/>
        <v>0</v>
      </c>
      <c r="HX20" s="2">
        <f t="shared" si="64"/>
        <v>0</v>
      </c>
      <c r="HY20" s="2">
        <f t="shared" si="65"/>
        <v>0</v>
      </c>
      <c r="IB20" s="1">
        <v>25</v>
      </c>
      <c r="IE20" s="1">
        <v>59.26</v>
      </c>
      <c r="IF20" s="1">
        <v>40.74</v>
      </c>
      <c r="IO20" s="1">
        <v>100</v>
      </c>
      <c r="IQ20" s="2">
        <v>253496717.602651</v>
      </c>
      <c r="IR20" s="1">
        <v>25</v>
      </c>
      <c r="IS20" s="2">
        <f t="shared" si="66"/>
        <v>0</v>
      </c>
      <c r="IT20" s="2">
        <f t="shared" si="67"/>
        <v>0</v>
      </c>
      <c r="IU20" s="2">
        <f t="shared" si="68"/>
        <v>150222154.851331</v>
      </c>
      <c r="IV20" s="2">
        <f t="shared" si="69"/>
        <v>103274562.75132002</v>
      </c>
      <c r="IW20" s="2">
        <f t="shared" si="70"/>
        <v>0</v>
      </c>
      <c r="IX20" s="2">
        <f t="shared" si="71"/>
        <v>0</v>
      </c>
      <c r="IY20" s="2">
        <f t="shared" si="72"/>
        <v>0</v>
      </c>
      <c r="IZ20" s="2">
        <f t="shared" si="73"/>
        <v>0</v>
      </c>
      <c r="JA20" s="2">
        <f t="shared" si="74"/>
        <v>0</v>
      </c>
      <c r="JB20" s="2">
        <f t="shared" si="75"/>
        <v>0</v>
      </c>
      <c r="JC20" s="2">
        <f t="shared" si="76"/>
        <v>0</v>
      </c>
      <c r="JD20" s="2">
        <f t="shared" si="77"/>
        <v>0</v>
      </c>
    </row>
    <row r="21" spans="1:264">
      <c r="A21" s="1">
        <v>21</v>
      </c>
      <c r="B21" s="2"/>
      <c r="D21" s="1">
        <v>21</v>
      </c>
      <c r="E21" s="1119">
        <v>0</v>
      </c>
      <c r="F21" s="1119">
        <v>0</v>
      </c>
      <c r="G21" s="1119">
        <v>0</v>
      </c>
      <c r="H21" s="1119">
        <v>0</v>
      </c>
      <c r="I21" s="1119">
        <v>0</v>
      </c>
      <c r="J21" s="1119">
        <v>0</v>
      </c>
      <c r="K21" s="1119">
        <v>0</v>
      </c>
      <c r="L21" s="1119">
        <v>0</v>
      </c>
      <c r="M21" s="1119">
        <v>0</v>
      </c>
      <c r="N21" s="1119">
        <v>0</v>
      </c>
      <c r="O21" s="1119">
        <v>0</v>
      </c>
      <c r="Q21" s="1">
        <v>21</v>
      </c>
      <c r="R21" s="2">
        <f t="shared" si="78"/>
        <v>0</v>
      </c>
      <c r="S21" s="2">
        <f t="shared" ref="S21:AB25" si="97">$B21/100*F21</f>
        <v>0</v>
      </c>
      <c r="T21" s="2">
        <f t="shared" si="97"/>
        <v>0</v>
      </c>
      <c r="U21" s="2">
        <f t="shared" si="97"/>
        <v>0</v>
      </c>
      <c r="V21" s="2">
        <f t="shared" si="97"/>
        <v>0</v>
      </c>
      <c r="W21" s="2">
        <f t="shared" si="97"/>
        <v>0</v>
      </c>
      <c r="X21" s="2">
        <f t="shared" si="97"/>
        <v>0</v>
      </c>
      <c r="Y21" s="2">
        <f t="shared" si="97"/>
        <v>0</v>
      </c>
      <c r="Z21" s="2">
        <f t="shared" si="97"/>
        <v>0</v>
      </c>
      <c r="AA21" s="2">
        <f t="shared" si="97"/>
        <v>0</v>
      </c>
      <c r="AB21" s="2">
        <f t="shared" si="97"/>
        <v>0</v>
      </c>
      <c r="AL21" s="2">
        <v>22718093.137653314</v>
      </c>
      <c r="AN21" s="1">
        <v>21</v>
      </c>
      <c r="AP21" s="1">
        <v>66.67</v>
      </c>
      <c r="AQ21" s="1">
        <v>33.33</v>
      </c>
      <c r="BG21" s="1">
        <v>21</v>
      </c>
      <c r="BH21" s="2">
        <f t="shared" si="81"/>
        <v>15146152.694873463</v>
      </c>
      <c r="BI21" s="2">
        <f t="shared" si="82"/>
        <v>7571940.4427798484</v>
      </c>
      <c r="BJ21" s="2">
        <f t="shared" si="83"/>
        <v>0</v>
      </c>
      <c r="BK21" s="2">
        <f t="shared" si="84"/>
        <v>0</v>
      </c>
      <c r="BL21" s="2">
        <f t="shared" si="85"/>
        <v>0</v>
      </c>
      <c r="BM21" s="2">
        <f t="shared" si="86"/>
        <v>0</v>
      </c>
      <c r="BN21" s="2">
        <f t="shared" si="87"/>
        <v>0</v>
      </c>
      <c r="BO21" s="2">
        <f t="shared" si="88"/>
        <v>0</v>
      </c>
      <c r="BP21" s="2">
        <f t="shared" si="89"/>
        <v>0</v>
      </c>
      <c r="BQ21" s="2">
        <f t="shared" si="90"/>
        <v>0</v>
      </c>
      <c r="BR21" s="2">
        <f t="shared" si="91"/>
        <v>0</v>
      </c>
      <c r="BS21" s="2">
        <f t="shared" si="92"/>
        <v>0</v>
      </c>
      <c r="BT21" s="2">
        <f t="shared" si="93"/>
        <v>0</v>
      </c>
      <c r="BU21" s="2">
        <f t="shared" si="94"/>
        <v>0</v>
      </c>
      <c r="BV21" s="2">
        <f t="shared" si="95"/>
        <v>0</v>
      </c>
      <c r="CD21" s="1" t="s">
        <v>572</v>
      </c>
      <c r="CF21" s="1">
        <v>72405492.244108617</v>
      </c>
      <c r="CG21" s="1">
        <f t="shared" si="96"/>
        <v>72405492.244108617</v>
      </c>
      <c r="CI21" s="1">
        <v>83645655.993339211</v>
      </c>
      <c r="CJ21" s="1">
        <v>27</v>
      </c>
      <c r="CK21" s="2"/>
      <c r="CL21" s="2"/>
      <c r="CM21" s="2"/>
      <c r="CN21" s="2">
        <v>55.813953488372093</v>
      </c>
      <c r="CO21" s="2">
        <v>39.534883720930232</v>
      </c>
      <c r="CP21" s="2">
        <v>4.6511627906976747</v>
      </c>
      <c r="CQ21" s="2"/>
      <c r="CZ21" s="1">
        <v>100</v>
      </c>
      <c r="DC21" s="1">
        <v>27</v>
      </c>
      <c r="DD21" s="2">
        <f t="shared" si="2"/>
        <v>0</v>
      </c>
      <c r="DE21" s="2">
        <f t="shared" si="3"/>
        <v>0</v>
      </c>
      <c r="DF21" s="2">
        <f t="shared" si="4"/>
        <v>0</v>
      </c>
      <c r="DG21" s="2">
        <f t="shared" si="5"/>
        <v>46685947.531166069</v>
      </c>
      <c r="DH21" s="2">
        <f t="shared" si="6"/>
        <v>33069212.834575966</v>
      </c>
      <c r="DI21" s="2">
        <f t="shared" si="7"/>
        <v>3890495.6275971727</v>
      </c>
      <c r="DJ21" s="2">
        <f t="shared" si="8"/>
        <v>0</v>
      </c>
      <c r="DK21" s="2">
        <f t="shared" si="9"/>
        <v>0</v>
      </c>
      <c r="DL21" s="2">
        <f t="shared" si="10"/>
        <v>0</v>
      </c>
      <c r="DM21" s="2">
        <f t="shared" si="11"/>
        <v>0</v>
      </c>
      <c r="DN21" s="2">
        <f t="shared" si="12"/>
        <v>0</v>
      </c>
      <c r="DO21" s="2">
        <f t="shared" si="13"/>
        <v>0</v>
      </c>
      <c r="DP21" s="2">
        <f t="shared" si="14"/>
        <v>0</v>
      </c>
      <c r="DQ21" s="2">
        <f t="shared" si="15"/>
        <v>0</v>
      </c>
      <c r="DR21" s="2">
        <f t="shared" si="16"/>
        <v>0</v>
      </c>
      <c r="DT21" s="1">
        <v>25</v>
      </c>
      <c r="DU21" s="1">
        <v>43568236.493075244</v>
      </c>
      <c r="DV21" s="1262"/>
      <c r="DW21" s="1262"/>
      <c r="DX21" s="1261">
        <v>45.945945945945944</v>
      </c>
      <c r="DY21" s="1261">
        <v>45.945945945945944</v>
      </c>
      <c r="DZ21" s="1261">
        <v>8.1081081081081088</v>
      </c>
      <c r="EA21" s="1261"/>
      <c r="EB21" s="1261"/>
      <c r="EC21" s="1261"/>
      <c r="ED21" s="1261"/>
      <c r="EE21" s="1261"/>
      <c r="EF21" s="1261"/>
      <c r="EG21" s="1261"/>
      <c r="EH21" s="1261"/>
      <c r="EI21" s="1134"/>
      <c r="EJ21" s="1134"/>
      <c r="EM21" s="1">
        <v>25</v>
      </c>
      <c r="EN21" s="2">
        <f t="shared" si="17"/>
        <v>0</v>
      </c>
      <c r="EO21" s="2">
        <f t="shared" si="18"/>
        <v>0</v>
      </c>
      <c r="EP21" s="2">
        <f t="shared" si="19"/>
        <v>20017838.388710245</v>
      </c>
      <c r="EQ21" s="2">
        <f t="shared" si="20"/>
        <v>20017838.388710245</v>
      </c>
      <c r="ER21" s="2">
        <f t="shared" si="21"/>
        <v>3532559.7156547499</v>
      </c>
      <c r="ES21" s="2">
        <f t="shared" si="22"/>
        <v>0</v>
      </c>
      <c r="ET21" s="2">
        <f t="shared" si="23"/>
        <v>0</v>
      </c>
      <c r="EU21" s="2">
        <f t="shared" si="24"/>
        <v>0</v>
      </c>
      <c r="EV21" s="2">
        <f t="shared" si="25"/>
        <v>0</v>
      </c>
      <c r="EW21" s="2">
        <f t="shared" si="26"/>
        <v>0</v>
      </c>
      <c r="EX21" s="2">
        <f t="shared" si="27"/>
        <v>0</v>
      </c>
      <c r="EY21" s="2">
        <f t="shared" si="28"/>
        <v>0</v>
      </c>
      <c r="EZ21" s="2">
        <f t="shared" si="29"/>
        <v>0</v>
      </c>
      <c r="FA21" s="2">
        <f t="shared" si="30"/>
        <v>0</v>
      </c>
      <c r="FB21" s="2">
        <f t="shared" si="31"/>
        <v>0</v>
      </c>
      <c r="FE21" s="1260">
        <v>24</v>
      </c>
      <c r="FF21" s="1261"/>
      <c r="FG21" s="1261"/>
      <c r="FH21" s="1252">
        <v>79.166666666666671</v>
      </c>
      <c r="FI21" s="1252">
        <v>20.833333333333332</v>
      </c>
      <c r="FJ21" s="1261"/>
      <c r="FK21" s="1262"/>
      <c r="FL21" s="1262"/>
      <c r="FM21" s="1262"/>
      <c r="FN21" s="1262"/>
      <c r="FO21" s="1262"/>
      <c r="FP21" s="1262"/>
      <c r="FQ21" s="1263"/>
      <c r="FR21" s="1134"/>
      <c r="FS21" s="1134"/>
      <c r="FT21" s="1257"/>
      <c r="FU21" s="1258">
        <v>100</v>
      </c>
      <c r="FV21" s="1452"/>
      <c r="FX21" s="2">
        <v>67781674.166471988</v>
      </c>
      <c r="FY21" s="1260">
        <v>24</v>
      </c>
      <c r="FZ21" s="2">
        <f t="shared" si="36"/>
        <v>0</v>
      </c>
      <c r="GA21" s="2">
        <f t="shared" si="37"/>
        <v>0</v>
      </c>
      <c r="GB21" s="2">
        <f t="shared" si="38"/>
        <v>53660492.048456997</v>
      </c>
      <c r="GC21" s="2">
        <f t="shared" si="39"/>
        <v>14121182.118014997</v>
      </c>
      <c r="GD21" s="2">
        <f t="shared" si="40"/>
        <v>0</v>
      </c>
      <c r="GE21" s="2">
        <f t="shared" si="41"/>
        <v>0</v>
      </c>
      <c r="GF21" s="2">
        <f t="shared" si="42"/>
        <v>0</v>
      </c>
      <c r="GG21" s="2">
        <f t="shared" si="43"/>
        <v>0</v>
      </c>
      <c r="GH21" s="2">
        <f t="shared" si="44"/>
        <v>0</v>
      </c>
      <c r="GI21" s="2">
        <f t="shared" si="45"/>
        <v>0</v>
      </c>
      <c r="GJ21" s="2">
        <f t="shared" si="46"/>
        <v>0</v>
      </c>
      <c r="GK21" s="2">
        <f t="shared" si="47"/>
        <v>0</v>
      </c>
      <c r="GL21" s="2">
        <f t="shared" si="48"/>
        <v>0</v>
      </c>
      <c r="GM21" s="2">
        <f t="shared" si="49"/>
        <v>0</v>
      </c>
      <c r="GN21" s="2">
        <f t="shared" si="50"/>
        <v>0</v>
      </c>
      <c r="GQ21" s="1260">
        <v>26</v>
      </c>
      <c r="GR21" s="1456"/>
      <c r="GS21" s="1456"/>
      <c r="GT21" s="1456"/>
      <c r="GU21" s="1456">
        <v>67.650000000000006</v>
      </c>
      <c r="GV21" s="1456">
        <v>32.35</v>
      </c>
      <c r="GW21" s="1456"/>
      <c r="GX21" s="1456"/>
      <c r="GY21" s="1456"/>
      <c r="GZ21" s="1456"/>
      <c r="HA21" s="1456"/>
      <c r="HB21" s="1456"/>
      <c r="HC21" s="1456"/>
      <c r="HD21" s="1456"/>
      <c r="HE21" s="1456"/>
      <c r="HF21" s="1134"/>
      <c r="HG21" s="1266">
        <f t="shared" si="79"/>
        <v>100</v>
      </c>
      <c r="HI21" s="2">
        <v>237190920.68560654</v>
      </c>
      <c r="HJ21" s="1823">
        <v>24</v>
      </c>
      <c r="HK21" s="2">
        <f t="shared" si="51"/>
        <v>0</v>
      </c>
      <c r="HL21" s="2">
        <f t="shared" si="52"/>
        <v>0</v>
      </c>
      <c r="HM21" s="2">
        <f t="shared" si="53"/>
        <v>0</v>
      </c>
      <c r="HN21" s="2">
        <f t="shared" si="54"/>
        <v>160459657.84381282</v>
      </c>
      <c r="HO21" s="2">
        <f t="shared" si="55"/>
        <v>76731262.841793716</v>
      </c>
      <c r="HP21" s="2">
        <f t="shared" si="56"/>
        <v>0</v>
      </c>
      <c r="HQ21" s="2">
        <f t="shared" si="57"/>
        <v>0</v>
      </c>
      <c r="HR21" s="2">
        <f t="shared" si="58"/>
        <v>0</v>
      </c>
      <c r="HS21" s="2">
        <f t="shared" si="59"/>
        <v>0</v>
      </c>
      <c r="HT21" s="2">
        <f t="shared" si="60"/>
        <v>0</v>
      </c>
      <c r="HU21" s="2">
        <f t="shared" si="61"/>
        <v>0</v>
      </c>
      <c r="HV21" s="2">
        <f t="shared" si="62"/>
        <v>0</v>
      </c>
      <c r="HW21" s="2">
        <f t="shared" si="63"/>
        <v>0</v>
      </c>
      <c r="HX21" s="2">
        <f t="shared" si="64"/>
        <v>0</v>
      </c>
      <c r="HY21" s="2">
        <f t="shared" si="65"/>
        <v>0</v>
      </c>
      <c r="IB21" s="1">
        <v>26</v>
      </c>
      <c r="IE21" s="1">
        <v>41.18</v>
      </c>
      <c r="IF21" s="1">
        <v>58.82</v>
      </c>
      <c r="IO21" s="1">
        <v>100</v>
      </c>
      <c r="IQ21" s="2">
        <v>224065452.1456086</v>
      </c>
      <c r="IR21" s="1">
        <v>26</v>
      </c>
      <c r="IS21" s="2">
        <f t="shared" si="66"/>
        <v>0</v>
      </c>
      <c r="IT21" s="2">
        <f t="shared" si="67"/>
        <v>0</v>
      </c>
      <c r="IU21" s="2">
        <f t="shared" si="68"/>
        <v>92270153.193561628</v>
      </c>
      <c r="IV21" s="2">
        <f t="shared" si="69"/>
        <v>131795298.95204699</v>
      </c>
      <c r="IW21" s="2">
        <f t="shared" si="70"/>
        <v>0</v>
      </c>
      <c r="IX21" s="2">
        <f t="shared" si="71"/>
        <v>0</v>
      </c>
      <c r="IY21" s="2">
        <f t="shared" si="72"/>
        <v>0</v>
      </c>
      <c r="IZ21" s="2">
        <f t="shared" si="73"/>
        <v>0</v>
      </c>
      <c r="JA21" s="2">
        <f t="shared" si="74"/>
        <v>0</v>
      </c>
      <c r="JB21" s="2">
        <f t="shared" si="75"/>
        <v>0</v>
      </c>
      <c r="JC21" s="2">
        <f t="shared" si="76"/>
        <v>0</v>
      </c>
      <c r="JD21" s="2">
        <f t="shared" si="77"/>
        <v>0</v>
      </c>
    </row>
    <row r="22" spans="1:264">
      <c r="A22" s="1">
        <v>22</v>
      </c>
      <c r="B22" s="2"/>
      <c r="D22" s="1">
        <v>22</v>
      </c>
      <c r="E22" s="1119">
        <v>0</v>
      </c>
      <c r="F22" s="1119">
        <v>0</v>
      </c>
      <c r="G22" s="1119">
        <v>0</v>
      </c>
      <c r="H22" s="1119">
        <v>0</v>
      </c>
      <c r="I22" s="1119">
        <v>0</v>
      </c>
      <c r="J22" s="1119">
        <v>0</v>
      </c>
      <c r="K22" s="1119">
        <v>0</v>
      </c>
      <c r="L22" s="1119">
        <v>0</v>
      </c>
      <c r="M22" s="1119">
        <v>0</v>
      </c>
      <c r="N22" s="1119">
        <v>0</v>
      </c>
      <c r="O22" s="1119">
        <v>0</v>
      </c>
      <c r="Q22" s="1">
        <v>22</v>
      </c>
      <c r="R22" s="2">
        <f t="shared" si="78"/>
        <v>0</v>
      </c>
      <c r="S22" s="2">
        <f t="shared" si="97"/>
        <v>0</v>
      </c>
      <c r="T22" s="2">
        <f t="shared" si="97"/>
        <v>0</v>
      </c>
      <c r="U22" s="2">
        <f t="shared" si="97"/>
        <v>0</v>
      </c>
      <c r="V22" s="2">
        <f t="shared" si="97"/>
        <v>0</v>
      </c>
      <c r="W22" s="2">
        <f t="shared" si="97"/>
        <v>0</v>
      </c>
      <c r="X22" s="2">
        <f t="shared" si="97"/>
        <v>0</v>
      </c>
      <c r="Y22" s="2">
        <f t="shared" si="97"/>
        <v>0</v>
      </c>
      <c r="Z22" s="2">
        <f t="shared" si="97"/>
        <v>0</v>
      </c>
      <c r="AA22" s="2">
        <f t="shared" si="97"/>
        <v>0</v>
      </c>
      <c r="AB22" s="2">
        <f t="shared" si="97"/>
        <v>0</v>
      </c>
      <c r="AL22" s="2">
        <v>28787228.143675599</v>
      </c>
      <c r="AN22" s="1">
        <v>22</v>
      </c>
      <c r="AP22" s="1">
        <v>20</v>
      </c>
      <c r="AQ22" s="1">
        <v>80</v>
      </c>
      <c r="BG22" s="1">
        <v>22</v>
      </c>
      <c r="BH22" s="2">
        <f t="shared" si="81"/>
        <v>5757445.6287351204</v>
      </c>
      <c r="BI22" s="2">
        <f t="shared" si="82"/>
        <v>23029782.514940482</v>
      </c>
      <c r="BJ22" s="2">
        <f t="shared" si="83"/>
        <v>0</v>
      </c>
      <c r="BK22" s="2">
        <f t="shared" si="84"/>
        <v>0</v>
      </c>
      <c r="BL22" s="2">
        <f t="shared" si="85"/>
        <v>0</v>
      </c>
      <c r="BM22" s="2">
        <f t="shared" si="86"/>
        <v>0</v>
      </c>
      <c r="BN22" s="2">
        <f t="shared" si="87"/>
        <v>0</v>
      </c>
      <c r="BO22" s="2">
        <f t="shared" si="88"/>
        <v>0</v>
      </c>
      <c r="BP22" s="2">
        <f t="shared" si="89"/>
        <v>0</v>
      </c>
      <c r="BQ22" s="2">
        <f t="shared" si="90"/>
        <v>0</v>
      </c>
      <c r="BR22" s="2">
        <f t="shared" si="91"/>
        <v>0</v>
      </c>
      <c r="BS22" s="2">
        <f t="shared" si="92"/>
        <v>0</v>
      </c>
      <c r="BT22" s="2">
        <f t="shared" si="93"/>
        <v>0</v>
      </c>
      <c r="BU22" s="2">
        <f t="shared" si="94"/>
        <v>0</v>
      </c>
      <c r="BV22" s="2">
        <f t="shared" si="95"/>
        <v>0</v>
      </c>
      <c r="CD22" s="1" t="s">
        <v>573</v>
      </c>
      <c r="CE22" s="2">
        <v>305283.24958997744</v>
      </c>
      <c r="CF22" s="1">
        <v>87354645.955422133</v>
      </c>
      <c r="CG22" s="1">
        <f t="shared" si="96"/>
        <v>87659929.205012113</v>
      </c>
      <c r="CI22" s="1">
        <v>83044810.220606774</v>
      </c>
      <c r="CJ22" s="1">
        <v>28</v>
      </c>
      <c r="CK22" s="2"/>
      <c r="CL22" s="2"/>
      <c r="CM22" s="2"/>
      <c r="CN22" s="2">
        <v>41.025641025641029</v>
      </c>
      <c r="CO22" s="2">
        <v>46.153846153846153</v>
      </c>
      <c r="CP22" s="2">
        <v>12.820512820512821</v>
      </c>
      <c r="CQ22" s="2"/>
      <c r="CZ22" s="1">
        <v>100</v>
      </c>
      <c r="DC22" s="1">
        <v>28</v>
      </c>
      <c r="DD22" s="2">
        <f t="shared" si="2"/>
        <v>0</v>
      </c>
      <c r="DE22" s="2">
        <f t="shared" si="3"/>
        <v>0</v>
      </c>
      <c r="DF22" s="2">
        <f t="shared" si="4"/>
        <v>0</v>
      </c>
      <c r="DG22" s="2">
        <f t="shared" si="5"/>
        <v>34069665.731530987</v>
      </c>
      <c r="DH22" s="2">
        <f t="shared" si="6"/>
        <v>38328373.947972357</v>
      </c>
      <c r="DI22" s="2">
        <f t="shared" si="7"/>
        <v>10646770.541103434</v>
      </c>
      <c r="DJ22" s="2">
        <f t="shared" si="8"/>
        <v>0</v>
      </c>
      <c r="DK22" s="2">
        <f t="shared" si="9"/>
        <v>0</v>
      </c>
      <c r="DL22" s="2">
        <f t="shared" si="10"/>
        <v>0</v>
      </c>
      <c r="DM22" s="2">
        <f t="shared" si="11"/>
        <v>0</v>
      </c>
      <c r="DN22" s="2">
        <f t="shared" si="12"/>
        <v>0</v>
      </c>
      <c r="DO22" s="2">
        <f t="shared" si="13"/>
        <v>0</v>
      </c>
      <c r="DP22" s="2">
        <f t="shared" si="14"/>
        <v>0</v>
      </c>
      <c r="DQ22" s="2">
        <f t="shared" si="15"/>
        <v>0</v>
      </c>
      <c r="DR22" s="2">
        <f t="shared" si="16"/>
        <v>0</v>
      </c>
      <c r="DT22" s="1">
        <v>26</v>
      </c>
      <c r="DU22" s="1">
        <v>37079117.782732353</v>
      </c>
      <c r="DV22" s="1262"/>
      <c r="DW22" s="1262"/>
      <c r="DX22" s="1261">
        <v>10</v>
      </c>
      <c r="DY22" s="1261">
        <v>60</v>
      </c>
      <c r="DZ22" s="1261">
        <v>30</v>
      </c>
      <c r="EA22" s="1261"/>
      <c r="EB22" s="1261"/>
      <c r="EC22" s="1261"/>
      <c r="ED22" s="1261"/>
      <c r="EE22" s="1261"/>
      <c r="EF22" s="1261"/>
      <c r="EG22" s="1261"/>
      <c r="EH22" s="1261"/>
      <c r="EI22" s="1134"/>
      <c r="EJ22" s="1134"/>
      <c r="EM22" s="1">
        <v>26</v>
      </c>
      <c r="EN22" s="2">
        <f t="shared" si="17"/>
        <v>0</v>
      </c>
      <c r="EO22" s="2">
        <f t="shared" si="18"/>
        <v>0</v>
      </c>
      <c r="EP22" s="2">
        <f t="shared" si="19"/>
        <v>3707911.7782732355</v>
      </c>
      <c r="EQ22" s="2">
        <f t="shared" si="20"/>
        <v>22247470.669639412</v>
      </c>
      <c r="ER22" s="2">
        <f t="shared" si="21"/>
        <v>11123735.334819706</v>
      </c>
      <c r="ES22" s="2">
        <f t="shared" si="22"/>
        <v>0</v>
      </c>
      <c r="ET22" s="2">
        <f t="shared" si="23"/>
        <v>0</v>
      </c>
      <c r="EU22" s="2">
        <f t="shared" si="24"/>
        <v>0</v>
      </c>
      <c r="EV22" s="2">
        <f t="shared" si="25"/>
        <v>0</v>
      </c>
      <c r="EW22" s="2">
        <f t="shared" si="26"/>
        <v>0</v>
      </c>
      <c r="EX22" s="2">
        <f t="shared" si="27"/>
        <v>0</v>
      </c>
      <c r="EY22" s="2">
        <f t="shared" si="28"/>
        <v>0</v>
      </c>
      <c r="EZ22" s="2">
        <f t="shared" si="29"/>
        <v>0</v>
      </c>
      <c r="FA22" s="2">
        <f t="shared" si="30"/>
        <v>0</v>
      </c>
      <c r="FB22" s="2">
        <f t="shared" si="31"/>
        <v>0</v>
      </c>
      <c r="FE22" s="1260">
        <v>25</v>
      </c>
      <c r="FF22" s="1261"/>
      <c r="FG22" s="1261"/>
      <c r="FH22" s="1252">
        <v>48</v>
      </c>
      <c r="FI22" s="1252">
        <v>52</v>
      </c>
      <c r="FJ22" s="1252">
        <v>0</v>
      </c>
      <c r="FK22" s="1262"/>
      <c r="FL22" s="1262"/>
      <c r="FM22" s="1262"/>
      <c r="FN22" s="1262"/>
      <c r="FO22" s="1262"/>
      <c r="FP22" s="1262"/>
      <c r="FQ22" s="1263"/>
      <c r="FR22" s="1134"/>
      <c r="FS22" s="1254"/>
      <c r="FT22"/>
      <c r="FU22" s="1255">
        <v>100</v>
      </c>
      <c r="FV22" s="1452"/>
      <c r="FX22" s="2">
        <v>55830301.122922197</v>
      </c>
      <c r="FY22" s="1260">
        <v>25</v>
      </c>
      <c r="FZ22" s="2">
        <f t="shared" si="36"/>
        <v>0</v>
      </c>
      <c r="GA22" s="2">
        <f t="shared" si="37"/>
        <v>0</v>
      </c>
      <c r="GB22" s="2">
        <f t="shared" si="38"/>
        <v>26798544.539002657</v>
      </c>
      <c r="GC22" s="2">
        <f t="shared" si="39"/>
        <v>29031756.583919544</v>
      </c>
      <c r="GD22" s="2">
        <f t="shared" si="40"/>
        <v>0</v>
      </c>
      <c r="GE22" s="2">
        <f t="shared" si="41"/>
        <v>0</v>
      </c>
      <c r="GF22" s="2">
        <f t="shared" si="42"/>
        <v>0</v>
      </c>
      <c r="GG22" s="2">
        <f t="shared" si="43"/>
        <v>0</v>
      </c>
      <c r="GH22" s="2">
        <f t="shared" si="44"/>
        <v>0</v>
      </c>
      <c r="GI22" s="2">
        <f t="shared" si="45"/>
        <v>0</v>
      </c>
      <c r="GJ22" s="2">
        <f t="shared" si="46"/>
        <v>0</v>
      </c>
      <c r="GK22" s="2">
        <f t="shared" si="47"/>
        <v>0</v>
      </c>
      <c r="GL22" s="2">
        <f t="shared" si="48"/>
        <v>0</v>
      </c>
      <c r="GM22" s="2">
        <f t="shared" si="49"/>
        <v>0</v>
      </c>
      <c r="GN22" s="2">
        <f t="shared" si="50"/>
        <v>0</v>
      </c>
      <c r="GQ22" s="1260">
        <v>27</v>
      </c>
      <c r="GR22" s="1456"/>
      <c r="GS22" s="1456"/>
      <c r="GT22" s="1456"/>
      <c r="GU22" s="1456">
        <v>34.29</v>
      </c>
      <c r="GV22" s="1456">
        <v>62.85</v>
      </c>
      <c r="GW22" s="1456">
        <v>2.86</v>
      </c>
      <c r="GX22" s="1456"/>
      <c r="GY22" s="1456"/>
      <c r="GZ22" s="1456"/>
      <c r="HA22" s="1456"/>
      <c r="HB22" s="1456"/>
      <c r="HC22" s="1456"/>
      <c r="HD22" s="1456"/>
      <c r="HE22" s="1456"/>
      <c r="HF22" s="1134"/>
      <c r="HG22" s="1266">
        <f t="shared" si="79"/>
        <v>100</v>
      </c>
      <c r="HI22" s="2">
        <v>203239643.76118708</v>
      </c>
      <c r="HJ22" s="1824">
        <v>25</v>
      </c>
      <c r="HK22" s="2">
        <f t="shared" si="51"/>
        <v>0</v>
      </c>
      <c r="HL22" s="2">
        <f t="shared" si="52"/>
        <v>0</v>
      </c>
      <c r="HM22" s="2">
        <f t="shared" si="53"/>
        <v>0</v>
      </c>
      <c r="HN22" s="2">
        <f t="shared" si="54"/>
        <v>69690873.845711052</v>
      </c>
      <c r="HO22" s="2">
        <f t="shared" si="55"/>
        <v>127736116.10390608</v>
      </c>
      <c r="HP22" s="2">
        <f t="shared" si="56"/>
        <v>5812653.8115699505</v>
      </c>
      <c r="HQ22" s="2">
        <f t="shared" si="57"/>
        <v>0</v>
      </c>
      <c r="HR22" s="2">
        <f t="shared" si="58"/>
        <v>0</v>
      </c>
      <c r="HS22" s="2">
        <f t="shared" si="59"/>
        <v>0</v>
      </c>
      <c r="HT22" s="2">
        <f t="shared" si="60"/>
        <v>0</v>
      </c>
      <c r="HU22" s="2">
        <f t="shared" si="61"/>
        <v>0</v>
      </c>
      <c r="HV22" s="2">
        <f t="shared" si="62"/>
        <v>0</v>
      </c>
      <c r="HW22" s="2">
        <f t="shared" si="63"/>
        <v>0</v>
      </c>
      <c r="HX22" s="2">
        <f t="shared" si="64"/>
        <v>0</v>
      </c>
      <c r="HY22" s="2">
        <f t="shared" si="65"/>
        <v>0</v>
      </c>
      <c r="IB22" s="1">
        <v>27</v>
      </c>
      <c r="IE22" s="1">
        <v>5.88</v>
      </c>
      <c r="IF22" s="1">
        <v>82.36</v>
      </c>
      <c r="IG22" s="1">
        <v>11.76</v>
      </c>
      <c r="IO22" s="1">
        <v>100</v>
      </c>
      <c r="IQ22" s="2">
        <v>234128848.75663</v>
      </c>
      <c r="IR22" s="1">
        <v>27</v>
      </c>
      <c r="IS22" s="2">
        <f t="shared" si="66"/>
        <v>0</v>
      </c>
      <c r="IT22" s="2">
        <f t="shared" si="67"/>
        <v>0</v>
      </c>
      <c r="IU22" s="2">
        <f t="shared" si="68"/>
        <v>13766776.306889843</v>
      </c>
      <c r="IV22" s="2">
        <f t="shared" si="69"/>
        <v>192828519.83596048</v>
      </c>
      <c r="IW22" s="2">
        <f t="shared" si="70"/>
        <v>27533552.613779686</v>
      </c>
      <c r="IX22" s="2">
        <f t="shared" si="71"/>
        <v>0</v>
      </c>
      <c r="IY22" s="2">
        <f t="shared" si="72"/>
        <v>0</v>
      </c>
      <c r="IZ22" s="2">
        <f t="shared" si="73"/>
        <v>0</v>
      </c>
      <c r="JA22" s="2">
        <f t="shared" si="74"/>
        <v>0</v>
      </c>
      <c r="JB22" s="2">
        <f t="shared" si="75"/>
        <v>0</v>
      </c>
      <c r="JC22" s="2">
        <f t="shared" si="76"/>
        <v>0</v>
      </c>
      <c r="JD22" s="2">
        <f t="shared" si="77"/>
        <v>0</v>
      </c>
    </row>
    <row r="23" spans="1:264">
      <c r="A23" s="1">
        <v>23</v>
      </c>
      <c r="B23" s="2"/>
      <c r="D23" s="1">
        <v>23</v>
      </c>
      <c r="E23" s="1119">
        <v>0</v>
      </c>
      <c r="F23" s="1119">
        <v>0</v>
      </c>
      <c r="G23" s="1119">
        <v>0</v>
      </c>
      <c r="H23" s="1119">
        <v>0</v>
      </c>
      <c r="I23" s="1119">
        <v>0</v>
      </c>
      <c r="J23" s="1119">
        <v>0</v>
      </c>
      <c r="K23" s="1119">
        <v>0</v>
      </c>
      <c r="L23" s="1119">
        <v>0</v>
      </c>
      <c r="M23" s="1119">
        <v>0</v>
      </c>
      <c r="N23" s="1119">
        <v>0</v>
      </c>
      <c r="O23" s="1119">
        <v>0</v>
      </c>
      <c r="Q23" s="1">
        <v>23</v>
      </c>
      <c r="R23" s="2">
        <f t="shared" si="78"/>
        <v>0</v>
      </c>
      <c r="S23" s="2">
        <f t="shared" si="97"/>
        <v>0</v>
      </c>
      <c r="T23" s="2">
        <f t="shared" si="97"/>
        <v>0</v>
      </c>
      <c r="U23" s="2">
        <f t="shared" si="97"/>
        <v>0</v>
      </c>
      <c r="V23" s="2">
        <f t="shared" si="97"/>
        <v>0</v>
      </c>
      <c r="W23" s="2">
        <f t="shared" si="97"/>
        <v>0</v>
      </c>
      <c r="X23" s="2">
        <f t="shared" si="97"/>
        <v>0</v>
      </c>
      <c r="Y23" s="2">
        <f t="shared" si="97"/>
        <v>0</v>
      </c>
      <c r="Z23" s="2">
        <f t="shared" si="97"/>
        <v>0</v>
      </c>
      <c r="AA23" s="2">
        <f t="shared" si="97"/>
        <v>0</v>
      </c>
      <c r="AB23" s="2">
        <f t="shared" si="97"/>
        <v>0</v>
      </c>
      <c r="AL23" s="2">
        <v>16482829.906844679</v>
      </c>
      <c r="AN23" s="1">
        <v>23</v>
      </c>
      <c r="AP23" s="1">
        <v>33.33</v>
      </c>
      <c r="AQ23" s="1">
        <v>66.67</v>
      </c>
      <c r="BG23" s="1">
        <v>23</v>
      </c>
      <c r="BH23" s="2">
        <f t="shared" si="81"/>
        <v>5493727.2079513315</v>
      </c>
      <c r="BI23" s="2">
        <f t="shared" si="82"/>
        <v>10989102.698893346</v>
      </c>
      <c r="BJ23" s="2">
        <f t="shared" si="83"/>
        <v>0</v>
      </c>
      <c r="BK23" s="2">
        <f t="shared" si="84"/>
        <v>0</v>
      </c>
      <c r="BL23" s="2">
        <f t="shared" si="85"/>
        <v>0</v>
      </c>
      <c r="BM23" s="2">
        <f t="shared" si="86"/>
        <v>0</v>
      </c>
      <c r="BN23" s="2">
        <f t="shared" si="87"/>
        <v>0</v>
      </c>
      <c r="BO23" s="2">
        <f t="shared" si="88"/>
        <v>0</v>
      </c>
      <c r="BP23" s="2">
        <f t="shared" si="89"/>
        <v>0</v>
      </c>
      <c r="BQ23" s="2">
        <f t="shared" si="90"/>
        <v>0</v>
      </c>
      <c r="BR23" s="2">
        <f t="shared" si="91"/>
        <v>0</v>
      </c>
      <c r="BS23" s="2">
        <f t="shared" si="92"/>
        <v>0</v>
      </c>
      <c r="BT23" s="2">
        <f t="shared" si="93"/>
        <v>0</v>
      </c>
      <c r="BU23" s="2">
        <f t="shared" si="94"/>
        <v>0</v>
      </c>
      <c r="BV23" s="2">
        <f t="shared" si="95"/>
        <v>0</v>
      </c>
      <c r="CD23" s="1" t="s">
        <v>574</v>
      </c>
      <c r="CE23" s="2">
        <v>491991.11192844564</v>
      </c>
      <c r="CF23" s="1">
        <v>117080782.93565348</v>
      </c>
      <c r="CG23" s="1">
        <f t="shared" si="96"/>
        <v>117572774.04758193</v>
      </c>
      <c r="CI23" s="1">
        <v>70868465.406775892</v>
      </c>
      <c r="CJ23" s="1">
        <v>29</v>
      </c>
      <c r="CK23" s="2"/>
      <c r="CL23" s="2"/>
      <c r="CM23" s="2"/>
      <c r="CN23" s="2">
        <v>24.444444444444443</v>
      </c>
      <c r="CO23" s="2">
        <v>53.333333333333336</v>
      </c>
      <c r="CP23" s="2">
        <v>20</v>
      </c>
      <c r="CQ23" s="2">
        <v>2.2222222222222223</v>
      </c>
      <c r="CZ23" s="1">
        <v>100</v>
      </c>
      <c r="DC23" s="1">
        <v>29</v>
      </c>
      <c r="DD23" s="2">
        <f t="shared" si="2"/>
        <v>0</v>
      </c>
      <c r="DE23" s="2">
        <f t="shared" si="3"/>
        <v>0</v>
      </c>
      <c r="DF23" s="2">
        <f t="shared" si="4"/>
        <v>0</v>
      </c>
      <c r="DG23" s="2">
        <f t="shared" si="5"/>
        <v>17323402.654989664</v>
      </c>
      <c r="DH23" s="2">
        <f t="shared" si="6"/>
        <v>37796514.88361381</v>
      </c>
      <c r="DI23" s="2">
        <f t="shared" si="7"/>
        <v>14173693.081355179</v>
      </c>
      <c r="DJ23" s="2">
        <f t="shared" si="8"/>
        <v>1574854.7868172422</v>
      </c>
      <c r="DK23" s="2">
        <f t="shared" si="9"/>
        <v>0</v>
      </c>
      <c r="DL23" s="2">
        <f t="shared" si="10"/>
        <v>0</v>
      </c>
      <c r="DM23" s="2">
        <f t="shared" si="11"/>
        <v>0</v>
      </c>
      <c r="DN23" s="2">
        <f t="shared" si="12"/>
        <v>0</v>
      </c>
      <c r="DO23" s="2">
        <f t="shared" si="13"/>
        <v>0</v>
      </c>
      <c r="DP23" s="2">
        <f t="shared" si="14"/>
        <v>0</v>
      </c>
      <c r="DQ23" s="2">
        <f t="shared" si="15"/>
        <v>0</v>
      </c>
      <c r="DR23" s="2">
        <f t="shared" si="16"/>
        <v>0</v>
      </c>
      <c r="DT23" s="1">
        <v>27</v>
      </c>
      <c r="DU23" s="1">
        <v>33805449.683576167</v>
      </c>
      <c r="DV23" s="1262"/>
      <c r="DW23" s="1262"/>
      <c r="DX23" s="1261">
        <v>0</v>
      </c>
      <c r="DY23" s="1261">
        <v>56.25</v>
      </c>
      <c r="DZ23" s="1261">
        <v>43.75</v>
      </c>
      <c r="EA23" s="1261">
        <v>0</v>
      </c>
      <c r="EB23" s="1261"/>
      <c r="EC23" s="1261"/>
      <c r="ED23" s="1261"/>
      <c r="EE23" s="1261"/>
      <c r="EF23" s="1261"/>
      <c r="EG23" s="1261"/>
      <c r="EH23" s="1261"/>
      <c r="EI23" s="1134"/>
      <c r="EJ23" s="1134"/>
      <c r="EM23" s="1">
        <v>27</v>
      </c>
      <c r="EN23" s="2">
        <f t="shared" si="17"/>
        <v>0</v>
      </c>
      <c r="EO23" s="2">
        <f t="shared" si="18"/>
        <v>0</v>
      </c>
      <c r="EP23" s="2">
        <f t="shared" si="19"/>
        <v>0</v>
      </c>
      <c r="EQ23" s="2">
        <f t="shared" si="20"/>
        <v>19015565.447011594</v>
      </c>
      <c r="ER23" s="2">
        <f t="shared" si="21"/>
        <v>14789884.236564571</v>
      </c>
      <c r="ES23" s="2">
        <f t="shared" si="22"/>
        <v>0</v>
      </c>
      <c r="ET23" s="2">
        <f t="shared" si="23"/>
        <v>0</v>
      </c>
      <c r="EU23" s="2">
        <f t="shared" si="24"/>
        <v>0</v>
      </c>
      <c r="EV23" s="2">
        <f t="shared" si="25"/>
        <v>0</v>
      </c>
      <c r="EW23" s="2">
        <f t="shared" si="26"/>
        <v>0</v>
      </c>
      <c r="EX23" s="2">
        <f t="shared" si="27"/>
        <v>0</v>
      </c>
      <c r="EY23" s="2">
        <f t="shared" si="28"/>
        <v>0</v>
      </c>
      <c r="EZ23" s="2">
        <f t="shared" si="29"/>
        <v>0</v>
      </c>
      <c r="FA23" s="2">
        <f t="shared" si="30"/>
        <v>0</v>
      </c>
      <c r="FB23" s="2">
        <f t="shared" si="31"/>
        <v>0</v>
      </c>
      <c r="FE23" s="1260">
        <v>26</v>
      </c>
      <c r="FF23" s="1261"/>
      <c r="FG23" s="1261"/>
      <c r="FH23" s="1252">
        <v>33.333333333333336</v>
      </c>
      <c r="FI23" s="1252">
        <v>51.851851851851855</v>
      </c>
      <c r="FJ23" s="1252">
        <v>14.814814814814815</v>
      </c>
      <c r="FK23" s="1262"/>
      <c r="FL23" s="1262"/>
      <c r="FM23" s="1262"/>
      <c r="FN23" s="1262"/>
      <c r="FO23" s="1262"/>
      <c r="FP23" s="1262"/>
      <c r="FQ23" s="1263"/>
      <c r="FR23" s="1134"/>
      <c r="FS23" s="1134"/>
      <c r="FT23" s="1257"/>
      <c r="FU23" s="1258">
        <v>100</v>
      </c>
      <c r="FV23" s="1452"/>
      <c r="FX23" s="2">
        <v>44907576.710600242</v>
      </c>
      <c r="FY23" s="1260">
        <v>26</v>
      </c>
      <c r="FZ23" s="2">
        <f t="shared" si="36"/>
        <v>0</v>
      </c>
      <c r="GA23" s="2">
        <f t="shared" si="37"/>
        <v>0</v>
      </c>
      <c r="GB23" s="2">
        <f t="shared" si="38"/>
        <v>14969192.236866748</v>
      </c>
      <c r="GC23" s="2">
        <f t="shared" si="39"/>
        <v>23285410.146237165</v>
      </c>
      <c r="GD23" s="2">
        <f t="shared" si="40"/>
        <v>6652974.3274963321</v>
      </c>
      <c r="GE23" s="2">
        <f t="shared" si="41"/>
        <v>0</v>
      </c>
      <c r="GF23" s="2">
        <f t="shared" si="42"/>
        <v>0</v>
      </c>
      <c r="GG23" s="2">
        <f t="shared" si="43"/>
        <v>0</v>
      </c>
      <c r="GH23" s="2">
        <f t="shared" si="44"/>
        <v>0</v>
      </c>
      <c r="GI23" s="2">
        <f t="shared" si="45"/>
        <v>0</v>
      </c>
      <c r="GJ23" s="2">
        <f t="shared" si="46"/>
        <v>0</v>
      </c>
      <c r="GK23" s="2">
        <f t="shared" si="47"/>
        <v>0</v>
      </c>
      <c r="GL23" s="2">
        <f t="shared" si="48"/>
        <v>0</v>
      </c>
      <c r="GM23" s="2">
        <f t="shared" si="49"/>
        <v>0</v>
      </c>
      <c r="GN23" s="2">
        <f t="shared" si="50"/>
        <v>0</v>
      </c>
      <c r="GQ23" s="1260">
        <v>28</v>
      </c>
      <c r="GR23" s="1456"/>
      <c r="GS23" s="1456"/>
      <c r="GT23" s="1456"/>
      <c r="GU23" s="1456">
        <v>24.32</v>
      </c>
      <c r="GV23" s="1456">
        <v>67.569999999999993</v>
      </c>
      <c r="GW23" s="1456">
        <v>8.11</v>
      </c>
      <c r="GX23" s="1456"/>
      <c r="GY23" s="1456"/>
      <c r="GZ23" s="1456"/>
      <c r="HA23" s="1456"/>
      <c r="HB23" s="1456"/>
      <c r="HC23" s="1456"/>
      <c r="HD23" s="1456"/>
      <c r="HE23" s="1456"/>
      <c r="HF23" s="1134"/>
      <c r="HG23" s="1266">
        <f t="shared" si="79"/>
        <v>99.999999999999986</v>
      </c>
      <c r="HI23" s="2">
        <v>178802932.99886411</v>
      </c>
      <c r="HJ23" s="1823">
        <v>26</v>
      </c>
      <c r="HK23" s="2">
        <f t="shared" si="51"/>
        <v>0</v>
      </c>
      <c r="HL23" s="2">
        <f t="shared" si="52"/>
        <v>0</v>
      </c>
      <c r="HM23" s="2">
        <f t="shared" si="53"/>
        <v>0</v>
      </c>
      <c r="HN23" s="2">
        <f t="shared" si="54"/>
        <v>43484873.30532375</v>
      </c>
      <c r="HO23" s="2">
        <f t="shared" si="55"/>
        <v>120817141.82733248</v>
      </c>
      <c r="HP23" s="2">
        <f t="shared" si="56"/>
        <v>14500917.866207879</v>
      </c>
      <c r="HQ23" s="2">
        <f t="shared" si="57"/>
        <v>0</v>
      </c>
      <c r="HR23" s="2">
        <f t="shared" si="58"/>
        <v>0</v>
      </c>
      <c r="HS23" s="2">
        <f t="shared" si="59"/>
        <v>0</v>
      </c>
      <c r="HT23" s="2">
        <f t="shared" si="60"/>
        <v>0</v>
      </c>
      <c r="HU23" s="2">
        <f t="shared" si="61"/>
        <v>0</v>
      </c>
      <c r="HV23" s="2">
        <f t="shared" si="62"/>
        <v>0</v>
      </c>
      <c r="HW23" s="2">
        <f t="shared" si="63"/>
        <v>0</v>
      </c>
      <c r="HX23" s="2">
        <f t="shared" si="64"/>
        <v>0</v>
      </c>
      <c r="HY23" s="2">
        <f t="shared" si="65"/>
        <v>0</v>
      </c>
      <c r="IB23" s="1">
        <v>28</v>
      </c>
      <c r="IF23" s="1">
        <v>36.36</v>
      </c>
      <c r="IG23" s="1">
        <v>63.64</v>
      </c>
      <c r="IO23" s="1">
        <v>100</v>
      </c>
      <c r="IQ23" s="2">
        <v>183624767.72832012</v>
      </c>
      <c r="IR23" s="1">
        <v>28</v>
      </c>
      <c r="IS23" s="2">
        <f t="shared" si="66"/>
        <v>0</v>
      </c>
      <c r="IT23" s="2">
        <f t="shared" si="67"/>
        <v>0</v>
      </c>
      <c r="IU23" s="2">
        <f t="shared" si="68"/>
        <v>0</v>
      </c>
      <c r="IV23" s="2">
        <f t="shared" si="69"/>
        <v>66765965.5460172</v>
      </c>
      <c r="IW23" s="2">
        <f t="shared" si="70"/>
        <v>116858802.18230294</v>
      </c>
      <c r="IX23" s="2">
        <f t="shared" si="71"/>
        <v>0</v>
      </c>
      <c r="IY23" s="2">
        <f t="shared" si="72"/>
        <v>0</v>
      </c>
      <c r="IZ23" s="2">
        <f t="shared" si="73"/>
        <v>0</v>
      </c>
      <c r="JA23" s="2">
        <f t="shared" si="74"/>
        <v>0</v>
      </c>
      <c r="JB23" s="2">
        <f t="shared" si="75"/>
        <v>0</v>
      </c>
      <c r="JC23" s="2">
        <f t="shared" si="76"/>
        <v>0</v>
      </c>
      <c r="JD23" s="2">
        <f t="shared" si="77"/>
        <v>0</v>
      </c>
    </row>
    <row r="24" spans="1:264">
      <c r="A24" s="1">
        <v>24</v>
      </c>
      <c r="B24" s="2"/>
      <c r="D24" s="1">
        <v>24</v>
      </c>
      <c r="E24" s="1119">
        <v>0</v>
      </c>
      <c r="F24" s="1119">
        <v>0</v>
      </c>
      <c r="G24" s="1119">
        <v>0</v>
      </c>
      <c r="H24" s="1119">
        <v>0</v>
      </c>
      <c r="I24" s="1119">
        <v>0</v>
      </c>
      <c r="J24" s="1119">
        <v>0</v>
      </c>
      <c r="K24" s="1119">
        <v>0</v>
      </c>
      <c r="L24" s="1119">
        <v>0</v>
      </c>
      <c r="M24" s="1119">
        <v>0</v>
      </c>
      <c r="N24" s="1119">
        <v>0</v>
      </c>
      <c r="O24" s="1119">
        <v>0</v>
      </c>
      <c r="Q24" s="1">
        <v>24</v>
      </c>
      <c r="R24" s="2">
        <f t="shared" si="78"/>
        <v>0</v>
      </c>
      <c r="S24" s="2">
        <f t="shared" si="97"/>
        <v>0</v>
      </c>
      <c r="T24" s="2">
        <f t="shared" si="97"/>
        <v>0</v>
      </c>
      <c r="U24" s="2">
        <f t="shared" si="97"/>
        <v>0</v>
      </c>
      <c r="V24" s="2">
        <f t="shared" si="97"/>
        <v>0</v>
      </c>
      <c r="W24" s="2">
        <f t="shared" si="97"/>
        <v>0</v>
      </c>
      <c r="X24" s="2">
        <f t="shared" si="97"/>
        <v>0</v>
      </c>
      <c r="Y24" s="2">
        <f t="shared" si="97"/>
        <v>0</v>
      </c>
      <c r="Z24" s="2">
        <f t="shared" si="97"/>
        <v>0</v>
      </c>
      <c r="AA24" s="2">
        <f t="shared" si="97"/>
        <v>0</v>
      </c>
      <c r="AB24" s="2">
        <f t="shared" si="97"/>
        <v>0</v>
      </c>
      <c r="AI24" s="1" t="s">
        <v>18</v>
      </c>
      <c r="AJ24" s="1" t="s">
        <v>18</v>
      </c>
      <c r="AL24" s="2">
        <v>10373508.29108805</v>
      </c>
      <c r="AN24" s="1">
        <v>24</v>
      </c>
      <c r="AQ24" s="1">
        <v>50</v>
      </c>
      <c r="AR24" s="1">
        <v>50</v>
      </c>
      <c r="BG24" s="1">
        <v>24</v>
      </c>
      <c r="BH24" s="2">
        <f t="shared" si="81"/>
        <v>0</v>
      </c>
      <c r="BI24" s="2">
        <f t="shared" si="82"/>
        <v>5186754.1455440251</v>
      </c>
      <c r="BJ24" s="2">
        <f t="shared" si="83"/>
        <v>5186754.1455440251</v>
      </c>
      <c r="BK24" s="2">
        <f t="shared" si="84"/>
        <v>0</v>
      </c>
      <c r="BL24" s="2">
        <f t="shared" si="85"/>
        <v>0</v>
      </c>
      <c r="BM24" s="2">
        <f t="shared" si="86"/>
        <v>0</v>
      </c>
      <c r="BN24" s="2">
        <f t="shared" si="87"/>
        <v>0</v>
      </c>
      <c r="BO24" s="2">
        <f t="shared" si="88"/>
        <v>0</v>
      </c>
      <c r="BP24" s="2">
        <f t="shared" si="89"/>
        <v>0</v>
      </c>
      <c r="BQ24" s="2">
        <f t="shared" si="90"/>
        <v>0</v>
      </c>
      <c r="BR24" s="2">
        <f t="shared" si="91"/>
        <v>0</v>
      </c>
      <c r="BS24" s="2">
        <f t="shared" si="92"/>
        <v>0</v>
      </c>
      <c r="BT24" s="2">
        <f t="shared" si="93"/>
        <v>0</v>
      </c>
      <c r="BU24" s="2">
        <f t="shared" si="94"/>
        <v>0</v>
      </c>
      <c r="BV24" s="2">
        <f t="shared" si="95"/>
        <v>0</v>
      </c>
      <c r="CD24" s="1" t="s">
        <v>575</v>
      </c>
      <c r="CE24" s="2">
        <v>192556.19901639907</v>
      </c>
      <c r="CF24" s="1">
        <v>170521064.26200569</v>
      </c>
      <c r="CG24" s="1">
        <f t="shared" si="96"/>
        <v>170713620.46102208</v>
      </c>
      <c r="CI24" s="1">
        <v>49902104.057773747</v>
      </c>
      <c r="CJ24" s="1">
        <v>30</v>
      </c>
      <c r="CK24" s="2"/>
      <c r="CL24" s="2"/>
      <c r="CM24" s="2"/>
      <c r="CN24" s="2">
        <v>4.4444444444444446</v>
      </c>
      <c r="CO24" s="2">
        <v>51.111111111111114</v>
      </c>
      <c r="CP24" s="2">
        <v>42.222222222222221</v>
      </c>
      <c r="CQ24" s="2">
        <v>2.2222222222222223</v>
      </c>
      <c r="CZ24" s="1">
        <v>100</v>
      </c>
      <c r="DC24" s="1">
        <v>30</v>
      </c>
      <c r="DD24" s="2">
        <f t="shared" si="2"/>
        <v>0</v>
      </c>
      <c r="DE24" s="2">
        <f t="shared" si="3"/>
        <v>0</v>
      </c>
      <c r="DF24" s="2">
        <f t="shared" si="4"/>
        <v>0</v>
      </c>
      <c r="DG24" s="2">
        <f t="shared" si="5"/>
        <v>2217871.2914566114</v>
      </c>
      <c r="DH24" s="2">
        <f t="shared" si="6"/>
        <v>25505519.851751026</v>
      </c>
      <c r="DI24" s="2">
        <f t="shared" si="7"/>
        <v>21069777.268837806</v>
      </c>
      <c r="DJ24" s="2">
        <f t="shared" si="8"/>
        <v>1108935.6457283057</v>
      </c>
      <c r="DK24" s="2">
        <f t="shared" si="9"/>
        <v>0</v>
      </c>
      <c r="DL24" s="2">
        <f t="shared" si="10"/>
        <v>0</v>
      </c>
      <c r="DM24" s="2">
        <f t="shared" si="11"/>
        <v>0</v>
      </c>
      <c r="DN24" s="2">
        <f t="shared" si="12"/>
        <v>0</v>
      </c>
      <c r="DO24" s="2">
        <f t="shared" si="13"/>
        <v>0</v>
      </c>
      <c r="DP24" s="2">
        <f t="shared" si="14"/>
        <v>0</v>
      </c>
      <c r="DQ24" s="2">
        <f t="shared" si="15"/>
        <v>0</v>
      </c>
      <c r="DR24" s="2">
        <f t="shared" si="16"/>
        <v>0</v>
      </c>
      <c r="DT24" s="1">
        <v>28</v>
      </c>
      <c r="DU24" s="1">
        <v>31137976.109684501</v>
      </c>
      <c r="DV24" s="1262"/>
      <c r="DW24" s="1262"/>
      <c r="DX24" s="1261"/>
      <c r="DY24" s="1261">
        <v>28.205128205128204</v>
      </c>
      <c r="DZ24" s="1261">
        <v>61.53846153846154</v>
      </c>
      <c r="EA24" s="1261">
        <v>10.256410256410257</v>
      </c>
      <c r="EB24" s="1261"/>
      <c r="EC24" s="1261"/>
      <c r="ED24" s="1261"/>
      <c r="EE24" s="1261"/>
      <c r="EF24" s="1261"/>
      <c r="EG24" s="1261"/>
      <c r="EH24" s="1261"/>
      <c r="EI24" s="1134"/>
      <c r="EJ24" s="1134"/>
      <c r="EM24" s="1">
        <v>28</v>
      </c>
      <c r="EN24" s="2">
        <f t="shared" si="17"/>
        <v>0</v>
      </c>
      <c r="EO24" s="2">
        <f t="shared" si="18"/>
        <v>0</v>
      </c>
      <c r="EP24" s="2">
        <f t="shared" si="19"/>
        <v>0</v>
      </c>
      <c r="EQ24" s="2">
        <f t="shared" si="20"/>
        <v>8782506.0822187047</v>
      </c>
      <c r="ER24" s="2">
        <f t="shared" si="21"/>
        <v>19161831.452113539</v>
      </c>
      <c r="ES24" s="2">
        <f t="shared" si="22"/>
        <v>3193638.5753522571</v>
      </c>
      <c r="ET24" s="2">
        <f t="shared" si="23"/>
        <v>0</v>
      </c>
      <c r="EU24" s="2">
        <f t="shared" si="24"/>
        <v>0</v>
      </c>
      <c r="EV24" s="2">
        <f t="shared" si="25"/>
        <v>0</v>
      </c>
      <c r="EW24" s="2">
        <f t="shared" si="26"/>
        <v>0</v>
      </c>
      <c r="EX24" s="2">
        <f t="shared" si="27"/>
        <v>0</v>
      </c>
      <c r="EY24" s="2">
        <f t="shared" si="28"/>
        <v>0</v>
      </c>
      <c r="EZ24" s="2">
        <f t="shared" si="29"/>
        <v>0</v>
      </c>
      <c r="FA24" s="2">
        <f t="shared" si="30"/>
        <v>0</v>
      </c>
      <c r="FB24" s="2">
        <f t="shared" si="31"/>
        <v>0</v>
      </c>
      <c r="FE24" s="1260">
        <v>27</v>
      </c>
      <c r="FF24" s="1262"/>
      <c r="FG24" s="1261"/>
      <c r="FH24" s="1252">
        <v>9.5238095238095237</v>
      </c>
      <c r="FI24" s="1252">
        <v>61.904761904761905</v>
      </c>
      <c r="FJ24" s="1252">
        <v>28.571428571428573</v>
      </c>
      <c r="FK24" s="1252">
        <v>0</v>
      </c>
      <c r="FL24" s="1262"/>
      <c r="FM24" s="1262"/>
      <c r="FN24" s="1262"/>
      <c r="FO24" s="1262"/>
      <c r="FP24" s="1262"/>
      <c r="FQ24" s="1263"/>
      <c r="FR24" s="1134"/>
      <c r="FS24" s="1254"/>
      <c r="FT24"/>
      <c r="FU24" s="1255">
        <v>100</v>
      </c>
      <c r="FV24" s="1452"/>
      <c r="FX24" s="2">
        <v>38213105.113163918</v>
      </c>
      <c r="FY24" s="1260">
        <v>27</v>
      </c>
      <c r="FZ24" s="2">
        <f t="shared" si="36"/>
        <v>0</v>
      </c>
      <c r="GA24" s="2">
        <f t="shared" si="37"/>
        <v>0</v>
      </c>
      <c r="GB24" s="2">
        <f t="shared" si="38"/>
        <v>3639343.3441108493</v>
      </c>
      <c r="GC24" s="2">
        <f t="shared" si="39"/>
        <v>23655731.736720517</v>
      </c>
      <c r="GD24" s="2">
        <f t="shared" si="40"/>
        <v>10918030.032332549</v>
      </c>
      <c r="GE24" s="2">
        <f t="shared" si="41"/>
        <v>0</v>
      </c>
      <c r="GF24" s="2">
        <f t="shared" si="42"/>
        <v>0</v>
      </c>
      <c r="GG24" s="2">
        <f t="shared" si="43"/>
        <v>0</v>
      </c>
      <c r="GH24" s="2">
        <f t="shared" si="44"/>
        <v>0</v>
      </c>
      <c r="GI24" s="2">
        <f t="shared" si="45"/>
        <v>0</v>
      </c>
      <c r="GJ24" s="2">
        <f t="shared" si="46"/>
        <v>0</v>
      </c>
      <c r="GK24" s="2">
        <f t="shared" si="47"/>
        <v>0</v>
      </c>
      <c r="GL24" s="2">
        <f t="shared" si="48"/>
        <v>0</v>
      </c>
      <c r="GM24" s="2">
        <f t="shared" si="49"/>
        <v>0</v>
      </c>
      <c r="GN24" s="2">
        <f t="shared" si="50"/>
        <v>0</v>
      </c>
      <c r="GQ24" s="1260">
        <v>29</v>
      </c>
      <c r="GR24" s="1456"/>
      <c r="GS24" s="1456"/>
      <c r="GT24" s="1456"/>
      <c r="GU24" s="1456"/>
      <c r="GV24" s="1456">
        <v>53.57</v>
      </c>
      <c r="GW24" s="1456">
        <v>46.43</v>
      </c>
      <c r="GX24" s="1456"/>
      <c r="GY24" s="1456"/>
      <c r="GZ24" s="1456"/>
      <c r="HA24" s="1456"/>
      <c r="HB24" s="1456"/>
      <c r="HC24" s="1456"/>
      <c r="HD24" s="1456"/>
      <c r="HE24" s="1456"/>
      <c r="HF24" s="1134"/>
      <c r="HG24" s="1266">
        <f t="shared" si="79"/>
        <v>100</v>
      </c>
      <c r="HI24" s="2">
        <v>149555405.85567361</v>
      </c>
      <c r="HJ24" s="1823">
        <v>27</v>
      </c>
      <c r="HK24" s="2">
        <f t="shared" si="51"/>
        <v>0</v>
      </c>
      <c r="HL24" s="2">
        <f t="shared" si="52"/>
        <v>0</v>
      </c>
      <c r="HM24" s="2">
        <f t="shared" si="53"/>
        <v>0</v>
      </c>
      <c r="HN24" s="2">
        <f t="shared" si="54"/>
        <v>0</v>
      </c>
      <c r="HO24" s="2">
        <f t="shared" si="55"/>
        <v>80116830.916884363</v>
      </c>
      <c r="HP24" s="2">
        <f t="shared" si="56"/>
        <v>69438574.938789248</v>
      </c>
      <c r="HQ24" s="2">
        <f t="shared" si="57"/>
        <v>0</v>
      </c>
      <c r="HR24" s="2">
        <f t="shared" si="58"/>
        <v>0</v>
      </c>
      <c r="HS24" s="2">
        <f t="shared" si="59"/>
        <v>0</v>
      </c>
      <c r="HT24" s="2">
        <f t="shared" si="60"/>
        <v>0</v>
      </c>
      <c r="HU24" s="2">
        <f t="shared" si="61"/>
        <v>0</v>
      </c>
      <c r="HV24" s="2">
        <f t="shared" si="62"/>
        <v>0</v>
      </c>
      <c r="HW24" s="2">
        <f t="shared" si="63"/>
        <v>0</v>
      </c>
      <c r="HX24" s="2">
        <f t="shared" si="64"/>
        <v>0</v>
      </c>
      <c r="HY24" s="2">
        <f t="shared" si="65"/>
        <v>0</v>
      </c>
      <c r="IB24" s="1">
        <v>29</v>
      </c>
      <c r="IF24" s="1">
        <v>42.86</v>
      </c>
      <c r="IG24" s="1">
        <v>42.85</v>
      </c>
      <c r="IH24" s="1">
        <v>14.29</v>
      </c>
      <c r="IO24" s="1">
        <v>100</v>
      </c>
      <c r="IQ24" s="2">
        <v>141060139.0393495</v>
      </c>
      <c r="IR24" s="1">
        <v>29</v>
      </c>
      <c r="IS24" s="2">
        <f t="shared" si="66"/>
        <v>0</v>
      </c>
      <c r="IT24" s="2">
        <f t="shared" si="67"/>
        <v>0</v>
      </c>
      <c r="IU24" s="2">
        <f t="shared" si="68"/>
        <v>0</v>
      </c>
      <c r="IV24" s="2">
        <f t="shared" si="69"/>
        <v>60458375.592265196</v>
      </c>
      <c r="IW24" s="2">
        <f t="shared" si="70"/>
        <v>60444269.578361265</v>
      </c>
      <c r="IX24" s="2">
        <f t="shared" si="71"/>
        <v>20157493.868723042</v>
      </c>
      <c r="IY24" s="2">
        <f t="shared" si="72"/>
        <v>0</v>
      </c>
      <c r="IZ24" s="2">
        <f t="shared" si="73"/>
        <v>0</v>
      </c>
      <c r="JA24" s="2">
        <f t="shared" si="74"/>
        <v>0</v>
      </c>
      <c r="JB24" s="2">
        <f t="shared" si="75"/>
        <v>0</v>
      </c>
      <c r="JC24" s="2">
        <f t="shared" si="76"/>
        <v>0</v>
      </c>
      <c r="JD24" s="2">
        <f t="shared" si="77"/>
        <v>0</v>
      </c>
    </row>
    <row r="25" spans="1:264">
      <c r="A25" s="562">
        <v>25</v>
      </c>
      <c r="B25" s="2">
        <v>82216.25051674775</v>
      </c>
      <c r="D25" s="562">
        <v>25</v>
      </c>
      <c r="E25" s="959"/>
      <c r="F25" s="959"/>
      <c r="G25" s="959">
        <v>75</v>
      </c>
      <c r="H25" s="1879">
        <v>25</v>
      </c>
      <c r="I25" s="1879"/>
      <c r="J25" s="1879"/>
      <c r="K25" s="1879"/>
      <c r="L25" s="960"/>
      <c r="M25" s="960"/>
      <c r="N25" s="1879"/>
      <c r="O25" s="1879"/>
      <c r="Q25" s="562">
        <v>25</v>
      </c>
      <c r="R25" s="2">
        <f>$B25/100*E25</f>
        <v>0</v>
      </c>
      <c r="S25" s="2">
        <f t="shared" si="97"/>
        <v>0</v>
      </c>
      <c r="T25" s="2">
        <f t="shared" si="97"/>
        <v>61662.187887560816</v>
      </c>
      <c r="U25" s="2">
        <f t="shared" si="97"/>
        <v>20554.062629186938</v>
      </c>
      <c r="V25" s="2">
        <f t="shared" si="97"/>
        <v>0</v>
      </c>
      <c r="W25" s="2">
        <f t="shared" si="97"/>
        <v>0</v>
      </c>
      <c r="X25" s="2">
        <f t="shared" si="97"/>
        <v>0</v>
      </c>
      <c r="Y25" s="2">
        <f t="shared" si="97"/>
        <v>0</v>
      </c>
      <c r="Z25" s="2">
        <f t="shared" si="97"/>
        <v>0</v>
      </c>
      <c r="AA25" s="2">
        <f t="shared" si="97"/>
        <v>0</v>
      </c>
      <c r="AB25" s="2">
        <f t="shared" si="97"/>
        <v>0</v>
      </c>
      <c r="AG25" s="1" t="s">
        <v>102</v>
      </c>
      <c r="AH25" s="1" t="s">
        <v>98</v>
      </c>
      <c r="AL25" s="2">
        <v>12985173.337543989</v>
      </c>
      <c r="AN25" s="562">
        <v>25</v>
      </c>
      <c r="AQ25" s="1">
        <v>50</v>
      </c>
      <c r="AR25" s="1">
        <v>50</v>
      </c>
      <c r="BA25" s="562"/>
      <c r="BG25" s="562">
        <v>25</v>
      </c>
      <c r="BH25" s="2">
        <f t="shared" si="81"/>
        <v>0</v>
      </c>
      <c r="BI25" s="2">
        <f t="shared" si="82"/>
        <v>6492586.6687719943</v>
      </c>
      <c r="BJ25" s="2">
        <f t="shared" si="83"/>
        <v>6492586.6687719943</v>
      </c>
      <c r="BK25" s="2">
        <f t="shared" si="84"/>
        <v>0</v>
      </c>
      <c r="BL25" s="2">
        <f t="shared" si="85"/>
        <v>0</v>
      </c>
      <c r="BM25" s="2">
        <f t="shared" si="86"/>
        <v>0</v>
      </c>
      <c r="BN25" s="2">
        <f t="shared" si="87"/>
        <v>0</v>
      </c>
      <c r="BO25" s="2">
        <f t="shared" si="88"/>
        <v>0</v>
      </c>
      <c r="BP25" s="2">
        <f t="shared" si="89"/>
        <v>0</v>
      </c>
      <c r="BQ25" s="2">
        <f t="shared" si="90"/>
        <v>0</v>
      </c>
      <c r="BR25" s="2">
        <f t="shared" si="91"/>
        <v>0</v>
      </c>
      <c r="BS25" s="2">
        <f t="shared" si="92"/>
        <v>0</v>
      </c>
      <c r="BT25" s="2">
        <f t="shared" si="93"/>
        <v>0</v>
      </c>
      <c r="BU25" s="2">
        <f t="shared" si="94"/>
        <v>0</v>
      </c>
      <c r="BV25" s="2">
        <f t="shared" si="95"/>
        <v>0</v>
      </c>
      <c r="CD25" s="1" t="s">
        <v>576</v>
      </c>
      <c r="CE25" s="2">
        <v>122177.35610758686</v>
      </c>
      <c r="CF25" s="1">
        <v>156915055.98478568</v>
      </c>
      <c r="CG25" s="1">
        <f t="shared" si="96"/>
        <v>157037233.34089327</v>
      </c>
      <c r="CI25" s="1">
        <v>36135327.50959231</v>
      </c>
      <c r="CJ25" s="1">
        <v>31</v>
      </c>
      <c r="CK25" s="2"/>
      <c r="CL25" s="2"/>
      <c r="CM25" s="2"/>
      <c r="CN25" s="2"/>
      <c r="CO25" s="2">
        <v>26.666666666666668</v>
      </c>
      <c r="CP25" s="2">
        <v>62.222222222222221</v>
      </c>
      <c r="CQ25" s="2">
        <v>11.111111111111111</v>
      </c>
      <c r="CZ25" s="1">
        <v>100</v>
      </c>
      <c r="DC25" s="1">
        <v>31</v>
      </c>
      <c r="DD25" s="2">
        <f t="shared" si="2"/>
        <v>0</v>
      </c>
      <c r="DE25" s="2">
        <f t="shared" si="3"/>
        <v>0</v>
      </c>
      <c r="DF25" s="2">
        <f t="shared" si="4"/>
        <v>0</v>
      </c>
      <c r="DG25" s="2">
        <f t="shared" si="5"/>
        <v>0</v>
      </c>
      <c r="DH25" s="2">
        <f t="shared" si="6"/>
        <v>9636087.3358912822</v>
      </c>
      <c r="DI25" s="2">
        <f t="shared" si="7"/>
        <v>22484203.783746324</v>
      </c>
      <c r="DJ25" s="2">
        <f t="shared" si="8"/>
        <v>4015036.3899547011</v>
      </c>
      <c r="DK25" s="2">
        <f t="shared" si="9"/>
        <v>0</v>
      </c>
      <c r="DL25" s="2">
        <f t="shared" si="10"/>
        <v>0</v>
      </c>
      <c r="DM25" s="2">
        <f t="shared" si="11"/>
        <v>0</v>
      </c>
      <c r="DN25" s="2">
        <f t="shared" si="12"/>
        <v>0</v>
      </c>
      <c r="DO25" s="2">
        <f t="shared" si="13"/>
        <v>0</v>
      </c>
      <c r="DP25" s="2">
        <f t="shared" si="14"/>
        <v>0</v>
      </c>
      <c r="DQ25" s="2">
        <f t="shared" si="15"/>
        <v>0</v>
      </c>
      <c r="DR25" s="2">
        <f t="shared" si="16"/>
        <v>0</v>
      </c>
      <c r="DT25" s="1">
        <v>29</v>
      </c>
      <c r="DU25" s="1">
        <v>43600090.620066226</v>
      </c>
      <c r="DV25" s="1262"/>
      <c r="DW25" s="1262"/>
      <c r="DX25" s="1261"/>
      <c r="DY25" s="1261">
        <v>10.869565217391305</v>
      </c>
      <c r="DZ25" s="1261">
        <v>60.869565217391305</v>
      </c>
      <c r="EA25" s="1261">
        <v>28.260869565217391</v>
      </c>
      <c r="EB25" s="1261">
        <v>0</v>
      </c>
      <c r="EC25" s="1261"/>
      <c r="ED25" s="1261"/>
      <c r="EE25" s="1261"/>
      <c r="EF25" s="1261"/>
      <c r="EG25" s="1261"/>
      <c r="EH25" s="1261"/>
      <c r="EI25" s="1134"/>
      <c r="EJ25" s="1134"/>
      <c r="EM25" s="1">
        <v>29</v>
      </c>
      <c r="EN25" s="2">
        <f t="shared" si="17"/>
        <v>0</v>
      </c>
      <c r="EO25" s="2">
        <f t="shared" si="18"/>
        <v>0</v>
      </c>
      <c r="EP25" s="2">
        <f t="shared" si="19"/>
        <v>0</v>
      </c>
      <c r="EQ25" s="2">
        <f t="shared" si="20"/>
        <v>4739140.2847898072</v>
      </c>
      <c r="ER25" s="2">
        <f t="shared" si="21"/>
        <v>26539185.594822921</v>
      </c>
      <c r="ES25" s="2">
        <f t="shared" si="22"/>
        <v>12321764.740453498</v>
      </c>
      <c r="ET25" s="2">
        <f t="shared" si="23"/>
        <v>0</v>
      </c>
      <c r="EU25" s="2">
        <f t="shared" si="24"/>
        <v>0</v>
      </c>
      <c r="EV25" s="2">
        <f t="shared" si="25"/>
        <v>0</v>
      </c>
      <c r="EW25" s="2">
        <f t="shared" si="26"/>
        <v>0</v>
      </c>
      <c r="EX25" s="2">
        <f t="shared" si="27"/>
        <v>0</v>
      </c>
      <c r="EY25" s="2">
        <f t="shared" si="28"/>
        <v>0</v>
      </c>
      <c r="EZ25" s="2">
        <f t="shared" si="29"/>
        <v>0</v>
      </c>
      <c r="FA25" s="2">
        <f t="shared" si="30"/>
        <v>0</v>
      </c>
      <c r="FB25" s="2">
        <f t="shared" si="31"/>
        <v>0</v>
      </c>
      <c r="FE25" s="1260">
        <v>28</v>
      </c>
      <c r="FF25" s="1261"/>
      <c r="FG25" s="1261"/>
      <c r="FH25" s="1261"/>
      <c r="FI25" s="1252">
        <v>52.173913043478258</v>
      </c>
      <c r="FJ25" s="1252">
        <v>47.826086956521742</v>
      </c>
      <c r="FK25" s="1252">
        <v>0</v>
      </c>
      <c r="FL25" s="1261"/>
      <c r="FM25" s="1261"/>
      <c r="FN25" s="1261"/>
      <c r="FO25" s="1261"/>
      <c r="FP25" s="1261"/>
      <c r="FQ25" s="1263"/>
      <c r="FR25" s="1134"/>
      <c r="FS25" s="1134"/>
      <c r="FT25" s="1257"/>
      <c r="FU25" s="1258">
        <v>100</v>
      </c>
      <c r="FV25" s="1452"/>
      <c r="FX25" s="2">
        <v>32020754.698100571</v>
      </c>
      <c r="FY25" s="1260">
        <v>28</v>
      </c>
      <c r="FZ25" s="2">
        <f t="shared" si="36"/>
        <v>0</v>
      </c>
      <c r="GA25" s="2">
        <f t="shared" si="37"/>
        <v>0</v>
      </c>
      <c r="GB25" s="2">
        <f t="shared" si="38"/>
        <v>0</v>
      </c>
      <c r="GC25" s="2">
        <f t="shared" si="39"/>
        <v>16706480.712052472</v>
      </c>
      <c r="GD25" s="2">
        <f t="shared" si="40"/>
        <v>15314273.986048101</v>
      </c>
      <c r="GE25" s="2">
        <f t="shared" si="41"/>
        <v>0</v>
      </c>
      <c r="GF25" s="2">
        <f t="shared" si="42"/>
        <v>0</v>
      </c>
      <c r="GG25" s="2">
        <f t="shared" si="43"/>
        <v>0</v>
      </c>
      <c r="GH25" s="2">
        <f t="shared" si="44"/>
        <v>0</v>
      </c>
      <c r="GI25" s="2">
        <f t="shared" si="45"/>
        <v>0</v>
      </c>
      <c r="GJ25" s="2">
        <f t="shared" si="46"/>
        <v>0</v>
      </c>
      <c r="GK25" s="2">
        <f t="shared" si="47"/>
        <v>0</v>
      </c>
      <c r="GL25" s="2">
        <f t="shared" si="48"/>
        <v>0</v>
      </c>
      <c r="GM25" s="2">
        <f t="shared" si="49"/>
        <v>0</v>
      </c>
      <c r="GN25" s="2">
        <f t="shared" si="50"/>
        <v>0</v>
      </c>
      <c r="GQ25" s="1260">
        <v>30</v>
      </c>
      <c r="GR25" s="1456"/>
      <c r="GS25" s="1456"/>
      <c r="GT25" s="1456"/>
      <c r="GU25" s="1456"/>
      <c r="GV25" s="1456">
        <v>40</v>
      </c>
      <c r="GW25" s="1456">
        <v>56</v>
      </c>
      <c r="GX25" s="1456">
        <v>4</v>
      </c>
      <c r="GY25" s="1456"/>
      <c r="GZ25" s="1456"/>
      <c r="HA25" s="1456"/>
      <c r="HB25" s="1456"/>
      <c r="HC25" s="1456"/>
      <c r="HD25" s="1456"/>
      <c r="HE25" s="1456"/>
      <c r="HF25" s="1134"/>
      <c r="HG25" s="1266">
        <f t="shared" si="79"/>
        <v>100</v>
      </c>
      <c r="HI25" s="2">
        <v>71176279.066180021</v>
      </c>
      <c r="HJ25" s="1823">
        <v>28</v>
      </c>
      <c r="HK25" s="2">
        <f t="shared" si="51"/>
        <v>0</v>
      </c>
      <c r="HL25" s="2">
        <f t="shared" si="52"/>
        <v>0</v>
      </c>
      <c r="HM25" s="2">
        <f t="shared" si="53"/>
        <v>0</v>
      </c>
      <c r="HN25" s="2">
        <f t="shared" si="54"/>
        <v>0</v>
      </c>
      <c r="HO25" s="2">
        <f t="shared" si="55"/>
        <v>28470511.626472007</v>
      </c>
      <c r="HP25" s="2">
        <f t="shared" si="56"/>
        <v>39858716.277060814</v>
      </c>
      <c r="HQ25" s="2">
        <f t="shared" si="57"/>
        <v>2847051.1626472007</v>
      </c>
      <c r="HR25" s="2">
        <f t="shared" si="58"/>
        <v>0</v>
      </c>
      <c r="HS25" s="2">
        <f t="shared" si="59"/>
        <v>0</v>
      </c>
      <c r="HT25" s="2">
        <f t="shared" si="60"/>
        <v>0</v>
      </c>
      <c r="HU25" s="2">
        <f t="shared" si="61"/>
        <v>0</v>
      </c>
      <c r="HV25" s="2">
        <f t="shared" si="62"/>
        <v>0</v>
      </c>
      <c r="HW25" s="2">
        <f t="shared" si="63"/>
        <v>0</v>
      </c>
      <c r="HX25" s="2">
        <f t="shared" si="64"/>
        <v>0</v>
      </c>
      <c r="HY25" s="2">
        <f t="shared" si="65"/>
        <v>0</v>
      </c>
      <c r="IB25" s="1">
        <v>30</v>
      </c>
      <c r="IF25" s="1">
        <v>33.33</v>
      </c>
      <c r="IG25" s="1">
        <v>55.56</v>
      </c>
      <c r="IH25" s="1">
        <v>11.11</v>
      </c>
      <c r="IO25" s="1">
        <v>100</v>
      </c>
      <c r="IQ25" s="2">
        <v>125487178.78538373</v>
      </c>
      <c r="IR25" s="1">
        <v>30</v>
      </c>
      <c r="IS25" s="2">
        <f t="shared" si="66"/>
        <v>0</v>
      </c>
      <c r="IT25" s="2">
        <f t="shared" si="67"/>
        <v>0</v>
      </c>
      <c r="IU25" s="2">
        <f t="shared" si="68"/>
        <v>0</v>
      </c>
      <c r="IV25" s="2">
        <f t="shared" si="69"/>
        <v>41824876.689168394</v>
      </c>
      <c r="IW25" s="2">
        <f t="shared" si="70"/>
        <v>69720676.533159211</v>
      </c>
      <c r="IX25" s="2">
        <f t="shared" si="71"/>
        <v>13941625.563056134</v>
      </c>
      <c r="IY25" s="2">
        <f t="shared" si="72"/>
        <v>0</v>
      </c>
      <c r="IZ25" s="2">
        <f t="shared" si="73"/>
        <v>0</v>
      </c>
      <c r="JA25" s="2">
        <f t="shared" si="74"/>
        <v>0</v>
      </c>
      <c r="JB25" s="2">
        <f t="shared" si="75"/>
        <v>0</v>
      </c>
      <c r="JC25" s="2">
        <f t="shared" si="76"/>
        <v>0</v>
      </c>
      <c r="JD25" s="2">
        <f t="shared" si="77"/>
        <v>0</v>
      </c>
    </row>
    <row r="26" spans="1:264">
      <c r="A26" s="1">
        <v>26</v>
      </c>
      <c r="B26" s="2">
        <v>244356.32533218508</v>
      </c>
      <c r="D26" s="1">
        <v>26</v>
      </c>
      <c r="E26" s="959"/>
      <c r="F26" s="959"/>
      <c r="G26" s="959">
        <v>62.5</v>
      </c>
      <c r="H26" s="1879">
        <v>37.5</v>
      </c>
      <c r="I26" s="1879"/>
      <c r="J26" s="1879"/>
      <c r="K26" s="1879"/>
      <c r="L26" s="960"/>
      <c r="M26" s="960"/>
      <c r="N26" s="1879"/>
      <c r="O26" s="1879"/>
      <c r="Q26" s="1">
        <v>26</v>
      </c>
      <c r="R26" s="2">
        <f t="shared" ref="R26:R45" si="98">$B26/100*E26</f>
        <v>0</v>
      </c>
      <c r="S26" s="2">
        <f t="shared" ref="S26:S45" si="99">$B26/100*F26</f>
        <v>0</v>
      </c>
      <c r="T26" s="2">
        <f t="shared" ref="T26:T45" si="100">$B26/100*G26</f>
        <v>152722.70333261567</v>
      </c>
      <c r="U26" s="2">
        <f t="shared" ref="U26:U45" si="101">$B26/100*H26</f>
        <v>91633.621999569412</v>
      </c>
      <c r="V26" s="2">
        <f t="shared" ref="V26:V45" si="102">$B26/100*I26</f>
        <v>0</v>
      </c>
      <c r="W26" s="2">
        <f t="shared" ref="W26:W45" si="103">$B26/100*J26</f>
        <v>0</v>
      </c>
      <c r="X26" s="2">
        <f t="shared" ref="X26:X45" si="104">$B26/100*K26</f>
        <v>0</v>
      </c>
      <c r="Y26" s="2">
        <f t="shared" ref="Y26:Y45" si="105">$B26/100*L26</f>
        <v>0</v>
      </c>
      <c r="Z26" s="2">
        <f t="shared" ref="Z26:Z45" si="106">$B26/100*M26</f>
        <v>0</v>
      </c>
      <c r="AA26" s="2">
        <f t="shared" ref="AA26:AA45" si="107">$B26/100*N26</f>
        <v>0</v>
      </c>
      <c r="AB26" s="2">
        <f t="shared" ref="AB26:AB45" si="108">$B26/100*O26</f>
        <v>0</v>
      </c>
      <c r="AF26" s="1" t="s">
        <v>571</v>
      </c>
      <c r="AL26" s="2">
        <v>16685032.405412553</v>
      </c>
      <c r="AN26" s="1">
        <v>26</v>
      </c>
      <c r="AQ26" s="1">
        <v>33.33</v>
      </c>
      <c r="AR26" s="1">
        <v>66.67</v>
      </c>
      <c r="BG26" s="1">
        <v>26</v>
      </c>
      <c r="BH26" s="2">
        <f t="shared" si="81"/>
        <v>0</v>
      </c>
      <c r="BI26" s="2">
        <f t="shared" si="82"/>
        <v>5561121.3007240035</v>
      </c>
      <c r="BJ26" s="2">
        <f t="shared" si="83"/>
        <v>11123911.104688549</v>
      </c>
      <c r="BK26" s="2">
        <f t="shared" si="84"/>
        <v>0</v>
      </c>
      <c r="BL26" s="2">
        <f t="shared" si="85"/>
        <v>0</v>
      </c>
      <c r="BM26" s="2">
        <f t="shared" si="86"/>
        <v>0</v>
      </c>
      <c r="BN26" s="2">
        <f t="shared" si="87"/>
        <v>0</v>
      </c>
      <c r="BO26" s="2">
        <f t="shared" si="88"/>
        <v>0</v>
      </c>
      <c r="BP26" s="2">
        <f t="shared" si="89"/>
        <v>0</v>
      </c>
      <c r="BQ26" s="2">
        <f t="shared" si="90"/>
        <v>0</v>
      </c>
      <c r="BR26" s="2">
        <f t="shared" si="91"/>
        <v>0</v>
      </c>
      <c r="BS26" s="2">
        <f t="shared" si="92"/>
        <v>0</v>
      </c>
      <c r="BT26" s="2">
        <f t="shared" si="93"/>
        <v>0</v>
      </c>
      <c r="BU26" s="2">
        <f t="shared" si="94"/>
        <v>0</v>
      </c>
      <c r="BV26" s="2">
        <f t="shared" si="95"/>
        <v>0</v>
      </c>
      <c r="CD26" s="1" t="s">
        <v>577</v>
      </c>
      <c r="CE26" s="2">
        <v>111860.66844514065</v>
      </c>
      <c r="CF26" s="1">
        <v>93449041.985379905</v>
      </c>
      <c r="CG26" s="1">
        <f t="shared" si="96"/>
        <v>93560902.653825045</v>
      </c>
      <c r="CI26" s="1">
        <v>22765637.03894686</v>
      </c>
      <c r="CJ26" s="1">
        <v>32</v>
      </c>
      <c r="CK26" s="2"/>
      <c r="CL26" s="2"/>
      <c r="CM26" s="2"/>
      <c r="CN26" s="2"/>
      <c r="CO26" s="2">
        <v>14.634146341463415</v>
      </c>
      <c r="CP26" s="2">
        <v>63.414634146341463</v>
      </c>
      <c r="CQ26" s="2">
        <v>19.512195121951219</v>
      </c>
      <c r="CR26" s="2">
        <v>2.4390243902439024</v>
      </c>
      <c r="CS26" s="2"/>
      <c r="CZ26" s="1">
        <v>100</v>
      </c>
      <c r="DC26" s="1">
        <v>32</v>
      </c>
      <c r="DD26" s="2">
        <f t="shared" si="2"/>
        <v>0</v>
      </c>
      <c r="DE26" s="2">
        <f t="shared" si="3"/>
        <v>0</v>
      </c>
      <c r="DF26" s="2">
        <f t="shared" si="4"/>
        <v>0</v>
      </c>
      <c r="DG26" s="2">
        <f t="shared" si="5"/>
        <v>0</v>
      </c>
      <c r="DH26" s="2">
        <f t="shared" si="6"/>
        <v>3331556.6398458821</v>
      </c>
      <c r="DI26" s="2">
        <f t="shared" si="7"/>
        <v>14436745.439332154</v>
      </c>
      <c r="DJ26" s="2">
        <f t="shared" si="8"/>
        <v>4442075.5197945088</v>
      </c>
      <c r="DK26" s="2">
        <f t="shared" si="9"/>
        <v>555259.4399743136</v>
      </c>
      <c r="DL26" s="2">
        <f t="shared" si="10"/>
        <v>0</v>
      </c>
      <c r="DM26" s="2">
        <f t="shared" si="11"/>
        <v>0</v>
      </c>
      <c r="DN26" s="2">
        <f t="shared" si="12"/>
        <v>0</v>
      </c>
      <c r="DO26" s="2">
        <f t="shared" si="13"/>
        <v>0</v>
      </c>
      <c r="DP26" s="2">
        <f t="shared" si="14"/>
        <v>0</v>
      </c>
      <c r="DQ26" s="2">
        <f t="shared" si="15"/>
        <v>0</v>
      </c>
      <c r="DR26" s="2">
        <f t="shared" si="16"/>
        <v>0</v>
      </c>
      <c r="DT26" s="1">
        <v>30</v>
      </c>
      <c r="DU26" s="1">
        <v>43295298.674747616</v>
      </c>
      <c r="DV26" s="1262"/>
      <c r="DW26" s="1262"/>
      <c r="DX26" s="1261"/>
      <c r="DY26" s="1261">
        <v>2.2727272727272729</v>
      </c>
      <c r="DZ26" s="1261">
        <v>47.727272727272727</v>
      </c>
      <c r="EA26" s="1261">
        <v>43.18181818181818</v>
      </c>
      <c r="EB26" s="1261">
        <v>6.8181818181818183</v>
      </c>
      <c r="EC26" s="1261"/>
      <c r="ED26" s="1261"/>
      <c r="EE26" s="1261"/>
      <c r="EF26" s="1261"/>
      <c r="EG26" s="1261"/>
      <c r="EH26" s="1261"/>
      <c r="EI26" s="1134"/>
      <c r="EJ26" s="1134"/>
      <c r="EM26" s="1">
        <v>30</v>
      </c>
      <c r="EN26" s="2">
        <f t="shared" si="17"/>
        <v>0</v>
      </c>
      <c r="EO26" s="2">
        <f t="shared" si="18"/>
        <v>0</v>
      </c>
      <c r="EP26" s="2">
        <f t="shared" si="19"/>
        <v>0</v>
      </c>
      <c r="EQ26" s="2">
        <f t="shared" si="20"/>
        <v>983984.06078971864</v>
      </c>
      <c r="ER26" s="2">
        <f t="shared" si="21"/>
        <v>20663665.276584089</v>
      </c>
      <c r="ES26" s="2">
        <f t="shared" si="22"/>
        <v>18695697.15500465</v>
      </c>
      <c r="ET26" s="2">
        <f t="shared" si="23"/>
        <v>2951952.1823691558</v>
      </c>
      <c r="EU26" s="2">
        <f t="shared" si="24"/>
        <v>0</v>
      </c>
      <c r="EV26" s="2">
        <f t="shared" si="25"/>
        <v>0</v>
      </c>
      <c r="EW26" s="2">
        <f t="shared" si="26"/>
        <v>0</v>
      </c>
      <c r="EX26" s="2">
        <f t="shared" si="27"/>
        <v>0</v>
      </c>
      <c r="EY26" s="2">
        <f t="shared" si="28"/>
        <v>0</v>
      </c>
      <c r="EZ26" s="2">
        <f t="shared" si="29"/>
        <v>0</v>
      </c>
      <c r="FA26" s="2">
        <f t="shared" si="30"/>
        <v>0</v>
      </c>
      <c r="FB26" s="2">
        <f t="shared" si="31"/>
        <v>0</v>
      </c>
      <c r="FE26" s="1260">
        <v>29</v>
      </c>
      <c r="FF26" s="1261"/>
      <c r="FG26" s="1261"/>
      <c r="FH26" s="1261"/>
      <c r="FI26" s="1252">
        <v>25</v>
      </c>
      <c r="FJ26" s="1252">
        <v>64.285714285714292</v>
      </c>
      <c r="FK26" s="1252">
        <v>10.714285714285714</v>
      </c>
      <c r="FL26" s="1252">
        <v>0</v>
      </c>
      <c r="FM26" s="1261"/>
      <c r="FN26" s="1261"/>
      <c r="FO26" s="1261"/>
      <c r="FP26" s="1261"/>
      <c r="FQ26" s="1263"/>
      <c r="FR26" s="1134"/>
      <c r="FS26" s="1254"/>
      <c r="FT26"/>
      <c r="FU26" s="1255">
        <v>100</v>
      </c>
      <c r="FV26" s="1452"/>
      <c r="FX26" s="2">
        <v>33606313.501599781</v>
      </c>
      <c r="FY26" s="1260">
        <v>29</v>
      </c>
      <c r="FZ26" s="2">
        <f t="shared" si="36"/>
        <v>0</v>
      </c>
      <c r="GA26" s="2">
        <f t="shared" si="37"/>
        <v>0</v>
      </c>
      <c r="GB26" s="2">
        <f t="shared" si="38"/>
        <v>0</v>
      </c>
      <c r="GC26" s="2">
        <f t="shared" si="39"/>
        <v>8401578.3753999453</v>
      </c>
      <c r="GD26" s="2">
        <f t="shared" si="40"/>
        <v>21604058.679599863</v>
      </c>
      <c r="GE26" s="2">
        <f t="shared" si="41"/>
        <v>3600676.4465999766</v>
      </c>
      <c r="GF26" s="2">
        <f t="shared" si="42"/>
        <v>0</v>
      </c>
      <c r="GG26" s="2">
        <f t="shared" si="43"/>
        <v>0</v>
      </c>
      <c r="GH26" s="2">
        <f t="shared" si="44"/>
        <v>0</v>
      </c>
      <c r="GI26" s="2">
        <f t="shared" si="45"/>
        <v>0</v>
      </c>
      <c r="GJ26" s="2">
        <f t="shared" si="46"/>
        <v>0</v>
      </c>
      <c r="GK26" s="2">
        <f t="shared" si="47"/>
        <v>0</v>
      </c>
      <c r="GL26" s="2">
        <f t="shared" si="48"/>
        <v>0</v>
      </c>
      <c r="GM26" s="2">
        <f t="shared" si="49"/>
        <v>0</v>
      </c>
      <c r="GN26" s="2">
        <f t="shared" si="50"/>
        <v>0</v>
      </c>
      <c r="GQ26" s="1260">
        <v>31</v>
      </c>
      <c r="GR26" s="1456"/>
      <c r="GS26" s="1456"/>
      <c r="GT26" s="1456"/>
      <c r="GU26" s="1456"/>
      <c r="GV26" s="1456">
        <v>15.38</v>
      </c>
      <c r="GW26" s="1456">
        <v>76.930000000000007</v>
      </c>
      <c r="GX26" s="1456">
        <v>7.69</v>
      </c>
      <c r="GY26" s="1456"/>
      <c r="GZ26" s="1456"/>
      <c r="HA26" s="1456"/>
      <c r="HB26" s="1456"/>
      <c r="HC26" s="1456"/>
      <c r="HD26" s="1456"/>
      <c r="HE26" s="1456"/>
      <c r="HF26" s="1134"/>
      <c r="HG26" s="1266">
        <f t="shared" si="79"/>
        <v>100</v>
      </c>
      <c r="HI26" s="2">
        <v>44901957.677018173</v>
      </c>
      <c r="HJ26" s="1823">
        <v>29</v>
      </c>
      <c r="HK26" s="2">
        <f t="shared" si="51"/>
        <v>0</v>
      </c>
      <c r="HL26" s="2">
        <f t="shared" si="52"/>
        <v>0</v>
      </c>
      <c r="HM26" s="2">
        <f t="shared" si="53"/>
        <v>0</v>
      </c>
      <c r="HN26" s="2">
        <f t="shared" si="54"/>
        <v>0</v>
      </c>
      <c r="HO26" s="2">
        <f t="shared" si="55"/>
        <v>6905921.0907253958</v>
      </c>
      <c r="HP26" s="2">
        <f t="shared" si="56"/>
        <v>34543076.040930085</v>
      </c>
      <c r="HQ26" s="2">
        <f t="shared" si="57"/>
        <v>3452960.5453626979</v>
      </c>
      <c r="HR26" s="2">
        <f t="shared" si="58"/>
        <v>0</v>
      </c>
      <c r="HS26" s="2">
        <f t="shared" si="59"/>
        <v>0</v>
      </c>
      <c r="HT26" s="2">
        <f t="shared" si="60"/>
        <v>0</v>
      </c>
      <c r="HU26" s="2">
        <f t="shared" si="61"/>
        <v>0</v>
      </c>
      <c r="HV26" s="2">
        <f t="shared" si="62"/>
        <v>0</v>
      </c>
      <c r="HW26" s="2">
        <f t="shared" si="63"/>
        <v>0</v>
      </c>
      <c r="HX26" s="2">
        <f t="shared" si="64"/>
        <v>0</v>
      </c>
      <c r="HY26" s="2">
        <f t="shared" si="65"/>
        <v>0</v>
      </c>
      <c r="IB26" s="1">
        <v>31</v>
      </c>
      <c r="IF26" s="1">
        <v>11.11</v>
      </c>
      <c r="IG26" s="1">
        <v>55.56</v>
      </c>
      <c r="IH26" s="1">
        <v>33.33</v>
      </c>
      <c r="IO26" s="1">
        <v>100</v>
      </c>
      <c r="IQ26" s="2">
        <v>82530080.929076433</v>
      </c>
      <c r="IR26" s="1">
        <v>31</v>
      </c>
      <c r="IS26" s="2">
        <f t="shared" si="66"/>
        <v>0</v>
      </c>
      <c r="IT26" s="2">
        <f t="shared" si="67"/>
        <v>0</v>
      </c>
      <c r="IU26" s="2">
        <f t="shared" si="68"/>
        <v>0</v>
      </c>
      <c r="IV26" s="2">
        <f t="shared" si="69"/>
        <v>9169091.9912203904</v>
      </c>
      <c r="IW26" s="2">
        <f t="shared" si="70"/>
        <v>45853712.964194871</v>
      </c>
      <c r="IX26" s="2">
        <f t="shared" si="71"/>
        <v>27507275.973661173</v>
      </c>
      <c r="IY26" s="2">
        <f t="shared" si="72"/>
        <v>0</v>
      </c>
      <c r="IZ26" s="2">
        <f t="shared" si="73"/>
        <v>0</v>
      </c>
      <c r="JA26" s="2">
        <f t="shared" si="74"/>
        <v>0</v>
      </c>
      <c r="JB26" s="2">
        <f t="shared" si="75"/>
        <v>0</v>
      </c>
      <c r="JC26" s="2">
        <f t="shared" si="76"/>
        <v>0</v>
      </c>
      <c r="JD26" s="2">
        <f t="shared" si="77"/>
        <v>0</v>
      </c>
    </row>
    <row r="27" spans="1:264">
      <c r="A27" s="1">
        <v>27</v>
      </c>
      <c r="B27" s="2">
        <v>249027.41343328331</v>
      </c>
      <c r="D27" s="1">
        <v>27</v>
      </c>
      <c r="E27" s="961"/>
      <c r="F27" s="959"/>
      <c r="G27" s="959">
        <v>25</v>
      </c>
      <c r="H27" s="1879">
        <v>62.5</v>
      </c>
      <c r="I27" s="1879">
        <v>12.5</v>
      </c>
      <c r="J27" s="1879"/>
      <c r="K27" s="1879"/>
      <c r="L27" s="960"/>
      <c r="M27" s="960"/>
      <c r="N27" s="1879"/>
      <c r="O27" s="1879"/>
      <c r="Q27" s="1">
        <v>27</v>
      </c>
      <c r="R27" s="2">
        <f t="shared" si="98"/>
        <v>0</v>
      </c>
      <c r="S27" s="2">
        <f t="shared" si="99"/>
        <v>0</v>
      </c>
      <c r="T27" s="2">
        <f t="shared" si="100"/>
        <v>62256.853358320826</v>
      </c>
      <c r="U27" s="2">
        <f t="shared" si="101"/>
        <v>155642.13339580206</v>
      </c>
      <c r="V27" s="2">
        <f t="shared" si="102"/>
        <v>31128.426679160413</v>
      </c>
      <c r="W27" s="2">
        <f t="shared" si="103"/>
        <v>0</v>
      </c>
      <c r="X27" s="2">
        <f t="shared" si="104"/>
        <v>0</v>
      </c>
      <c r="Y27" s="2">
        <f t="shared" si="105"/>
        <v>0</v>
      </c>
      <c r="Z27" s="2">
        <f t="shared" si="106"/>
        <v>0</v>
      </c>
      <c r="AA27" s="2">
        <f t="shared" si="107"/>
        <v>0</v>
      </c>
      <c r="AB27" s="2">
        <f t="shared" si="108"/>
        <v>0</v>
      </c>
      <c r="AF27" s="1" t="s">
        <v>572</v>
      </c>
      <c r="AL27" s="2">
        <v>34904293.452776581</v>
      </c>
      <c r="AN27" s="1">
        <v>27</v>
      </c>
      <c r="AQ27" s="1">
        <v>16.66</v>
      </c>
      <c r="AR27" s="1">
        <v>66.67</v>
      </c>
      <c r="AS27" s="1">
        <v>16.670000000000002</v>
      </c>
      <c r="BG27" s="1">
        <v>27</v>
      </c>
      <c r="BH27" s="2">
        <f t="shared" si="81"/>
        <v>0</v>
      </c>
      <c r="BI27" s="2">
        <f t="shared" si="82"/>
        <v>5815055.2892325781</v>
      </c>
      <c r="BJ27" s="2">
        <f t="shared" si="83"/>
        <v>23270692.444966149</v>
      </c>
      <c r="BK27" s="2">
        <f t="shared" si="84"/>
        <v>5818545.7185778571</v>
      </c>
      <c r="BL27" s="2">
        <f t="shared" si="85"/>
        <v>0</v>
      </c>
      <c r="BM27" s="2">
        <f t="shared" si="86"/>
        <v>0</v>
      </c>
      <c r="BN27" s="2">
        <f t="shared" si="87"/>
        <v>0</v>
      </c>
      <c r="BO27" s="2">
        <f t="shared" si="88"/>
        <v>0</v>
      </c>
      <c r="BP27" s="2">
        <f t="shared" si="89"/>
        <v>0</v>
      </c>
      <c r="BQ27" s="2">
        <f t="shared" si="90"/>
        <v>0</v>
      </c>
      <c r="BR27" s="2">
        <f t="shared" si="91"/>
        <v>0</v>
      </c>
      <c r="BS27" s="2">
        <f t="shared" si="92"/>
        <v>0</v>
      </c>
      <c r="BT27" s="2">
        <f t="shared" si="93"/>
        <v>0</v>
      </c>
      <c r="BU27" s="2">
        <f t="shared" si="94"/>
        <v>0</v>
      </c>
      <c r="BV27" s="2">
        <f t="shared" si="95"/>
        <v>0</v>
      </c>
      <c r="CD27" s="1" t="s">
        <v>578</v>
      </c>
      <c r="CE27" s="2">
        <v>60877.080088593175</v>
      </c>
      <c r="CF27" s="1">
        <v>37962100.103051677</v>
      </c>
      <c r="CG27" s="1">
        <f t="shared" si="96"/>
        <v>38022977.18314027</v>
      </c>
      <c r="CI27" s="1">
        <v>14690707.761771269</v>
      </c>
      <c r="CJ27" s="1">
        <v>33</v>
      </c>
      <c r="CK27" s="2"/>
      <c r="CL27" s="2"/>
      <c r="CM27" s="2"/>
      <c r="CN27" s="2"/>
      <c r="CO27" s="2"/>
      <c r="CP27" s="2">
        <v>60</v>
      </c>
      <c r="CQ27" s="2">
        <v>35</v>
      </c>
      <c r="CR27" s="2">
        <v>5</v>
      </c>
      <c r="CS27" s="2"/>
      <c r="CZ27" s="1">
        <v>100</v>
      </c>
      <c r="DC27" s="1">
        <v>33</v>
      </c>
      <c r="DD27" s="2">
        <f t="shared" si="2"/>
        <v>0</v>
      </c>
      <c r="DE27" s="2">
        <f t="shared" si="3"/>
        <v>0</v>
      </c>
      <c r="DF27" s="2">
        <f t="shared" si="4"/>
        <v>0</v>
      </c>
      <c r="DG27" s="2">
        <f t="shared" si="5"/>
        <v>0</v>
      </c>
      <c r="DH27" s="2">
        <f t="shared" si="6"/>
        <v>0</v>
      </c>
      <c r="DI27" s="2">
        <f t="shared" si="7"/>
        <v>8814424.6570627615</v>
      </c>
      <c r="DJ27" s="2">
        <f t="shared" si="8"/>
        <v>5141747.7166199442</v>
      </c>
      <c r="DK27" s="2">
        <f t="shared" si="9"/>
        <v>734535.38808856334</v>
      </c>
      <c r="DL27" s="2">
        <f t="shared" si="10"/>
        <v>0</v>
      </c>
      <c r="DM27" s="2">
        <f t="shared" si="11"/>
        <v>0</v>
      </c>
      <c r="DN27" s="2">
        <f t="shared" si="12"/>
        <v>0</v>
      </c>
      <c r="DO27" s="2">
        <f t="shared" si="13"/>
        <v>0</v>
      </c>
      <c r="DP27" s="2">
        <f t="shared" si="14"/>
        <v>0</v>
      </c>
      <c r="DQ27" s="2">
        <f t="shared" si="15"/>
        <v>0</v>
      </c>
      <c r="DR27" s="2">
        <f t="shared" si="16"/>
        <v>0</v>
      </c>
      <c r="DT27" s="1">
        <v>31</v>
      </c>
      <c r="DU27" s="1">
        <v>35529936.400763564</v>
      </c>
      <c r="DV27" s="1262"/>
      <c r="DW27" s="1262"/>
      <c r="DX27" s="1261"/>
      <c r="DY27" s="1261">
        <v>0</v>
      </c>
      <c r="DZ27" s="1261">
        <v>31.25</v>
      </c>
      <c r="EA27" s="1261">
        <v>50</v>
      </c>
      <c r="EB27" s="1261">
        <v>18.75</v>
      </c>
      <c r="EC27" s="1261"/>
      <c r="ED27" s="1261"/>
      <c r="EE27" s="1261"/>
      <c r="EF27" s="1261"/>
      <c r="EG27" s="1261"/>
      <c r="EH27" s="1261"/>
      <c r="EI27" s="1134"/>
      <c r="EJ27" s="1134"/>
      <c r="EM27" s="1">
        <v>31</v>
      </c>
      <c r="EN27" s="2">
        <f t="shared" si="17"/>
        <v>0</v>
      </c>
      <c r="EO27" s="2">
        <f t="shared" si="18"/>
        <v>0</v>
      </c>
      <c r="EP27" s="2">
        <f t="shared" si="19"/>
        <v>0</v>
      </c>
      <c r="EQ27" s="2">
        <f t="shared" si="20"/>
        <v>0</v>
      </c>
      <c r="ER27" s="2">
        <f t="shared" si="21"/>
        <v>11103105.125238614</v>
      </c>
      <c r="ES27" s="2">
        <f t="shared" si="22"/>
        <v>17764968.200381782</v>
      </c>
      <c r="ET27" s="2">
        <f t="shared" si="23"/>
        <v>6661863.0751431677</v>
      </c>
      <c r="EU27" s="2">
        <f t="shared" si="24"/>
        <v>0</v>
      </c>
      <c r="EV27" s="2">
        <f t="shared" si="25"/>
        <v>0</v>
      </c>
      <c r="EW27" s="2">
        <f t="shared" si="26"/>
        <v>0</v>
      </c>
      <c r="EX27" s="2">
        <f t="shared" si="27"/>
        <v>0</v>
      </c>
      <c r="EY27" s="2">
        <f t="shared" si="28"/>
        <v>0</v>
      </c>
      <c r="EZ27" s="2">
        <f t="shared" si="29"/>
        <v>0</v>
      </c>
      <c r="FA27" s="2">
        <f t="shared" si="30"/>
        <v>0</v>
      </c>
      <c r="FB27" s="2">
        <f t="shared" si="31"/>
        <v>0</v>
      </c>
      <c r="FE27" s="1260">
        <v>30</v>
      </c>
      <c r="FF27" s="1261"/>
      <c r="FG27" s="1261"/>
      <c r="FH27" s="1261"/>
      <c r="FI27" s="1252">
        <v>7.6923076923076925</v>
      </c>
      <c r="FJ27" s="1252">
        <v>69.230769230769226</v>
      </c>
      <c r="FK27" s="1252">
        <v>23.076923076923077</v>
      </c>
      <c r="FL27" s="1252">
        <v>0</v>
      </c>
      <c r="FM27" s="1261"/>
      <c r="FN27" s="1261"/>
      <c r="FO27" s="1261"/>
      <c r="FP27" s="1261"/>
      <c r="FQ27" s="1263"/>
      <c r="FR27" s="1134"/>
      <c r="FS27" s="1134"/>
      <c r="FT27" s="1257"/>
      <c r="FU27" s="1258">
        <v>100</v>
      </c>
      <c r="FV27" s="1452"/>
      <c r="FX27" s="2">
        <v>23060340.464047264</v>
      </c>
      <c r="FY27" s="1260">
        <v>30</v>
      </c>
      <c r="FZ27" s="2">
        <f t="shared" si="36"/>
        <v>0</v>
      </c>
      <c r="GA27" s="2">
        <f t="shared" si="37"/>
        <v>0</v>
      </c>
      <c r="GB27" s="2">
        <f t="shared" si="38"/>
        <v>0</v>
      </c>
      <c r="GC27" s="2">
        <f t="shared" si="39"/>
        <v>1773872.343388251</v>
      </c>
      <c r="GD27" s="2">
        <f t="shared" si="40"/>
        <v>15964851.090494258</v>
      </c>
      <c r="GE27" s="2">
        <f t="shared" si="41"/>
        <v>5321617.0301647531</v>
      </c>
      <c r="GF27" s="2">
        <f t="shared" si="42"/>
        <v>0</v>
      </c>
      <c r="GG27" s="2">
        <f t="shared" si="43"/>
        <v>0</v>
      </c>
      <c r="GH27" s="2">
        <f t="shared" si="44"/>
        <v>0</v>
      </c>
      <c r="GI27" s="2">
        <f t="shared" si="45"/>
        <v>0</v>
      </c>
      <c r="GJ27" s="2">
        <f t="shared" si="46"/>
        <v>0</v>
      </c>
      <c r="GK27" s="2">
        <f t="shared" si="47"/>
        <v>0</v>
      </c>
      <c r="GL27" s="2">
        <f t="shared" si="48"/>
        <v>0</v>
      </c>
      <c r="GM27" s="2">
        <f t="shared" si="49"/>
        <v>0</v>
      </c>
      <c r="GN27" s="2">
        <f t="shared" si="50"/>
        <v>0</v>
      </c>
      <c r="GQ27" s="1260">
        <v>32</v>
      </c>
      <c r="GR27" s="1456"/>
      <c r="GS27" s="1456"/>
      <c r="GT27" s="1456"/>
      <c r="GU27" s="1456"/>
      <c r="GV27" s="1456"/>
      <c r="GW27" s="1456">
        <v>53.85</v>
      </c>
      <c r="GX27" s="1456">
        <v>38.46</v>
      </c>
      <c r="GY27" s="1456">
        <v>7.69</v>
      </c>
      <c r="GZ27" s="1456"/>
      <c r="HA27" s="1456"/>
      <c r="HB27" s="1456"/>
      <c r="HC27" s="1456"/>
      <c r="HD27" s="1456"/>
      <c r="HE27" s="1456"/>
      <c r="HF27" s="1134"/>
      <c r="HG27" s="1266">
        <f t="shared" si="79"/>
        <v>100</v>
      </c>
      <c r="HI27" s="2">
        <v>27386740.114040248</v>
      </c>
      <c r="HJ27" s="1823">
        <v>30</v>
      </c>
      <c r="HK27" s="2">
        <f t="shared" si="51"/>
        <v>0</v>
      </c>
      <c r="HL27" s="2">
        <f t="shared" si="52"/>
        <v>0</v>
      </c>
      <c r="HM27" s="2">
        <f t="shared" si="53"/>
        <v>0</v>
      </c>
      <c r="HN27" s="2">
        <f t="shared" si="54"/>
        <v>0</v>
      </c>
      <c r="HO27" s="2">
        <f t="shared" si="55"/>
        <v>0</v>
      </c>
      <c r="HP27" s="2">
        <f t="shared" si="56"/>
        <v>14747759.551410675</v>
      </c>
      <c r="HQ27" s="2">
        <f t="shared" si="57"/>
        <v>10532940.24785988</v>
      </c>
      <c r="HR27" s="2">
        <f t="shared" si="58"/>
        <v>2106040.314769695</v>
      </c>
      <c r="HS27" s="2">
        <f t="shared" si="59"/>
        <v>0</v>
      </c>
      <c r="HT27" s="2">
        <f t="shared" si="60"/>
        <v>0</v>
      </c>
      <c r="HU27" s="2">
        <f t="shared" si="61"/>
        <v>0</v>
      </c>
      <c r="HV27" s="2">
        <f t="shared" si="62"/>
        <v>0</v>
      </c>
      <c r="HW27" s="2">
        <f t="shared" si="63"/>
        <v>0</v>
      </c>
      <c r="HX27" s="2">
        <f t="shared" si="64"/>
        <v>0</v>
      </c>
      <c r="HY27" s="2">
        <f t="shared" si="65"/>
        <v>0</v>
      </c>
      <c r="IB27" s="1">
        <v>32</v>
      </c>
      <c r="IG27" s="1">
        <v>42.86</v>
      </c>
      <c r="IH27" s="1">
        <v>42.85</v>
      </c>
      <c r="II27" s="1">
        <v>14.29</v>
      </c>
      <c r="IO27" s="1">
        <v>100</v>
      </c>
      <c r="IQ27" s="2">
        <v>53632540.835861914</v>
      </c>
      <c r="IR27" s="1">
        <v>32</v>
      </c>
      <c r="IS27" s="2">
        <f t="shared" si="66"/>
        <v>0</v>
      </c>
      <c r="IT27" s="2">
        <f t="shared" si="67"/>
        <v>0</v>
      </c>
      <c r="IU27" s="2">
        <f t="shared" si="68"/>
        <v>0</v>
      </c>
      <c r="IV27" s="2">
        <f t="shared" si="69"/>
        <v>0</v>
      </c>
      <c r="IW27" s="2">
        <f t="shared" si="70"/>
        <v>22986907.002250414</v>
      </c>
      <c r="IX27" s="2">
        <f t="shared" si="71"/>
        <v>22981543.748166833</v>
      </c>
      <c r="IY27" s="2">
        <f t="shared" si="72"/>
        <v>7664090.0854446674</v>
      </c>
      <c r="IZ27" s="2">
        <f t="shared" si="73"/>
        <v>0</v>
      </c>
      <c r="JA27" s="2">
        <f t="shared" si="74"/>
        <v>0</v>
      </c>
      <c r="JB27" s="2">
        <f t="shared" si="75"/>
        <v>0</v>
      </c>
      <c r="JC27" s="2">
        <f t="shared" si="76"/>
        <v>0</v>
      </c>
      <c r="JD27" s="2">
        <f t="shared" si="77"/>
        <v>0</v>
      </c>
    </row>
    <row r="28" spans="1:264">
      <c r="A28" s="1">
        <v>28</v>
      </c>
      <c r="B28" s="2">
        <v>257799.32503582459</v>
      </c>
      <c r="D28" s="1">
        <v>28</v>
      </c>
      <c r="E28" s="961"/>
      <c r="F28" s="959"/>
      <c r="G28" s="959">
        <v>11.11</v>
      </c>
      <c r="H28" s="1879">
        <v>66.67</v>
      </c>
      <c r="I28" s="1879">
        <v>22.22</v>
      </c>
      <c r="J28" s="1879"/>
      <c r="K28" s="1879"/>
      <c r="L28" s="960"/>
      <c r="M28" s="960"/>
      <c r="N28" s="1879"/>
      <c r="O28" s="1879"/>
      <c r="Q28" s="1">
        <v>28</v>
      </c>
      <c r="R28" s="2">
        <f t="shared" si="98"/>
        <v>0</v>
      </c>
      <c r="S28" s="2">
        <f t="shared" si="99"/>
        <v>0</v>
      </c>
      <c r="T28" s="2">
        <f t="shared" si="100"/>
        <v>28641.505011480109</v>
      </c>
      <c r="U28" s="2">
        <f t="shared" si="101"/>
        <v>171874.81000138426</v>
      </c>
      <c r="V28" s="2">
        <f t="shared" si="102"/>
        <v>57283.010022960218</v>
      </c>
      <c r="W28" s="2">
        <f t="shared" si="103"/>
        <v>0</v>
      </c>
      <c r="X28" s="2">
        <f t="shared" si="104"/>
        <v>0</v>
      </c>
      <c r="Y28" s="2">
        <f t="shared" si="105"/>
        <v>0</v>
      </c>
      <c r="Z28" s="2">
        <f t="shared" si="106"/>
        <v>0</v>
      </c>
      <c r="AA28" s="2">
        <f t="shared" si="107"/>
        <v>0</v>
      </c>
      <c r="AB28" s="2">
        <f t="shared" si="108"/>
        <v>0</v>
      </c>
      <c r="AF28" s="1" t="s">
        <v>573</v>
      </c>
      <c r="AG28" s="2">
        <v>305283.24958997744</v>
      </c>
      <c r="AL28" s="2">
        <v>46545585.982137635</v>
      </c>
      <c r="AN28" s="1">
        <v>28</v>
      </c>
      <c r="AQ28" s="1">
        <v>16.670000000000002</v>
      </c>
      <c r="AR28" s="1">
        <v>50</v>
      </c>
      <c r="AS28" s="1">
        <v>33.33</v>
      </c>
      <c r="BG28" s="1">
        <v>28</v>
      </c>
      <c r="BH28" s="2">
        <f t="shared" si="81"/>
        <v>0</v>
      </c>
      <c r="BI28" s="2">
        <f t="shared" si="82"/>
        <v>7759149.1832223451</v>
      </c>
      <c r="BJ28" s="2">
        <f t="shared" si="83"/>
        <v>23272792.991068818</v>
      </c>
      <c r="BK28" s="2">
        <f t="shared" si="84"/>
        <v>15513643.807846472</v>
      </c>
      <c r="BL28" s="2">
        <f t="shared" si="85"/>
        <v>0</v>
      </c>
      <c r="BM28" s="2">
        <f t="shared" si="86"/>
        <v>0</v>
      </c>
      <c r="BN28" s="2">
        <f t="shared" si="87"/>
        <v>0</v>
      </c>
      <c r="BO28" s="2">
        <f t="shared" si="88"/>
        <v>0</v>
      </c>
      <c r="BP28" s="2">
        <f t="shared" si="89"/>
        <v>0</v>
      </c>
      <c r="BQ28" s="2">
        <f t="shared" si="90"/>
        <v>0</v>
      </c>
      <c r="BR28" s="2">
        <f t="shared" si="91"/>
        <v>0</v>
      </c>
      <c r="BS28" s="2">
        <f t="shared" si="92"/>
        <v>0</v>
      </c>
      <c r="BT28" s="2">
        <f t="shared" si="93"/>
        <v>0</v>
      </c>
      <c r="BU28" s="2">
        <f t="shared" si="94"/>
        <v>0</v>
      </c>
      <c r="BV28" s="2">
        <f t="shared" si="95"/>
        <v>0</v>
      </c>
      <c r="BY28" s="1" t="s">
        <v>579</v>
      </c>
      <c r="BZ28" s="2">
        <v>5434.6999853395773</v>
      </c>
      <c r="CA28" s="1">
        <v>6979576.8625300955</v>
      </c>
      <c r="CB28" s="1">
        <f t="shared" ref="CB28:CB34" si="109">SUM(BZ28:CA28)</f>
        <v>6985011.5625154348</v>
      </c>
      <c r="CD28" s="1" t="s">
        <v>679</v>
      </c>
      <c r="CE28" s="2">
        <f>SUM(BZ28:BZ34)</f>
        <v>5434.6999853395773</v>
      </c>
      <c r="CF28" s="2">
        <f>SUM(CA28:CA34)</f>
        <v>7875235.9175782707</v>
      </c>
      <c r="CG28" s="2">
        <f>SUM(CB28:CB34)</f>
        <v>7880670.61756361</v>
      </c>
      <c r="CI28" s="1">
        <v>9218609.9956341553</v>
      </c>
      <c r="CJ28" s="1">
        <v>34</v>
      </c>
      <c r="CK28" s="2"/>
      <c r="CL28" s="2"/>
      <c r="CM28" s="2"/>
      <c r="CN28" s="2"/>
      <c r="CO28" s="2"/>
      <c r="CP28" s="2">
        <v>30</v>
      </c>
      <c r="CQ28" s="2">
        <v>50</v>
      </c>
      <c r="CR28" s="2">
        <v>16.666666666666668</v>
      </c>
      <c r="CS28" s="2">
        <v>3.3333333333333335</v>
      </c>
      <c r="CZ28" s="1">
        <v>100</v>
      </c>
      <c r="DC28" s="1">
        <v>34</v>
      </c>
      <c r="DD28" s="2">
        <f t="shared" si="2"/>
        <v>0</v>
      </c>
      <c r="DE28" s="2">
        <f t="shared" si="3"/>
        <v>0</v>
      </c>
      <c r="DF28" s="2">
        <f t="shared" si="4"/>
        <v>0</v>
      </c>
      <c r="DG28" s="2">
        <f t="shared" si="5"/>
        <v>0</v>
      </c>
      <c r="DH28" s="2">
        <f t="shared" si="6"/>
        <v>0</v>
      </c>
      <c r="DI28" s="2">
        <f t="shared" si="7"/>
        <v>2765582.9986902461</v>
      </c>
      <c r="DJ28" s="2">
        <f t="shared" si="8"/>
        <v>4609304.9978170777</v>
      </c>
      <c r="DK28" s="2">
        <f t="shared" si="9"/>
        <v>1536434.9992723593</v>
      </c>
      <c r="DL28" s="2">
        <f t="shared" si="10"/>
        <v>307286.99985447188</v>
      </c>
      <c r="DM28" s="2">
        <f t="shared" si="11"/>
        <v>0</v>
      </c>
      <c r="DN28" s="2">
        <f t="shared" si="12"/>
        <v>0</v>
      </c>
      <c r="DO28" s="2">
        <f t="shared" si="13"/>
        <v>0</v>
      </c>
      <c r="DP28" s="2">
        <f t="shared" si="14"/>
        <v>0</v>
      </c>
      <c r="DQ28" s="2">
        <f t="shared" si="15"/>
        <v>0</v>
      </c>
      <c r="DR28" s="2">
        <f t="shared" si="16"/>
        <v>0</v>
      </c>
      <c r="DT28" s="1">
        <v>32</v>
      </c>
      <c r="DU28" s="1">
        <v>21980135.879297864</v>
      </c>
      <c r="DV28" s="1262"/>
      <c r="DW28" s="1262"/>
      <c r="DX28" s="1261"/>
      <c r="DY28" s="1261"/>
      <c r="DZ28" s="1261">
        <v>7.1428571428571432</v>
      </c>
      <c r="EA28" s="1261">
        <v>67.857142857142861</v>
      </c>
      <c r="EB28" s="1261">
        <v>25</v>
      </c>
      <c r="EC28" s="1261">
        <v>0</v>
      </c>
      <c r="ED28" s="1261"/>
      <c r="EE28" s="1261"/>
      <c r="EF28" s="1261"/>
      <c r="EG28" s="1261"/>
      <c r="EH28" s="1261"/>
      <c r="EI28" s="1134"/>
      <c r="EJ28" s="1134"/>
      <c r="EM28" s="1">
        <v>32</v>
      </c>
      <c r="EN28" s="2">
        <f t="shared" si="17"/>
        <v>0</v>
      </c>
      <c r="EO28" s="2">
        <f t="shared" si="18"/>
        <v>0</v>
      </c>
      <c r="EP28" s="2">
        <f t="shared" si="19"/>
        <v>0</v>
      </c>
      <c r="EQ28" s="2">
        <f t="shared" si="20"/>
        <v>0</v>
      </c>
      <c r="ER28" s="2">
        <f t="shared" si="21"/>
        <v>1570009.7056641332</v>
      </c>
      <c r="ES28" s="2">
        <f t="shared" si="22"/>
        <v>14915092.203809267</v>
      </c>
      <c r="ET28" s="2">
        <f t="shared" si="23"/>
        <v>5495033.9698244659</v>
      </c>
      <c r="EU28" s="2">
        <f t="shared" si="24"/>
        <v>0</v>
      </c>
      <c r="EV28" s="2">
        <f t="shared" si="25"/>
        <v>0</v>
      </c>
      <c r="EW28" s="2">
        <f t="shared" si="26"/>
        <v>0</v>
      </c>
      <c r="EX28" s="2">
        <f t="shared" si="27"/>
        <v>0</v>
      </c>
      <c r="EY28" s="2">
        <f t="shared" si="28"/>
        <v>0</v>
      </c>
      <c r="EZ28" s="2">
        <f t="shared" si="29"/>
        <v>0</v>
      </c>
      <c r="FA28" s="2">
        <f t="shared" si="30"/>
        <v>0</v>
      </c>
      <c r="FB28" s="2">
        <f t="shared" si="31"/>
        <v>0</v>
      </c>
      <c r="FE28" s="1260">
        <v>31</v>
      </c>
      <c r="FF28" s="1261"/>
      <c r="FG28" s="1261"/>
      <c r="FH28" s="1261"/>
      <c r="FI28" s="1252">
        <v>0</v>
      </c>
      <c r="FJ28" s="1252">
        <v>47.826086956521742</v>
      </c>
      <c r="FK28" s="1252">
        <v>34.782608695652172</v>
      </c>
      <c r="FL28" s="1252">
        <v>17.391304347826086</v>
      </c>
      <c r="FM28" s="1252"/>
      <c r="FN28" s="1261"/>
      <c r="FO28" s="1261"/>
      <c r="FP28" s="1261"/>
      <c r="FQ28" s="1263"/>
      <c r="FR28" s="1134"/>
      <c r="FS28" s="1254"/>
      <c r="FT28"/>
      <c r="FU28" s="1255">
        <v>100</v>
      </c>
      <c r="FV28" s="1452"/>
      <c r="FX28" s="2">
        <v>17064307.78562871</v>
      </c>
      <c r="FY28" s="1260">
        <v>31</v>
      </c>
      <c r="FZ28" s="2">
        <f t="shared" si="36"/>
        <v>0</v>
      </c>
      <c r="GA28" s="2">
        <f t="shared" si="37"/>
        <v>0</v>
      </c>
      <c r="GB28" s="2">
        <f t="shared" si="38"/>
        <v>0</v>
      </c>
      <c r="GC28" s="2">
        <f t="shared" si="39"/>
        <v>0</v>
      </c>
      <c r="GD28" s="2">
        <f t="shared" si="40"/>
        <v>8161190.6800832963</v>
      </c>
      <c r="GE28" s="2">
        <f t="shared" si="41"/>
        <v>5935411.4036969421</v>
      </c>
      <c r="GF28" s="2">
        <f t="shared" si="42"/>
        <v>2967705.7018484711</v>
      </c>
      <c r="GG28" s="2">
        <f t="shared" si="43"/>
        <v>0</v>
      </c>
      <c r="GH28" s="2">
        <f t="shared" si="44"/>
        <v>0</v>
      </c>
      <c r="GI28" s="2">
        <f t="shared" si="45"/>
        <v>0</v>
      </c>
      <c r="GJ28" s="2">
        <f t="shared" si="46"/>
        <v>0</v>
      </c>
      <c r="GK28" s="2">
        <f t="shared" si="47"/>
        <v>0</v>
      </c>
      <c r="GL28" s="2">
        <f t="shared" si="48"/>
        <v>0</v>
      </c>
      <c r="GM28" s="2">
        <f t="shared" si="49"/>
        <v>0</v>
      </c>
      <c r="GN28" s="2">
        <f t="shared" si="50"/>
        <v>0</v>
      </c>
      <c r="GQ28" s="1260">
        <v>33</v>
      </c>
      <c r="GR28" s="1456"/>
      <c r="GS28" s="1456"/>
      <c r="GT28" s="1456"/>
      <c r="GU28" s="1456"/>
      <c r="GV28" s="1456"/>
      <c r="GW28" s="1456">
        <v>50</v>
      </c>
      <c r="GX28" s="1456">
        <v>41.67</v>
      </c>
      <c r="GY28" s="1456">
        <v>8.33</v>
      </c>
      <c r="GZ28" s="1456"/>
      <c r="HA28" s="1456"/>
      <c r="HB28" s="1456"/>
      <c r="HC28" s="1456"/>
      <c r="HD28" s="1456"/>
      <c r="HE28" s="1456"/>
      <c r="HF28" s="1134"/>
      <c r="HG28" s="1266">
        <f t="shared" si="79"/>
        <v>100</v>
      </c>
      <c r="HI28" s="2">
        <v>16550275.13391706</v>
      </c>
      <c r="HJ28" s="1823">
        <v>31</v>
      </c>
      <c r="HK28" s="2">
        <f t="shared" si="51"/>
        <v>0</v>
      </c>
      <c r="HL28" s="2">
        <f t="shared" si="52"/>
        <v>0</v>
      </c>
      <c r="HM28" s="2">
        <f t="shared" si="53"/>
        <v>0</v>
      </c>
      <c r="HN28" s="2">
        <f t="shared" si="54"/>
        <v>0</v>
      </c>
      <c r="HO28" s="2">
        <f t="shared" si="55"/>
        <v>0</v>
      </c>
      <c r="HP28" s="2">
        <f t="shared" si="56"/>
        <v>8275137.5669585299</v>
      </c>
      <c r="HQ28" s="2">
        <f t="shared" si="57"/>
        <v>6896499.6483032396</v>
      </c>
      <c r="HR28" s="2">
        <f t="shared" si="58"/>
        <v>1378637.9186552912</v>
      </c>
      <c r="HS28" s="2">
        <f t="shared" si="59"/>
        <v>0</v>
      </c>
      <c r="HT28" s="2">
        <f t="shared" si="60"/>
        <v>0</v>
      </c>
      <c r="HU28" s="2">
        <f t="shared" si="61"/>
        <v>0</v>
      </c>
      <c r="HV28" s="2">
        <f t="shared" si="62"/>
        <v>0</v>
      </c>
      <c r="HW28" s="2">
        <f t="shared" si="63"/>
        <v>0</v>
      </c>
      <c r="HX28" s="2">
        <f t="shared" si="64"/>
        <v>0</v>
      </c>
      <c r="HY28" s="2">
        <f t="shared" si="65"/>
        <v>0</v>
      </c>
      <c r="IB28" s="1">
        <v>33</v>
      </c>
      <c r="IH28" s="1">
        <v>66.67</v>
      </c>
      <c r="II28" s="1">
        <v>25</v>
      </c>
      <c r="IJ28" s="1">
        <v>8.33</v>
      </c>
      <c r="IO28" s="1">
        <v>100</v>
      </c>
      <c r="IQ28" s="2">
        <v>39022300.299216881</v>
      </c>
      <c r="IR28" s="1">
        <v>33</v>
      </c>
      <c r="IS28" s="2">
        <f t="shared" si="66"/>
        <v>0</v>
      </c>
      <c r="IT28" s="2">
        <f t="shared" si="67"/>
        <v>0</v>
      </c>
      <c r="IU28" s="2">
        <f t="shared" si="68"/>
        <v>0</v>
      </c>
      <c r="IV28" s="2">
        <f t="shared" si="69"/>
        <v>0</v>
      </c>
      <c r="IW28" s="2">
        <f t="shared" si="70"/>
        <v>0</v>
      </c>
      <c r="IX28" s="2">
        <f t="shared" si="71"/>
        <v>26016167.609487895</v>
      </c>
      <c r="IY28" s="2">
        <f t="shared" si="72"/>
        <v>9755575.0748042203</v>
      </c>
      <c r="IZ28" s="2">
        <f t="shared" si="73"/>
        <v>3250557.6149247666</v>
      </c>
      <c r="JA28" s="2">
        <f t="shared" si="74"/>
        <v>0</v>
      </c>
      <c r="JB28" s="2">
        <f t="shared" si="75"/>
        <v>0</v>
      </c>
      <c r="JC28" s="2">
        <f t="shared" si="76"/>
        <v>0</v>
      </c>
      <c r="JD28" s="2">
        <f t="shared" si="77"/>
        <v>0</v>
      </c>
    </row>
    <row r="29" spans="1:264">
      <c r="A29" s="1">
        <v>29</v>
      </c>
      <c r="B29" s="2">
        <v>78149.240557418612</v>
      </c>
      <c r="D29" s="1">
        <v>29</v>
      </c>
      <c r="E29" s="961"/>
      <c r="F29" s="959"/>
      <c r="G29" s="959"/>
      <c r="H29" s="1879">
        <v>45.45</v>
      </c>
      <c r="I29" s="1879">
        <v>45.45</v>
      </c>
      <c r="J29" s="1879">
        <v>9.1</v>
      </c>
      <c r="K29" s="1879"/>
      <c r="L29" s="960"/>
      <c r="M29" s="960"/>
      <c r="N29" s="1879"/>
      <c r="O29" s="1879"/>
      <c r="Q29" s="1">
        <v>29</v>
      </c>
      <c r="R29" s="2">
        <f t="shared" si="98"/>
        <v>0</v>
      </c>
      <c r="S29" s="2">
        <f t="shared" si="99"/>
        <v>0</v>
      </c>
      <c r="T29" s="2">
        <f t="shared" si="100"/>
        <v>0</v>
      </c>
      <c r="U29" s="2">
        <f t="shared" si="101"/>
        <v>35518.829833346761</v>
      </c>
      <c r="V29" s="2">
        <f t="shared" si="102"/>
        <v>35518.829833346761</v>
      </c>
      <c r="W29" s="2">
        <f t="shared" si="103"/>
        <v>7111.5808907250939</v>
      </c>
      <c r="X29" s="2">
        <f t="shared" si="104"/>
        <v>0</v>
      </c>
      <c r="Y29" s="2">
        <f t="shared" si="105"/>
        <v>0</v>
      </c>
      <c r="Z29" s="2">
        <f t="shared" si="106"/>
        <v>0</v>
      </c>
      <c r="AA29" s="2">
        <f t="shared" si="107"/>
        <v>0</v>
      </c>
      <c r="AB29" s="2">
        <f t="shared" si="108"/>
        <v>0</v>
      </c>
      <c r="AF29" s="1" t="s">
        <v>574</v>
      </c>
      <c r="AG29" s="2">
        <v>491991.11192844564</v>
      </c>
      <c r="AL29" s="2">
        <v>36230052.077278949</v>
      </c>
      <c r="AN29" s="1">
        <v>29</v>
      </c>
      <c r="AR29" s="1">
        <v>16.66</v>
      </c>
      <c r="AS29" s="1">
        <v>66.67</v>
      </c>
      <c r="AT29" s="1">
        <v>16.670000000000002</v>
      </c>
      <c r="BG29" s="1">
        <v>29</v>
      </c>
      <c r="BH29" s="2">
        <f t="shared" si="81"/>
        <v>0</v>
      </c>
      <c r="BI29" s="2">
        <f t="shared" si="82"/>
        <v>0</v>
      </c>
      <c r="BJ29" s="2">
        <f t="shared" si="83"/>
        <v>6035926.6760746725</v>
      </c>
      <c r="BK29" s="2">
        <f t="shared" si="84"/>
        <v>24154575.719921876</v>
      </c>
      <c r="BL29" s="2">
        <f t="shared" si="85"/>
        <v>6039549.6812824011</v>
      </c>
      <c r="BM29" s="2">
        <f t="shared" si="86"/>
        <v>0</v>
      </c>
      <c r="BN29" s="2">
        <f t="shared" si="87"/>
        <v>0</v>
      </c>
      <c r="BO29" s="2">
        <f t="shared" si="88"/>
        <v>0</v>
      </c>
      <c r="BP29" s="2">
        <f t="shared" si="89"/>
        <v>0</v>
      </c>
      <c r="BQ29" s="2">
        <f t="shared" si="90"/>
        <v>0</v>
      </c>
      <c r="BR29" s="2">
        <f t="shared" si="91"/>
        <v>0</v>
      </c>
      <c r="BS29" s="2">
        <f t="shared" si="92"/>
        <v>0</v>
      </c>
      <c r="BT29" s="2">
        <f t="shared" si="93"/>
        <v>0</v>
      </c>
      <c r="BU29" s="2">
        <f t="shared" si="94"/>
        <v>0</v>
      </c>
      <c r="BV29" s="2">
        <f t="shared" si="95"/>
        <v>0</v>
      </c>
      <c r="BY29" s="1" t="s">
        <v>580</v>
      </c>
      <c r="CA29" s="1">
        <v>605825.04769960034</v>
      </c>
      <c r="CB29" s="1">
        <f t="shared" si="109"/>
        <v>605825.04769960034</v>
      </c>
      <c r="CI29" s="1">
        <v>5452783.7379727038</v>
      </c>
      <c r="CJ29" s="1">
        <v>35</v>
      </c>
      <c r="CK29" s="2"/>
      <c r="CL29" s="2"/>
      <c r="CM29" s="2"/>
      <c r="CN29" s="2"/>
      <c r="CP29" s="2">
        <v>7.6923076923076925</v>
      </c>
      <c r="CQ29" s="2">
        <v>61.53846153846154</v>
      </c>
      <c r="CR29" s="2">
        <v>26.923076923076923</v>
      </c>
      <c r="CS29" s="2">
        <v>3.8461538461538463</v>
      </c>
      <c r="CZ29" s="1">
        <v>99.999999999999986</v>
      </c>
      <c r="DC29" s="1">
        <v>35</v>
      </c>
      <c r="DD29" s="2">
        <f t="shared" si="2"/>
        <v>0</v>
      </c>
      <c r="DE29" s="2">
        <f t="shared" si="3"/>
        <v>0</v>
      </c>
      <c r="DF29" s="2">
        <f t="shared" si="4"/>
        <v>0</v>
      </c>
      <c r="DG29" s="2">
        <f t="shared" si="5"/>
        <v>0</v>
      </c>
      <c r="DH29" s="2">
        <f t="shared" si="6"/>
        <v>0</v>
      </c>
      <c r="DI29" s="2">
        <f t="shared" si="7"/>
        <v>419444.90292097727</v>
      </c>
      <c r="DJ29" s="2">
        <f t="shared" si="8"/>
        <v>3355559.2233678182</v>
      </c>
      <c r="DK29" s="2">
        <f t="shared" si="9"/>
        <v>1468057.1602234202</v>
      </c>
      <c r="DL29" s="2">
        <f t="shared" si="10"/>
        <v>209722.45146048864</v>
      </c>
      <c r="DM29" s="2">
        <f t="shared" si="11"/>
        <v>0</v>
      </c>
      <c r="DN29" s="2">
        <f t="shared" si="12"/>
        <v>0</v>
      </c>
      <c r="DO29" s="2">
        <f t="shared" si="13"/>
        <v>0</v>
      </c>
      <c r="DP29" s="2">
        <f t="shared" si="14"/>
        <v>0</v>
      </c>
      <c r="DQ29" s="2">
        <f t="shared" si="15"/>
        <v>0</v>
      </c>
      <c r="DR29" s="2">
        <f t="shared" si="16"/>
        <v>0</v>
      </c>
      <c r="DT29" s="1">
        <v>33</v>
      </c>
      <c r="DU29" s="1">
        <v>13100233.889171144</v>
      </c>
      <c r="DV29" s="1262"/>
      <c r="DW29" s="1262"/>
      <c r="DX29" s="1261"/>
      <c r="DY29" s="1261"/>
      <c r="DZ29" s="1261">
        <v>5.882352941176471</v>
      </c>
      <c r="EA29" s="1261">
        <v>47.058823529411768</v>
      </c>
      <c r="EB29" s="1261">
        <v>35.294117647058826</v>
      </c>
      <c r="EC29" s="1261">
        <v>11.764705882352942</v>
      </c>
      <c r="ED29" s="1261"/>
      <c r="EE29" s="1261"/>
      <c r="EF29" s="1261"/>
      <c r="EG29" s="1261"/>
      <c r="EH29" s="1261"/>
      <c r="EI29" s="1134"/>
      <c r="EJ29" s="1134"/>
      <c r="EM29" s="1">
        <v>33</v>
      </c>
      <c r="EN29" s="2">
        <f t="shared" si="17"/>
        <v>0</v>
      </c>
      <c r="EO29" s="2">
        <f t="shared" si="18"/>
        <v>0</v>
      </c>
      <c r="EP29" s="2">
        <f t="shared" si="19"/>
        <v>0</v>
      </c>
      <c r="EQ29" s="2">
        <f t="shared" si="20"/>
        <v>0</v>
      </c>
      <c r="ER29" s="2">
        <f t="shared" si="21"/>
        <v>770601.9934806556</v>
      </c>
      <c r="ES29" s="2">
        <f t="shared" si="22"/>
        <v>6164815.9478452448</v>
      </c>
      <c r="ET29" s="2">
        <f t="shared" si="23"/>
        <v>4623611.9608839331</v>
      </c>
      <c r="EU29" s="2">
        <f t="shared" si="24"/>
        <v>1541203.9869613112</v>
      </c>
      <c r="EV29" s="2">
        <f t="shared" si="25"/>
        <v>0</v>
      </c>
      <c r="EW29" s="2">
        <f t="shared" si="26"/>
        <v>0</v>
      </c>
      <c r="EX29" s="2">
        <f t="shared" si="27"/>
        <v>0</v>
      </c>
      <c r="EY29" s="2">
        <f t="shared" si="28"/>
        <v>0</v>
      </c>
      <c r="EZ29" s="2">
        <f t="shared" si="29"/>
        <v>0</v>
      </c>
      <c r="FA29" s="2">
        <f t="shared" si="30"/>
        <v>0</v>
      </c>
      <c r="FB29" s="2">
        <f t="shared" si="31"/>
        <v>0</v>
      </c>
      <c r="FE29" s="1260">
        <v>32</v>
      </c>
      <c r="FF29" s="1261"/>
      <c r="FG29" s="1261"/>
      <c r="FH29" s="1261"/>
      <c r="FI29" s="1252"/>
      <c r="FJ29" s="1252">
        <v>22.727272727272727</v>
      </c>
      <c r="FK29" s="1252">
        <v>40.909090909090907</v>
      </c>
      <c r="FL29" s="1252">
        <v>27.272727272727273</v>
      </c>
      <c r="FM29" s="1252">
        <v>9.0909090909090917</v>
      </c>
      <c r="FN29" s="1261"/>
      <c r="FO29" s="1261"/>
      <c r="FP29" s="1261"/>
      <c r="FQ29" s="1263"/>
      <c r="FR29" s="1134"/>
      <c r="FS29" s="1134"/>
      <c r="FT29" s="1257"/>
      <c r="FU29" s="1258">
        <v>100</v>
      </c>
      <c r="FV29" s="1452"/>
      <c r="FX29" s="2">
        <v>12486852.651477341</v>
      </c>
      <c r="FY29" s="1260">
        <v>32</v>
      </c>
      <c r="FZ29" s="2">
        <f t="shared" si="36"/>
        <v>0</v>
      </c>
      <c r="GA29" s="2">
        <f t="shared" si="37"/>
        <v>0</v>
      </c>
      <c r="GB29" s="2">
        <f t="shared" si="38"/>
        <v>0</v>
      </c>
      <c r="GC29" s="2">
        <f t="shared" si="39"/>
        <v>0</v>
      </c>
      <c r="GD29" s="2">
        <f t="shared" si="40"/>
        <v>2837921.0571539407</v>
      </c>
      <c r="GE29" s="2">
        <f t="shared" si="41"/>
        <v>5108257.9028770933</v>
      </c>
      <c r="GF29" s="2">
        <f t="shared" si="42"/>
        <v>3405505.2685847296</v>
      </c>
      <c r="GG29" s="2">
        <f t="shared" si="43"/>
        <v>1135168.4228615765</v>
      </c>
      <c r="GH29" s="2">
        <f t="shared" si="44"/>
        <v>0</v>
      </c>
      <c r="GI29" s="2">
        <f t="shared" si="45"/>
        <v>0</v>
      </c>
      <c r="GJ29" s="2">
        <f t="shared" si="46"/>
        <v>0</v>
      </c>
      <c r="GK29" s="2">
        <f t="shared" si="47"/>
        <v>0</v>
      </c>
      <c r="GL29" s="2">
        <f t="shared" si="48"/>
        <v>0</v>
      </c>
      <c r="GM29" s="2">
        <f t="shared" si="49"/>
        <v>0</v>
      </c>
      <c r="GN29" s="2">
        <f t="shared" si="50"/>
        <v>0</v>
      </c>
      <c r="GQ29" s="1260">
        <v>34</v>
      </c>
      <c r="GR29" s="1456"/>
      <c r="GS29" s="1456"/>
      <c r="GT29" s="1456"/>
      <c r="GU29" s="1456"/>
      <c r="GV29" s="1456"/>
      <c r="GW29" s="1456">
        <v>23.08</v>
      </c>
      <c r="GX29" s="1456">
        <v>53.85</v>
      </c>
      <c r="GY29" s="1456">
        <v>15.38</v>
      </c>
      <c r="GZ29" s="1456">
        <v>7.69</v>
      </c>
      <c r="HA29" s="1456"/>
      <c r="HB29" s="1456"/>
      <c r="HC29" s="1456"/>
      <c r="HD29" s="1456"/>
      <c r="HE29" s="1456"/>
      <c r="HF29" s="1134"/>
      <c r="HG29" s="1266">
        <f t="shared" si="79"/>
        <v>100</v>
      </c>
      <c r="HI29" s="2">
        <v>9281798.6748045124</v>
      </c>
      <c r="HJ29" s="1823">
        <v>32</v>
      </c>
      <c r="HK29" s="2">
        <f t="shared" si="51"/>
        <v>0</v>
      </c>
      <c r="HL29" s="2">
        <f t="shared" si="52"/>
        <v>0</v>
      </c>
      <c r="HM29" s="2">
        <f t="shared" si="53"/>
        <v>0</v>
      </c>
      <c r="HN29" s="2">
        <f t="shared" si="54"/>
        <v>0</v>
      </c>
      <c r="HO29" s="2">
        <f t="shared" si="55"/>
        <v>0</v>
      </c>
      <c r="HP29" s="2">
        <f t="shared" si="56"/>
        <v>2142239.1341448813</v>
      </c>
      <c r="HQ29" s="2">
        <f t="shared" si="57"/>
        <v>4998248.5863822298</v>
      </c>
      <c r="HR29" s="2">
        <f t="shared" si="58"/>
        <v>1427540.6361849341</v>
      </c>
      <c r="HS29" s="2">
        <f t="shared" si="59"/>
        <v>713770.31809246703</v>
      </c>
      <c r="HT29" s="2">
        <f t="shared" si="60"/>
        <v>0</v>
      </c>
      <c r="HU29" s="2">
        <f t="shared" si="61"/>
        <v>0</v>
      </c>
      <c r="HV29" s="2">
        <f t="shared" si="62"/>
        <v>0</v>
      </c>
      <c r="HW29" s="2">
        <f t="shared" si="63"/>
        <v>0</v>
      </c>
      <c r="HX29" s="2">
        <f t="shared" si="64"/>
        <v>0</v>
      </c>
      <c r="HY29" s="2">
        <f t="shared" si="65"/>
        <v>0</v>
      </c>
      <c r="IB29" s="1">
        <v>34</v>
      </c>
      <c r="IH29" s="1">
        <v>50</v>
      </c>
      <c r="II29" s="1">
        <v>50</v>
      </c>
      <c r="IO29" s="1">
        <v>100</v>
      </c>
      <c r="IQ29" s="2">
        <v>12691950.004891202</v>
      </c>
      <c r="IR29" s="1">
        <v>34</v>
      </c>
      <c r="IS29" s="2">
        <f t="shared" si="66"/>
        <v>0</v>
      </c>
      <c r="IT29" s="2">
        <f t="shared" si="67"/>
        <v>0</v>
      </c>
      <c r="IU29" s="2">
        <f t="shared" si="68"/>
        <v>0</v>
      </c>
      <c r="IV29" s="2">
        <f t="shared" si="69"/>
        <v>0</v>
      </c>
      <c r="IW29" s="2">
        <f t="shared" si="70"/>
        <v>0</v>
      </c>
      <c r="IX29" s="2">
        <f t="shared" si="71"/>
        <v>6345975.0024456009</v>
      </c>
      <c r="IY29" s="2">
        <f t="shared" si="72"/>
        <v>6345975.0024456009</v>
      </c>
      <c r="IZ29" s="2">
        <f t="shared" si="73"/>
        <v>0</v>
      </c>
      <c r="JA29" s="2">
        <f t="shared" si="74"/>
        <v>0</v>
      </c>
      <c r="JB29" s="2">
        <f t="shared" si="75"/>
        <v>0</v>
      </c>
      <c r="JC29" s="2">
        <f t="shared" si="76"/>
        <v>0</v>
      </c>
      <c r="JD29" s="2">
        <f t="shared" si="77"/>
        <v>0</v>
      </c>
    </row>
    <row r="30" spans="1:264">
      <c r="A30" s="1">
        <v>30</v>
      </c>
      <c r="B30" s="2">
        <v>47135.4209047966</v>
      </c>
      <c r="D30" s="1">
        <v>30</v>
      </c>
      <c r="E30" s="961"/>
      <c r="F30" s="959"/>
      <c r="G30" s="959"/>
      <c r="H30" s="1879">
        <v>27.27</v>
      </c>
      <c r="I30" s="1879">
        <v>54.55</v>
      </c>
      <c r="J30" s="1879">
        <v>18.18</v>
      </c>
      <c r="K30" s="1879"/>
      <c r="L30" s="960"/>
      <c r="M30" s="960"/>
      <c r="N30" s="1879"/>
      <c r="O30" s="1879"/>
      <c r="Q30" s="1">
        <v>30</v>
      </c>
      <c r="R30" s="2">
        <f t="shared" si="98"/>
        <v>0</v>
      </c>
      <c r="S30" s="2">
        <f t="shared" si="99"/>
        <v>0</v>
      </c>
      <c r="T30" s="2">
        <f t="shared" si="100"/>
        <v>0</v>
      </c>
      <c r="U30" s="2">
        <f t="shared" si="101"/>
        <v>12853.829280738031</v>
      </c>
      <c r="V30" s="2">
        <f t="shared" si="102"/>
        <v>25712.372103566544</v>
      </c>
      <c r="W30" s="2">
        <f t="shared" si="103"/>
        <v>8569.2195204920208</v>
      </c>
      <c r="X30" s="2">
        <f t="shared" si="104"/>
        <v>0</v>
      </c>
      <c r="Y30" s="2">
        <f t="shared" si="105"/>
        <v>0</v>
      </c>
      <c r="Z30" s="2">
        <f t="shared" si="106"/>
        <v>0</v>
      </c>
      <c r="AA30" s="2">
        <f t="shared" si="107"/>
        <v>0</v>
      </c>
      <c r="AB30" s="2">
        <f t="shared" si="108"/>
        <v>0</v>
      </c>
      <c r="AF30" s="1" t="s">
        <v>575</v>
      </c>
      <c r="AG30" s="2">
        <v>192556.19901639907</v>
      </c>
      <c r="AL30" s="2">
        <v>51659635.282565482</v>
      </c>
      <c r="AN30" s="1">
        <v>30</v>
      </c>
      <c r="AR30" s="1">
        <v>10</v>
      </c>
      <c r="AS30" s="1">
        <v>60</v>
      </c>
      <c r="AT30" s="1">
        <v>30</v>
      </c>
      <c r="BG30" s="1">
        <v>30</v>
      </c>
      <c r="BH30" s="2">
        <f t="shared" si="81"/>
        <v>0</v>
      </c>
      <c r="BI30" s="2">
        <f t="shared" si="82"/>
        <v>0</v>
      </c>
      <c r="BJ30" s="2">
        <f t="shared" si="83"/>
        <v>5165963.5282565476</v>
      </c>
      <c r="BK30" s="2">
        <f t="shared" si="84"/>
        <v>30995781.169539288</v>
      </c>
      <c r="BL30" s="2">
        <f t="shared" si="85"/>
        <v>15497890.584769644</v>
      </c>
      <c r="BM30" s="2">
        <f t="shared" si="86"/>
        <v>0</v>
      </c>
      <c r="BN30" s="2">
        <f t="shared" si="87"/>
        <v>0</v>
      </c>
      <c r="BO30" s="2">
        <f t="shared" si="88"/>
        <v>0</v>
      </c>
      <c r="BP30" s="2">
        <f t="shared" si="89"/>
        <v>0</v>
      </c>
      <c r="BQ30" s="2">
        <f t="shared" si="90"/>
        <v>0</v>
      </c>
      <c r="BR30" s="2">
        <f t="shared" si="91"/>
        <v>0</v>
      </c>
      <c r="BS30" s="2">
        <f t="shared" si="92"/>
        <v>0</v>
      </c>
      <c r="BT30" s="2">
        <f t="shared" si="93"/>
        <v>0</v>
      </c>
      <c r="BU30" s="2">
        <f t="shared" si="94"/>
        <v>0</v>
      </c>
      <c r="BV30" s="2">
        <f t="shared" si="95"/>
        <v>0</v>
      </c>
      <c r="BY30" s="1" t="s">
        <v>581</v>
      </c>
      <c r="CA30" s="1">
        <v>126192.90192834649</v>
      </c>
      <c r="CB30" s="1">
        <f t="shared" si="109"/>
        <v>126192.90192834649</v>
      </c>
      <c r="CI30" s="1">
        <v>3623293.7056088806</v>
      </c>
      <c r="CJ30" s="1">
        <v>36</v>
      </c>
      <c r="CP30" s="2"/>
      <c r="CQ30" s="2">
        <v>56</v>
      </c>
      <c r="CR30" s="2">
        <v>36</v>
      </c>
      <c r="CS30" s="2">
        <v>4</v>
      </c>
      <c r="CT30" s="1">
        <v>4</v>
      </c>
      <c r="CZ30" s="1">
        <v>100</v>
      </c>
      <c r="DC30" s="1">
        <v>36</v>
      </c>
      <c r="DD30" s="2">
        <f t="shared" si="2"/>
        <v>0</v>
      </c>
      <c r="DE30" s="2">
        <f t="shared" si="3"/>
        <v>0</v>
      </c>
      <c r="DF30" s="2">
        <f t="shared" si="4"/>
        <v>0</v>
      </c>
      <c r="DG30" s="2">
        <f t="shared" si="5"/>
        <v>0</v>
      </c>
      <c r="DH30" s="2">
        <f t="shared" si="6"/>
        <v>0</v>
      </c>
      <c r="DI30" s="2">
        <f t="shared" si="7"/>
        <v>0</v>
      </c>
      <c r="DJ30" s="2">
        <f t="shared" si="8"/>
        <v>2029044.475140973</v>
      </c>
      <c r="DK30" s="2">
        <f t="shared" si="9"/>
        <v>1304385.7340191971</v>
      </c>
      <c r="DL30" s="2">
        <f t="shared" si="10"/>
        <v>144931.74822435522</v>
      </c>
      <c r="DM30" s="2">
        <f t="shared" si="11"/>
        <v>144931.74822435522</v>
      </c>
      <c r="DN30" s="2">
        <f t="shared" si="12"/>
        <v>0</v>
      </c>
      <c r="DO30" s="2">
        <f t="shared" si="13"/>
        <v>0</v>
      </c>
      <c r="DP30" s="2">
        <f t="shared" si="14"/>
        <v>0</v>
      </c>
      <c r="DQ30" s="2">
        <f t="shared" si="15"/>
        <v>0</v>
      </c>
      <c r="DR30" s="2">
        <f t="shared" si="16"/>
        <v>0</v>
      </c>
      <c r="DT30" s="1">
        <v>34</v>
      </c>
      <c r="DU30" s="1">
        <v>6469893.6944464967</v>
      </c>
      <c r="DV30" s="1262"/>
      <c r="DW30" s="1262"/>
      <c r="DX30" s="1261"/>
      <c r="DY30" s="1261"/>
      <c r="DZ30" s="1261">
        <v>6.25</v>
      </c>
      <c r="EA30" s="1261">
        <v>12.5</v>
      </c>
      <c r="EB30" s="1261">
        <v>56.25</v>
      </c>
      <c r="EC30" s="1261">
        <v>25</v>
      </c>
      <c r="ED30" s="1261">
        <v>0</v>
      </c>
      <c r="EE30" s="1261"/>
      <c r="EF30" s="1261"/>
      <c r="EG30" s="1261"/>
      <c r="EH30" s="1261"/>
      <c r="EI30" s="1134"/>
      <c r="EJ30" s="1134"/>
      <c r="EM30" s="1">
        <v>34</v>
      </c>
      <c r="EN30" s="2">
        <f t="shared" si="17"/>
        <v>0</v>
      </c>
      <c r="EO30" s="2">
        <f t="shared" si="18"/>
        <v>0</v>
      </c>
      <c r="EP30" s="2">
        <f t="shared" si="19"/>
        <v>0</v>
      </c>
      <c r="EQ30" s="2">
        <f t="shared" si="20"/>
        <v>0</v>
      </c>
      <c r="ER30" s="2">
        <f t="shared" si="21"/>
        <v>404368.35590290604</v>
      </c>
      <c r="ES30" s="2">
        <f t="shared" si="22"/>
        <v>808736.71180581208</v>
      </c>
      <c r="ET30" s="2">
        <f t="shared" si="23"/>
        <v>3639315.2031261544</v>
      </c>
      <c r="EU30" s="2">
        <f t="shared" si="24"/>
        <v>1617473.4236116242</v>
      </c>
      <c r="EV30" s="2">
        <f t="shared" si="25"/>
        <v>0</v>
      </c>
      <c r="EW30" s="2">
        <f t="shared" si="26"/>
        <v>0</v>
      </c>
      <c r="EX30" s="2">
        <f t="shared" si="27"/>
        <v>0</v>
      </c>
      <c r="EY30" s="2">
        <f t="shared" si="28"/>
        <v>0</v>
      </c>
      <c r="EZ30" s="2">
        <f t="shared" si="29"/>
        <v>0</v>
      </c>
      <c r="FA30" s="2">
        <f t="shared" si="30"/>
        <v>0</v>
      </c>
      <c r="FB30" s="2">
        <f t="shared" si="31"/>
        <v>0</v>
      </c>
      <c r="FE30" s="1260">
        <v>33</v>
      </c>
      <c r="FF30" s="1261"/>
      <c r="FG30" s="1261"/>
      <c r="FH30" s="1261"/>
      <c r="FI30" s="1261"/>
      <c r="FJ30" s="1252">
        <v>11.111111111111111</v>
      </c>
      <c r="FK30" s="1252">
        <v>38.888888888888886</v>
      </c>
      <c r="FL30" s="1252">
        <v>38.888888888888886</v>
      </c>
      <c r="FM30" s="1252">
        <v>5.5555555555555554</v>
      </c>
      <c r="FN30" s="1252">
        <v>5.5555555555555554</v>
      </c>
      <c r="FO30" s="1252"/>
      <c r="FP30" s="1252"/>
      <c r="FQ30" s="1263"/>
      <c r="FR30" s="1134"/>
      <c r="FS30" s="1254"/>
      <c r="FT30"/>
      <c r="FU30" s="1255">
        <v>100</v>
      </c>
      <c r="FV30" s="1452"/>
      <c r="FX30" s="2">
        <v>7438512.8870058944</v>
      </c>
      <c r="FY30" s="1260">
        <v>33</v>
      </c>
      <c r="FZ30" s="2">
        <f t="shared" si="36"/>
        <v>0</v>
      </c>
      <c r="GA30" s="2">
        <f t="shared" si="37"/>
        <v>0</v>
      </c>
      <c r="GB30" s="2">
        <f t="shared" si="38"/>
        <v>0</v>
      </c>
      <c r="GC30" s="2">
        <f t="shared" si="39"/>
        <v>0</v>
      </c>
      <c r="GD30" s="2">
        <f t="shared" si="40"/>
        <v>826501.43188954378</v>
      </c>
      <c r="GE30" s="2">
        <f t="shared" si="41"/>
        <v>2892755.011613403</v>
      </c>
      <c r="GF30" s="2">
        <f t="shared" si="42"/>
        <v>2892755.011613403</v>
      </c>
      <c r="GG30" s="2">
        <f t="shared" si="43"/>
        <v>413250.71594477189</v>
      </c>
      <c r="GH30" s="2">
        <f t="shared" si="44"/>
        <v>413250.71594477189</v>
      </c>
      <c r="GI30" s="2">
        <f t="shared" si="45"/>
        <v>0</v>
      </c>
      <c r="GJ30" s="2">
        <f t="shared" si="46"/>
        <v>0</v>
      </c>
      <c r="GK30" s="2">
        <f t="shared" si="47"/>
        <v>0</v>
      </c>
      <c r="GL30" s="2">
        <f t="shared" si="48"/>
        <v>0</v>
      </c>
      <c r="GM30" s="2">
        <f t="shared" si="49"/>
        <v>0</v>
      </c>
      <c r="GN30" s="2">
        <f t="shared" si="50"/>
        <v>0</v>
      </c>
      <c r="GQ30" s="1260">
        <v>35</v>
      </c>
      <c r="GR30" s="1456"/>
      <c r="GS30" s="1456"/>
      <c r="GT30" s="1456"/>
      <c r="GU30" s="1456"/>
      <c r="GV30" s="1456"/>
      <c r="GW30" s="1456">
        <v>7.69</v>
      </c>
      <c r="GX30" s="1456">
        <v>61.55</v>
      </c>
      <c r="GY30" s="1456">
        <v>15.38</v>
      </c>
      <c r="GZ30" s="1456">
        <v>15.38</v>
      </c>
      <c r="HA30" s="1456"/>
      <c r="HB30" s="1456"/>
      <c r="HC30" s="1456"/>
      <c r="HD30" s="1456"/>
      <c r="HE30" s="1456"/>
      <c r="HF30" s="1134"/>
      <c r="HG30" s="1266">
        <f t="shared" si="79"/>
        <v>99.999999999999986</v>
      </c>
      <c r="HI30" s="2">
        <v>2845784.2772892541</v>
      </c>
      <c r="HJ30" s="1823">
        <v>33</v>
      </c>
      <c r="HK30" s="2">
        <f t="shared" si="51"/>
        <v>0</v>
      </c>
      <c r="HL30" s="2">
        <f t="shared" si="52"/>
        <v>0</v>
      </c>
      <c r="HM30" s="2">
        <f t="shared" si="53"/>
        <v>0</v>
      </c>
      <c r="HN30" s="2">
        <f t="shared" si="54"/>
        <v>0</v>
      </c>
      <c r="HO30" s="2">
        <f t="shared" si="55"/>
        <v>0</v>
      </c>
      <c r="HP30" s="2">
        <f t="shared" si="56"/>
        <v>218840.81092354364</v>
      </c>
      <c r="HQ30" s="2">
        <f t="shared" si="57"/>
        <v>1751580.2226715358</v>
      </c>
      <c r="HR30" s="2">
        <f t="shared" si="58"/>
        <v>437681.62184708728</v>
      </c>
      <c r="HS30" s="2">
        <f t="shared" si="59"/>
        <v>437681.62184708728</v>
      </c>
      <c r="HT30" s="2">
        <f t="shared" si="60"/>
        <v>0</v>
      </c>
      <c r="HU30" s="2">
        <f t="shared" si="61"/>
        <v>0</v>
      </c>
      <c r="HV30" s="2">
        <f t="shared" si="62"/>
        <v>0</v>
      </c>
      <c r="HW30" s="2">
        <f t="shared" si="63"/>
        <v>0</v>
      </c>
      <c r="HX30" s="2">
        <f t="shared" si="64"/>
        <v>0</v>
      </c>
      <c r="HY30" s="2">
        <f t="shared" si="65"/>
        <v>0</v>
      </c>
      <c r="IB30" s="1">
        <v>35</v>
      </c>
      <c r="IH30" s="1">
        <v>20</v>
      </c>
      <c r="II30" s="1">
        <v>80</v>
      </c>
      <c r="IO30" s="1">
        <v>100</v>
      </c>
      <c r="IQ30" s="2">
        <v>2742351.5897851153</v>
      </c>
      <c r="IR30" s="1">
        <v>35</v>
      </c>
      <c r="IS30" s="2">
        <f t="shared" si="66"/>
        <v>0</v>
      </c>
      <c r="IT30" s="2">
        <f t="shared" si="67"/>
        <v>0</v>
      </c>
      <c r="IU30" s="2">
        <f t="shared" si="68"/>
        <v>0</v>
      </c>
      <c r="IV30" s="2">
        <f t="shared" si="69"/>
        <v>0</v>
      </c>
      <c r="IW30" s="2">
        <f t="shared" si="70"/>
        <v>0</v>
      </c>
      <c r="IX30" s="2">
        <f t="shared" si="71"/>
        <v>548470.31795702304</v>
      </c>
      <c r="IY30" s="2">
        <f>II30*$IQ30/100</f>
        <v>2193881.2718280922</v>
      </c>
      <c r="IZ30" s="2">
        <f t="shared" si="73"/>
        <v>0</v>
      </c>
      <c r="JA30" s="2">
        <f t="shared" si="74"/>
        <v>0</v>
      </c>
      <c r="JB30" s="2">
        <f t="shared" si="75"/>
        <v>0</v>
      </c>
      <c r="JC30" s="2">
        <f t="shared" si="76"/>
        <v>0</v>
      </c>
      <c r="JD30" s="2">
        <f t="shared" si="77"/>
        <v>0</v>
      </c>
    </row>
    <row r="31" spans="1:264">
      <c r="A31" s="1">
        <v>31</v>
      </c>
      <c r="B31" s="2">
        <v>46928.354777196044</v>
      </c>
      <c r="D31" s="1">
        <v>31</v>
      </c>
      <c r="E31" s="961"/>
      <c r="F31" s="959"/>
      <c r="G31" s="959"/>
      <c r="H31" s="1879">
        <v>8.34</v>
      </c>
      <c r="I31" s="1879">
        <v>41.66</v>
      </c>
      <c r="J31" s="1879">
        <v>41.66</v>
      </c>
      <c r="K31" s="1879">
        <v>8.34</v>
      </c>
      <c r="L31" s="960"/>
      <c r="M31" s="960"/>
      <c r="N31" s="1879"/>
      <c r="O31" s="1879"/>
      <c r="Q31" s="1">
        <v>31</v>
      </c>
      <c r="R31" s="2">
        <f t="shared" si="98"/>
        <v>0</v>
      </c>
      <c r="S31" s="2">
        <f t="shared" si="99"/>
        <v>0</v>
      </c>
      <c r="T31" s="2">
        <f t="shared" si="100"/>
        <v>0</v>
      </c>
      <c r="U31" s="2">
        <f t="shared" si="101"/>
        <v>3913.8247884181501</v>
      </c>
      <c r="V31" s="2">
        <f t="shared" si="102"/>
        <v>19550.352600179871</v>
      </c>
      <c r="W31" s="2">
        <f t="shared" si="103"/>
        <v>19550.352600179871</v>
      </c>
      <c r="X31" s="2">
        <f t="shared" si="104"/>
        <v>3913.8247884181501</v>
      </c>
      <c r="Y31" s="2">
        <f t="shared" si="105"/>
        <v>0</v>
      </c>
      <c r="Z31" s="2">
        <f t="shared" si="106"/>
        <v>0</v>
      </c>
      <c r="AA31" s="2">
        <f t="shared" si="107"/>
        <v>0</v>
      </c>
      <c r="AB31" s="2">
        <f t="shared" si="108"/>
        <v>0</v>
      </c>
      <c r="AF31" s="1" t="s">
        <v>576</v>
      </c>
      <c r="AG31" s="2">
        <v>122177.35610758686</v>
      </c>
      <c r="AL31" s="2">
        <v>54448147.168411002</v>
      </c>
      <c r="AN31" s="1">
        <v>31</v>
      </c>
      <c r="AR31" s="1">
        <v>12.5</v>
      </c>
      <c r="AS31" s="1">
        <v>37.5</v>
      </c>
      <c r="AT31" s="1">
        <v>50</v>
      </c>
      <c r="BG31" s="1">
        <v>31</v>
      </c>
      <c r="BH31" s="2">
        <f t="shared" si="81"/>
        <v>0</v>
      </c>
      <c r="BI31" s="2">
        <f t="shared" si="82"/>
        <v>0</v>
      </c>
      <c r="BJ31" s="2">
        <f t="shared" si="83"/>
        <v>6806018.3960513743</v>
      </c>
      <c r="BK31" s="2">
        <f t="shared" si="84"/>
        <v>20418055.188154124</v>
      </c>
      <c r="BL31" s="2">
        <f t="shared" si="85"/>
        <v>27224073.584205497</v>
      </c>
      <c r="BM31" s="2">
        <f t="shared" si="86"/>
        <v>0</v>
      </c>
      <c r="BN31" s="2">
        <f t="shared" si="87"/>
        <v>0</v>
      </c>
      <c r="BO31" s="2">
        <f t="shared" si="88"/>
        <v>0</v>
      </c>
      <c r="BP31" s="2">
        <f t="shared" si="89"/>
        <v>0</v>
      </c>
      <c r="BQ31" s="2">
        <f t="shared" si="90"/>
        <v>0</v>
      </c>
      <c r="BR31" s="2">
        <f t="shared" si="91"/>
        <v>0</v>
      </c>
      <c r="BS31" s="2">
        <f t="shared" si="92"/>
        <v>0</v>
      </c>
      <c r="BT31" s="2">
        <f t="shared" si="93"/>
        <v>0</v>
      </c>
      <c r="BU31" s="2">
        <f t="shared" si="94"/>
        <v>0</v>
      </c>
      <c r="BV31" s="2">
        <f t="shared" si="95"/>
        <v>0</v>
      </c>
      <c r="BY31" s="1" t="s">
        <v>673</v>
      </c>
      <c r="CA31" s="1">
        <v>98242.29766553748</v>
      </c>
      <c r="CB31" s="1">
        <f t="shared" si="109"/>
        <v>98242.29766553748</v>
      </c>
      <c r="CI31" s="1">
        <v>3107155.5787848919</v>
      </c>
      <c r="CJ31" s="1">
        <v>37</v>
      </c>
      <c r="CP31" s="2"/>
      <c r="CQ31" s="2">
        <v>23.076923076923077</v>
      </c>
      <c r="CR31" s="2">
        <v>57.692307692307693</v>
      </c>
      <c r="CS31" s="2">
        <v>11.538461538461538</v>
      </c>
      <c r="CT31" s="2">
        <v>3.8461538461538463</v>
      </c>
      <c r="CU31" s="2">
        <v>3.8461538461538463</v>
      </c>
      <c r="CZ31" s="1">
        <v>99.999999999999986</v>
      </c>
      <c r="DC31" s="1">
        <v>37</v>
      </c>
      <c r="DD31" s="2">
        <f t="shared" si="2"/>
        <v>0</v>
      </c>
      <c r="DE31" s="2">
        <f t="shared" si="3"/>
        <v>0</v>
      </c>
      <c r="DF31" s="2">
        <f t="shared" si="4"/>
        <v>0</v>
      </c>
      <c r="DG31" s="2">
        <f t="shared" si="5"/>
        <v>0</v>
      </c>
      <c r="DH31" s="2">
        <f t="shared" si="6"/>
        <v>0</v>
      </c>
      <c r="DI31" s="2">
        <f t="shared" si="7"/>
        <v>0</v>
      </c>
      <c r="DJ31" s="2">
        <f t="shared" si="8"/>
        <v>717035.9027965134</v>
      </c>
      <c r="DK31" s="2">
        <f t="shared" si="9"/>
        <v>1792589.756991284</v>
      </c>
      <c r="DL31" s="2">
        <f t="shared" si="10"/>
        <v>358517.9513982567</v>
      </c>
      <c r="DM31" s="2">
        <f t="shared" si="11"/>
        <v>119505.98379941891</v>
      </c>
      <c r="DN31" s="2">
        <f t="shared" si="12"/>
        <v>119505.98379941891</v>
      </c>
      <c r="DO31" s="2">
        <f t="shared" si="13"/>
        <v>0</v>
      </c>
      <c r="DP31" s="2">
        <f t="shared" si="14"/>
        <v>0</v>
      </c>
      <c r="DQ31" s="2">
        <f t="shared" si="15"/>
        <v>0</v>
      </c>
      <c r="DR31" s="2">
        <f t="shared" si="16"/>
        <v>0</v>
      </c>
      <c r="DT31" s="1">
        <v>35</v>
      </c>
      <c r="DU31" s="1">
        <v>4153778.0255158143</v>
      </c>
      <c r="DV31" s="1262"/>
      <c r="DW31" s="1262"/>
      <c r="DX31" s="1261"/>
      <c r="DY31" s="1261"/>
      <c r="DZ31" s="1261"/>
      <c r="EA31" s="1261">
        <v>8.3333333333333339</v>
      </c>
      <c r="EB31" s="1261">
        <v>41.666666666666664</v>
      </c>
      <c r="EC31" s="1261">
        <v>33.333333333333336</v>
      </c>
      <c r="ED31" s="1261">
        <v>16.666666666666668</v>
      </c>
      <c r="EE31" s="1261"/>
      <c r="EF31" s="1261"/>
      <c r="EG31" s="1261"/>
      <c r="EH31" s="1261"/>
      <c r="EI31" s="1134"/>
      <c r="EJ31" s="1134"/>
      <c r="EM31" s="1">
        <v>35</v>
      </c>
      <c r="EN31" s="2">
        <f t="shared" si="17"/>
        <v>0</v>
      </c>
      <c r="EO31" s="2">
        <f t="shared" si="18"/>
        <v>0</v>
      </c>
      <c r="EP31" s="2">
        <f t="shared" si="19"/>
        <v>0</v>
      </c>
      <c r="EQ31" s="2">
        <f t="shared" si="20"/>
        <v>0</v>
      </c>
      <c r="ER31" s="2">
        <f t="shared" si="21"/>
        <v>0</v>
      </c>
      <c r="ES31" s="2">
        <f t="shared" si="22"/>
        <v>346148.16879298456</v>
      </c>
      <c r="ET31" s="2">
        <f t="shared" si="23"/>
        <v>1730740.8439649225</v>
      </c>
      <c r="EU31" s="2">
        <f t="shared" si="24"/>
        <v>1384592.6751719383</v>
      </c>
      <c r="EV31" s="2">
        <f t="shared" si="25"/>
        <v>692296.33758596913</v>
      </c>
      <c r="EW31" s="2">
        <f t="shared" si="26"/>
        <v>0</v>
      </c>
      <c r="EX31" s="2">
        <f t="shared" si="27"/>
        <v>0</v>
      </c>
      <c r="EY31" s="2">
        <f t="shared" si="28"/>
        <v>0</v>
      </c>
      <c r="EZ31" s="2">
        <f t="shared" si="29"/>
        <v>0</v>
      </c>
      <c r="FA31" s="2">
        <f t="shared" si="30"/>
        <v>0</v>
      </c>
      <c r="FB31" s="2">
        <f t="shared" si="31"/>
        <v>0</v>
      </c>
      <c r="FE31" s="1260">
        <v>34</v>
      </c>
      <c r="FF31" s="1261"/>
      <c r="FG31" s="1261"/>
      <c r="FH31" s="1261"/>
      <c r="FI31" s="1261"/>
      <c r="FJ31" s="1252">
        <v>0</v>
      </c>
      <c r="FK31" s="1252">
        <v>31.578947368421051</v>
      </c>
      <c r="FL31" s="1252">
        <v>47.368421052631582</v>
      </c>
      <c r="FM31" s="1252">
        <v>21.05263157894737</v>
      </c>
      <c r="FN31" s="1252">
        <v>0</v>
      </c>
      <c r="FO31" s="1252"/>
      <c r="FP31" s="1252"/>
      <c r="FQ31" s="1263"/>
      <c r="FR31" s="1134"/>
      <c r="FS31" s="1134"/>
      <c r="FT31" s="1257"/>
      <c r="FU31" s="1258">
        <v>100</v>
      </c>
      <c r="FV31" s="1452"/>
      <c r="FX31" s="2">
        <v>3934479.3524961434</v>
      </c>
      <c r="FY31" s="1260">
        <v>34</v>
      </c>
      <c r="FZ31" s="2">
        <f t="shared" si="36"/>
        <v>0</v>
      </c>
      <c r="GA31" s="2">
        <f t="shared" si="37"/>
        <v>0</v>
      </c>
      <c r="GB31" s="2">
        <f t="shared" si="38"/>
        <v>0</v>
      </c>
      <c r="GC31" s="2">
        <f t="shared" si="39"/>
        <v>0</v>
      </c>
      <c r="GD31" s="2">
        <f t="shared" si="40"/>
        <v>0</v>
      </c>
      <c r="GE31" s="2">
        <f t="shared" si="41"/>
        <v>1242467.1639461506</v>
      </c>
      <c r="GF31" s="2">
        <f t="shared" si="42"/>
        <v>1863700.7459192262</v>
      </c>
      <c r="GG31" s="2">
        <f t="shared" si="43"/>
        <v>828311.44263076712</v>
      </c>
      <c r="GH31" s="2">
        <f t="shared" si="44"/>
        <v>0</v>
      </c>
      <c r="GI31" s="2">
        <f t="shared" si="45"/>
        <v>0</v>
      </c>
      <c r="GJ31" s="2">
        <f t="shared" si="46"/>
        <v>0</v>
      </c>
      <c r="GK31" s="2">
        <f t="shared" si="47"/>
        <v>0</v>
      </c>
      <c r="GL31" s="2">
        <f t="shared" si="48"/>
        <v>0</v>
      </c>
      <c r="GM31" s="2">
        <f t="shared" si="49"/>
        <v>0</v>
      </c>
      <c r="GN31" s="2">
        <f t="shared" si="50"/>
        <v>0</v>
      </c>
      <c r="GQ31" s="1260">
        <v>36</v>
      </c>
      <c r="GR31" s="1456"/>
      <c r="GS31" s="1456"/>
      <c r="GT31" s="1456"/>
      <c r="GU31" s="1456"/>
      <c r="GV31" s="1456"/>
      <c r="GW31" s="1456"/>
      <c r="GX31" s="1456">
        <v>18.18</v>
      </c>
      <c r="GY31" s="1456">
        <v>54.55</v>
      </c>
      <c r="GZ31" s="1456">
        <v>27.27</v>
      </c>
      <c r="HA31" s="1456"/>
      <c r="HB31" s="1456"/>
      <c r="HC31" s="1456"/>
      <c r="HD31" s="1456"/>
      <c r="HE31" s="1456"/>
      <c r="HF31" s="1134"/>
      <c r="HG31" s="1266">
        <f t="shared" si="79"/>
        <v>99.999999999999986</v>
      </c>
      <c r="HI31" s="2">
        <v>3426417.0217448729</v>
      </c>
      <c r="HJ31" s="1823">
        <v>34</v>
      </c>
      <c r="HK31" s="2">
        <f t="shared" si="51"/>
        <v>0</v>
      </c>
      <c r="HL31" s="2">
        <f t="shared" si="52"/>
        <v>0</v>
      </c>
      <c r="HM31" s="2">
        <f t="shared" si="53"/>
        <v>0</v>
      </c>
      <c r="HN31" s="2">
        <f t="shared" si="54"/>
        <v>0</v>
      </c>
      <c r="HO31" s="2">
        <f t="shared" si="55"/>
        <v>0</v>
      </c>
      <c r="HP31" s="2">
        <f t="shared" si="56"/>
        <v>0</v>
      </c>
      <c r="HQ31" s="2">
        <f t="shared" si="57"/>
        <v>622922.61455321789</v>
      </c>
      <c r="HR31" s="2">
        <f t="shared" si="58"/>
        <v>1869110.4853618282</v>
      </c>
      <c r="HS31" s="2">
        <f t="shared" si="59"/>
        <v>934383.92182982678</v>
      </c>
      <c r="HT31" s="2">
        <f t="shared" si="60"/>
        <v>0</v>
      </c>
      <c r="HU31" s="2">
        <f t="shared" si="61"/>
        <v>0</v>
      </c>
      <c r="HV31" s="2">
        <f t="shared" si="62"/>
        <v>0</v>
      </c>
      <c r="HW31" s="2">
        <f t="shared" si="63"/>
        <v>0</v>
      </c>
      <c r="HX31" s="2">
        <f t="shared" si="64"/>
        <v>0</v>
      </c>
      <c r="HY31" s="2">
        <f t="shared" si="65"/>
        <v>0</v>
      </c>
      <c r="IB31" s="1">
        <v>36</v>
      </c>
      <c r="II31" s="1">
        <v>62.5</v>
      </c>
      <c r="IJ31" s="1">
        <v>25</v>
      </c>
      <c r="IL31" s="1">
        <v>12.5</v>
      </c>
      <c r="IO31" s="1">
        <v>100</v>
      </c>
      <c r="IQ31" s="2">
        <v>1455108.3704836331</v>
      </c>
      <c r="IR31" s="1">
        <v>36</v>
      </c>
      <c r="IS31" s="2">
        <f t="shared" si="66"/>
        <v>0</v>
      </c>
      <c r="IT31" s="2">
        <f t="shared" si="67"/>
        <v>0</v>
      </c>
      <c r="IU31" s="2">
        <f t="shared" si="68"/>
        <v>0</v>
      </c>
      <c r="IV31" s="2">
        <f t="shared" si="69"/>
        <v>0</v>
      </c>
      <c r="IW31" s="2">
        <f t="shared" si="70"/>
        <v>0</v>
      </c>
      <c r="IX31" s="2">
        <f t="shared" si="71"/>
        <v>0</v>
      </c>
      <c r="IY31" s="2">
        <f t="shared" si="72"/>
        <v>909442.73155227071</v>
      </c>
      <c r="IZ31" s="2">
        <f t="shared" si="73"/>
        <v>363777.09262090834</v>
      </c>
      <c r="JA31" s="2">
        <f t="shared" si="74"/>
        <v>0</v>
      </c>
      <c r="JB31" s="2">
        <f t="shared" si="75"/>
        <v>181888.54631045417</v>
      </c>
      <c r="JC31" s="2">
        <f t="shared" si="76"/>
        <v>0</v>
      </c>
      <c r="JD31" s="2">
        <f t="shared" si="77"/>
        <v>0</v>
      </c>
    </row>
    <row r="32" spans="1:264">
      <c r="A32" s="1">
        <v>32</v>
      </c>
      <c r="B32" s="2">
        <v>33608.995463787382</v>
      </c>
      <c r="D32" s="1">
        <v>32</v>
      </c>
      <c r="E32" s="961"/>
      <c r="F32" s="959"/>
      <c r="G32" s="959"/>
      <c r="H32" s="1879"/>
      <c r="I32" s="1879">
        <v>25</v>
      </c>
      <c r="J32" s="1879">
        <v>58.33</v>
      </c>
      <c r="K32" s="1879">
        <v>16.670000000000002</v>
      </c>
      <c r="L32" s="960"/>
      <c r="M32" s="960"/>
      <c r="N32" s="1879"/>
      <c r="O32" s="1879"/>
      <c r="Q32" s="1">
        <v>32</v>
      </c>
      <c r="R32" s="2">
        <f t="shared" si="98"/>
        <v>0</v>
      </c>
      <c r="S32" s="2">
        <f t="shared" si="99"/>
        <v>0</v>
      </c>
      <c r="T32" s="2">
        <f t="shared" si="100"/>
        <v>0</v>
      </c>
      <c r="U32" s="2">
        <f t="shared" si="101"/>
        <v>0</v>
      </c>
      <c r="V32" s="2">
        <f t="shared" si="102"/>
        <v>8402.2488659468454</v>
      </c>
      <c r="W32" s="2">
        <f t="shared" si="103"/>
        <v>19604.12705402718</v>
      </c>
      <c r="X32" s="2">
        <f t="shared" si="104"/>
        <v>5602.6195438133573</v>
      </c>
      <c r="Y32" s="2">
        <f t="shared" si="105"/>
        <v>0</v>
      </c>
      <c r="Z32" s="2">
        <f t="shared" si="106"/>
        <v>0</v>
      </c>
      <c r="AA32" s="2">
        <f t="shared" si="107"/>
        <v>0</v>
      </c>
      <c r="AB32" s="2">
        <f t="shared" si="108"/>
        <v>0</v>
      </c>
      <c r="AF32" s="1" t="s">
        <v>577</v>
      </c>
      <c r="AG32" s="2">
        <v>111860.66844514065</v>
      </c>
      <c r="AL32" s="2">
        <v>66962894.813184932</v>
      </c>
      <c r="AN32" s="1">
        <v>32</v>
      </c>
      <c r="AS32" s="1">
        <v>20</v>
      </c>
      <c r="AT32" s="1">
        <v>60</v>
      </c>
      <c r="AU32" s="1">
        <v>20</v>
      </c>
      <c r="BG32" s="1">
        <v>32</v>
      </c>
      <c r="BH32" s="2">
        <f t="shared" si="81"/>
        <v>0</v>
      </c>
      <c r="BI32" s="2">
        <f t="shared" si="82"/>
        <v>0</v>
      </c>
      <c r="BJ32" s="2">
        <f t="shared" si="83"/>
        <v>0</v>
      </c>
      <c r="BK32" s="2">
        <f t="shared" si="84"/>
        <v>13392578.962636985</v>
      </c>
      <c r="BL32" s="2">
        <f t="shared" si="85"/>
        <v>40177736.887910955</v>
      </c>
      <c r="BM32" s="2">
        <f t="shared" si="86"/>
        <v>13392578.962636985</v>
      </c>
      <c r="BN32" s="2">
        <f t="shared" si="87"/>
        <v>0</v>
      </c>
      <c r="BO32" s="2">
        <f t="shared" si="88"/>
        <v>0</v>
      </c>
      <c r="BP32" s="2">
        <f t="shared" si="89"/>
        <v>0</v>
      </c>
      <c r="BQ32" s="2">
        <f t="shared" si="90"/>
        <v>0</v>
      </c>
      <c r="BR32" s="2">
        <f t="shared" si="91"/>
        <v>0</v>
      </c>
      <c r="BS32" s="2">
        <f t="shared" si="92"/>
        <v>0</v>
      </c>
      <c r="BT32" s="2">
        <f t="shared" si="93"/>
        <v>0</v>
      </c>
      <c r="BU32" s="2">
        <f t="shared" si="94"/>
        <v>0</v>
      </c>
      <c r="BV32" s="2">
        <f t="shared" si="95"/>
        <v>0</v>
      </c>
      <c r="BY32" s="1" t="s">
        <v>674</v>
      </c>
      <c r="CA32" s="1">
        <v>52968.860753113309</v>
      </c>
      <c r="CB32" s="1">
        <f t="shared" si="109"/>
        <v>52968.860753113309</v>
      </c>
      <c r="CI32" s="1">
        <v>1448463.841529299</v>
      </c>
      <c r="CJ32" s="1">
        <v>38</v>
      </c>
      <c r="CP32" s="2"/>
      <c r="CQ32" s="2">
        <v>18.75</v>
      </c>
      <c r="CR32" s="2">
        <v>56.25</v>
      </c>
      <c r="CS32" s="2">
        <v>18.75</v>
      </c>
      <c r="CT32" s="2">
        <v>6.25</v>
      </c>
      <c r="CU32" s="2"/>
      <c r="CZ32" s="1">
        <v>100</v>
      </c>
      <c r="DC32" s="1">
        <v>38</v>
      </c>
      <c r="DD32" s="2">
        <f t="shared" si="2"/>
        <v>0</v>
      </c>
      <c r="DE32" s="2">
        <f t="shared" si="3"/>
        <v>0</v>
      </c>
      <c r="DF32" s="2">
        <f t="shared" si="4"/>
        <v>0</v>
      </c>
      <c r="DG32" s="2">
        <f t="shared" si="5"/>
        <v>0</v>
      </c>
      <c r="DH32" s="2">
        <f t="shared" si="6"/>
        <v>0</v>
      </c>
      <c r="DI32" s="2">
        <f t="shared" si="7"/>
        <v>0</v>
      </c>
      <c r="DJ32" s="2">
        <f t="shared" si="8"/>
        <v>271586.97028674354</v>
      </c>
      <c r="DK32" s="2">
        <f t="shared" si="9"/>
        <v>814760.9108602308</v>
      </c>
      <c r="DL32" s="2">
        <f t="shared" si="10"/>
        <v>271586.97028674354</v>
      </c>
      <c r="DM32" s="2">
        <f t="shared" si="11"/>
        <v>90528.99009558119</v>
      </c>
      <c r="DN32" s="2">
        <f t="shared" si="12"/>
        <v>0</v>
      </c>
      <c r="DO32" s="2">
        <f t="shared" si="13"/>
        <v>0</v>
      </c>
      <c r="DP32" s="2">
        <f t="shared" si="14"/>
        <v>0</v>
      </c>
      <c r="DQ32" s="2">
        <f t="shared" si="15"/>
        <v>0</v>
      </c>
      <c r="DR32" s="2">
        <f t="shared" si="16"/>
        <v>0</v>
      </c>
      <c r="DT32" s="1">
        <v>36</v>
      </c>
      <c r="DU32" s="1">
        <v>1915328.2113599279</v>
      </c>
      <c r="DV32" s="1262"/>
      <c r="DW32" s="1262"/>
      <c r="DX32" s="1261"/>
      <c r="DY32" s="1261"/>
      <c r="DZ32" s="1261"/>
      <c r="EA32" s="1261">
        <v>0</v>
      </c>
      <c r="EB32" s="1261">
        <v>33.333333333333336</v>
      </c>
      <c r="EC32" s="1261">
        <v>50</v>
      </c>
      <c r="ED32" s="1261">
        <v>8.3333333333333339</v>
      </c>
      <c r="EE32" s="1261">
        <v>8.3333333333333339</v>
      </c>
      <c r="EF32" s="1261"/>
      <c r="EG32" s="1261"/>
      <c r="EH32" s="1261"/>
      <c r="EI32" s="1134"/>
      <c r="EJ32" s="1134"/>
      <c r="EM32" s="1">
        <v>36</v>
      </c>
      <c r="EN32" s="2">
        <f t="shared" si="17"/>
        <v>0</v>
      </c>
      <c r="EO32" s="2">
        <f t="shared" si="18"/>
        <v>0</v>
      </c>
      <c r="EP32" s="2">
        <f t="shared" si="19"/>
        <v>0</v>
      </c>
      <c r="EQ32" s="2">
        <f t="shared" si="20"/>
        <v>0</v>
      </c>
      <c r="ER32" s="2">
        <f t="shared" si="21"/>
        <v>0</v>
      </c>
      <c r="ES32" s="2">
        <f t="shared" si="22"/>
        <v>0</v>
      </c>
      <c r="ET32" s="2">
        <f t="shared" si="23"/>
        <v>638442.73711997597</v>
      </c>
      <c r="EU32" s="2">
        <f t="shared" si="24"/>
        <v>957664.10567996395</v>
      </c>
      <c r="EV32" s="2">
        <f t="shared" si="25"/>
        <v>159610.68427999399</v>
      </c>
      <c r="EW32" s="2">
        <f t="shared" si="26"/>
        <v>159610.68427999399</v>
      </c>
      <c r="EX32" s="2">
        <f t="shared" si="27"/>
        <v>0</v>
      </c>
      <c r="EY32" s="2">
        <f t="shared" si="28"/>
        <v>0</v>
      </c>
      <c r="EZ32" s="2">
        <f t="shared" si="29"/>
        <v>0</v>
      </c>
      <c r="FA32" s="2">
        <f t="shared" si="30"/>
        <v>0</v>
      </c>
      <c r="FB32" s="2">
        <f t="shared" si="31"/>
        <v>0</v>
      </c>
      <c r="FE32" s="1260">
        <v>35</v>
      </c>
      <c r="FF32" s="1261"/>
      <c r="FG32" s="1261"/>
      <c r="FH32" s="1261"/>
      <c r="FI32" s="1261"/>
      <c r="FJ32" s="1261"/>
      <c r="FK32" s="1252">
        <v>36.363636363636367</v>
      </c>
      <c r="FL32" s="1252">
        <v>27.272727272727273</v>
      </c>
      <c r="FM32" s="1252">
        <v>18.181818181818183</v>
      </c>
      <c r="FN32" s="1252">
        <v>18.181818181818183</v>
      </c>
      <c r="FO32" s="1252"/>
      <c r="FP32" s="1252"/>
      <c r="FQ32" s="1263"/>
      <c r="FR32" s="1134"/>
      <c r="FS32" s="1254"/>
      <c r="FT32"/>
      <c r="FU32" s="1255">
        <v>100.00000000000001</v>
      </c>
      <c r="FV32" s="1452"/>
      <c r="FX32" s="2">
        <v>2350792.0526657123</v>
      </c>
      <c r="FY32" s="1260">
        <v>35</v>
      </c>
      <c r="FZ32" s="2">
        <f t="shared" si="36"/>
        <v>0</v>
      </c>
      <c r="GA32" s="2">
        <f t="shared" si="37"/>
        <v>0</v>
      </c>
      <c r="GB32" s="2">
        <f t="shared" si="38"/>
        <v>0</v>
      </c>
      <c r="GC32" s="2">
        <f t="shared" si="39"/>
        <v>0</v>
      </c>
      <c r="GD32" s="2">
        <f t="shared" si="40"/>
        <v>0</v>
      </c>
      <c r="GE32" s="2">
        <f t="shared" si="41"/>
        <v>854833.47369662265</v>
      </c>
      <c r="GF32" s="2">
        <f t="shared" si="42"/>
        <v>641125.10527246702</v>
      </c>
      <c r="GG32" s="2">
        <f t="shared" si="43"/>
        <v>427416.73684831132</v>
      </c>
      <c r="GH32" s="2">
        <f t="shared" si="44"/>
        <v>427416.73684831132</v>
      </c>
      <c r="GI32" s="2">
        <f t="shared" si="45"/>
        <v>0</v>
      </c>
      <c r="GJ32" s="2">
        <f t="shared" si="46"/>
        <v>0</v>
      </c>
      <c r="GK32" s="2">
        <f t="shared" si="47"/>
        <v>0</v>
      </c>
      <c r="GL32" s="2">
        <f t="shared" si="48"/>
        <v>0</v>
      </c>
      <c r="GM32" s="2">
        <f t="shared" si="49"/>
        <v>0</v>
      </c>
      <c r="GN32" s="2">
        <f t="shared" si="50"/>
        <v>0</v>
      </c>
      <c r="GQ32" s="1260">
        <v>37</v>
      </c>
      <c r="GR32" s="1456"/>
      <c r="GS32" s="1456"/>
      <c r="GT32" s="1456"/>
      <c r="GU32" s="1456"/>
      <c r="GV32" s="1456"/>
      <c r="GW32" s="1456"/>
      <c r="GX32" s="1456">
        <v>28.57</v>
      </c>
      <c r="GY32" s="1456">
        <v>28.57</v>
      </c>
      <c r="GZ32" s="1456">
        <v>28.57</v>
      </c>
      <c r="HA32" s="1456">
        <v>14.29</v>
      </c>
      <c r="HB32" s="1456"/>
      <c r="HC32" s="1456"/>
      <c r="HD32" s="1456"/>
      <c r="HE32" s="1456"/>
      <c r="HF32" s="1134"/>
      <c r="HG32" s="1266">
        <f t="shared" si="79"/>
        <v>100</v>
      </c>
      <c r="HI32" s="2">
        <v>1957987.1985070459</v>
      </c>
      <c r="HJ32" s="1823">
        <v>35</v>
      </c>
      <c r="HK32" s="2">
        <f t="shared" si="51"/>
        <v>0</v>
      </c>
      <c r="HL32" s="2">
        <f t="shared" si="52"/>
        <v>0</v>
      </c>
      <c r="HM32" s="2">
        <f t="shared" si="53"/>
        <v>0</v>
      </c>
      <c r="HN32" s="2">
        <f t="shared" si="54"/>
        <v>0</v>
      </c>
      <c r="HO32" s="2">
        <f t="shared" si="55"/>
        <v>0</v>
      </c>
      <c r="HP32" s="2">
        <f t="shared" si="56"/>
        <v>0</v>
      </c>
      <c r="HQ32" s="2">
        <f t="shared" si="57"/>
        <v>559396.94261346303</v>
      </c>
      <c r="HR32" s="2">
        <f t="shared" si="58"/>
        <v>559396.94261346303</v>
      </c>
      <c r="HS32" s="2">
        <f t="shared" si="59"/>
        <v>559396.94261346303</v>
      </c>
      <c r="HT32" s="2">
        <f t="shared" si="60"/>
        <v>279796.37066665682</v>
      </c>
      <c r="HU32" s="2">
        <f t="shared" si="61"/>
        <v>0</v>
      </c>
      <c r="HV32" s="2">
        <f t="shared" si="62"/>
        <v>0</v>
      </c>
      <c r="HW32" s="2">
        <f t="shared" si="63"/>
        <v>0</v>
      </c>
      <c r="HX32" s="2">
        <f t="shared" si="64"/>
        <v>0</v>
      </c>
      <c r="HY32" s="2">
        <f t="shared" si="65"/>
        <v>0</v>
      </c>
      <c r="IB32" s="1">
        <v>37</v>
      </c>
      <c r="IJ32" s="1">
        <v>100</v>
      </c>
      <c r="IO32" s="1">
        <v>100</v>
      </c>
      <c r="IQ32" s="2">
        <v>272877.41769600753</v>
      </c>
      <c r="IR32" s="1">
        <v>37</v>
      </c>
      <c r="IS32" s="2">
        <f t="shared" si="66"/>
        <v>0</v>
      </c>
      <c r="IT32" s="2">
        <f t="shared" si="67"/>
        <v>0</v>
      </c>
      <c r="IU32" s="2">
        <f t="shared" si="68"/>
        <v>0</v>
      </c>
      <c r="IV32" s="2">
        <f t="shared" si="69"/>
        <v>0</v>
      </c>
      <c r="IW32" s="2">
        <f t="shared" si="70"/>
        <v>0</v>
      </c>
      <c r="IX32" s="2">
        <f t="shared" si="71"/>
        <v>0</v>
      </c>
      <c r="IY32" s="2">
        <f t="shared" si="72"/>
        <v>0</v>
      </c>
      <c r="IZ32" s="2">
        <f t="shared" si="73"/>
        <v>272877.41769600753</v>
      </c>
      <c r="JA32" s="2">
        <f t="shared" si="74"/>
        <v>0</v>
      </c>
      <c r="JB32" s="2">
        <f t="shared" si="75"/>
        <v>0</v>
      </c>
      <c r="JC32" s="2">
        <f t="shared" si="76"/>
        <v>0</v>
      </c>
      <c r="JD32" s="2">
        <f t="shared" si="77"/>
        <v>0</v>
      </c>
    </row>
    <row r="33" spans="1:264">
      <c r="A33" s="1">
        <v>33</v>
      </c>
      <c r="B33" s="2">
        <v>74804.794556192181</v>
      </c>
      <c r="D33" s="1">
        <v>33</v>
      </c>
      <c r="E33" s="961"/>
      <c r="F33" s="961"/>
      <c r="G33" s="959"/>
      <c r="H33" s="1879"/>
      <c r="I33" s="1879">
        <v>20</v>
      </c>
      <c r="J33" s="1879">
        <v>40</v>
      </c>
      <c r="K33" s="1879">
        <v>30</v>
      </c>
      <c r="L33" s="960">
        <v>10</v>
      </c>
      <c r="M33" s="960"/>
      <c r="N33" s="1879"/>
      <c r="O33" s="1879"/>
      <c r="Q33" s="1">
        <v>33</v>
      </c>
      <c r="R33" s="2">
        <f t="shared" si="98"/>
        <v>0</v>
      </c>
      <c r="S33" s="2">
        <f t="shared" si="99"/>
        <v>0</v>
      </c>
      <c r="T33" s="2">
        <f t="shared" si="100"/>
        <v>0</v>
      </c>
      <c r="U33" s="2">
        <f t="shared" si="101"/>
        <v>0</v>
      </c>
      <c r="V33" s="2">
        <f t="shared" si="102"/>
        <v>14960.958911238435</v>
      </c>
      <c r="W33" s="2">
        <f t="shared" si="103"/>
        <v>29921.917822476869</v>
      </c>
      <c r="X33" s="2">
        <f t="shared" si="104"/>
        <v>22441.438366857652</v>
      </c>
      <c r="Y33" s="2">
        <f t="shared" si="105"/>
        <v>7480.4794556192173</v>
      </c>
      <c r="Z33" s="2">
        <f t="shared" si="106"/>
        <v>0</v>
      </c>
      <c r="AA33" s="2">
        <f t="shared" si="107"/>
        <v>0</v>
      </c>
      <c r="AB33" s="2">
        <f t="shared" si="108"/>
        <v>0</v>
      </c>
      <c r="AF33" s="1" t="s">
        <v>578</v>
      </c>
      <c r="AG33" s="2">
        <v>60877.080088593175</v>
      </c>
      <c r="AL33" s="2">
        <v>67876023.68976894</v>
      </c>
      <c r="AN33" s="1">
        <v>33</v>
      </c>
      <c r="AS33" s="1">
        <v>10</v>
      </c>
      <c r="AT33" s="1">
        <v>50</v>
      </c>
      <c r="AU33" s="1">
        <v>40</v>
      </c>
      <c r="BG33" s="1">
        <v>33</v>
      </c>
      <c r="BH33" s="2">
        <f t="shared" si="81"/>
        <v>0</v>
      </c>
      <c r="BI33" s="2">
        <f t="shared" si="82"/>
        <v>0</v>
      </c>
      <c r="BJ33" s="2">
        <f t="shared" si="83"/>
        <v>0</v>
      </c>
      <c r="BK33" s="2">
        <f t="shared" si="84"/>
        <v>6787602.3689768938</v>
      </c>
      <c r="BL33" s="2">
        <f t="shared" si="85"/>
        <v>33938011.84488447</v>
      </c>
      <c r="BM33" s="2">
        <f t="shared" si="86"/>
        <v>27150409.475907575</v>
      </c>
      <c r="BN33" s="2">
        <f t="shared" si="87"/>
        <v>0</v>
      </c>
      <c r="BO33" s="2">
        <f t="shared" si="88"/>
        <v>0</v>
      </c>
      <c r="BP33" s="2">
        <f t="shared" si="89"/>
        <v>0</v>
      </c>
      <c r="BQ33" s="2">
        <f t="shared" si="90"/>
        <v>0</v>
      </c>
      <c r="BR33" s="2">
        <f t="shared" si="91"/>
        <v>0</v>
      </c>
      <c r="BS33" s="2">
        <f t="shared" si="92"/>
        <v>0</v>
      </c>
      <c r="BT33" s="2">
        <f t="shared" si="93"/>
        <v>0</v>
      </c>
      <c r="BU33" s="2">
        <f t="shared" si="94"/>
        <v>0</v>
      </c>
      <c r="BV33" s="2">
        <f t="shared" si="95"/>
        <v>0</v>
      </c>
      <c r="BY33" s="1" t="s">
        <v>675</v>
      </c>
      <c r="CA33" s="1">
        <v>12429.947001577724</v>
      </c>
      <c r="CB33" s="1">
        <f t="shared" si="109"/>
        <v>12429.947001577724</v>
      </c>
      <c r="CI33" s="1">
        <v>1155082.5143604453</v>
      </c>
      <c r="CJ33" s="1">
        <v>39</v>
      </c>
      <c r="CR33" s="2">
        <v>20</v>
      </c>
      <c r="CS33" s="2">
        <v>60</v>
      </c>
      <c r="CT33" s="2">
        <v>20</v>
      </c>
      <c r="CU33" s="2"/>
      <c r="CZ33" s="1">
        <v>100</v>
      </c>
      <c r="DC33" s="1">
        <v>39</v>
      </c>
      <c r="DD33" s="2">
        <f t="shared" si="2"/>
        <v>0</v>
      </c>
      <c r="DE33" s="2">
        <f t="shared" si="3"/>
        <v>0</v>
      </c>
      <c r="DF33" s="2">
        <f t="shared" si="4"/>
        <v>0</v>
      </c>
      <c r="DG33" s="2">
        <f t="shared" si="5"/>
        <v>0</v>
      </c>
      <c r="DH33" s="2">
        <f t="shared" si="6"/>
        <v>0</v>
      </c>
      <c r="DI33" s="2">
        <f t="shared" si="7"/>
        <v>0</v>
      </c>
      <c r="DJ33" s="2">
        <f t="shared" si="8"/>
        <v>0</v>
      </c>
      <c r="DK33" s="2">
        <f t="shared" si="9"/>
        <v>231016.50287208907</v>
      </c>
      <c r="DL33" s="2">
        <f t="shared" si="10"/>
        <v>693049.50861626712</v>
      </c>
      <c r="DM33" s="2">
        <f t="shared" si="11"/>
        <v>231016.50287208907</v>
      </c>
      <c r="DN33" s="2">
        <f t="shared" si="12"/>
        <v>0</v>
      </c>
      <c r="DO33" s="2">
        <f t="shared" si="13"/>
        <v>0</v>
      </c>
      <c r="DP33" s="2">
        <f t="shared" si="14"/>
        <v>0</v>
      </c>
      <c r="DQ33" s="2">
        <f t="shared" si="15"/>
        <v>0</v>
      </c>
      <c r="DR33" s="2">
        <f t="shared" si="16"/>
        <v>0</v>
      </c>
      <c r="DT33" s="1">
        <v>37</v>
      </c>
      <c r="DU33" s="1">
        <v>2190559.0746453772</v>
      </c>
      <c r="DV33" s="1261"/>
      <c r="DW33" s="1262"/>
      <c r="DX33" s="1261"/>
      <c r="DY33" s="1261"/>
      <c r="DZ33" s="1261"/>
      <c r="EA33" s="1261"/>
      <c r="EB33" s="1261">
        <v>16.666666666666668</v>
      </c>
      <c r="EC33" s="1261">
        <v>58.333333333333336</v>
      </c>
      <c r="ED33" s="1261">
        <v>16.666666666666668</v>
      </c>
      <c r="EE33" s="1261">
        <v>8.3333333333333339</v>
      </c>
      <c r="EF33" s="1261"/>
      <c r="EG33" s="1261"/>
      <c r="EH33" s="1261"/>
      <c r="EI33" s="1134"/>
      <c r="EJ33" s="1134"/>
      <c r="EM33" s="1">
        <v>37</v>
      </c>
      <c r="EN33" s="2">
        <f t="shared" si="17"/>
        <v>0</v>
      </c>
      <c r="EO33" s="2">
        <f t="shared" si="18"/>
        <v>0</v>
      </c>
      <c r="EP33" s="2">
        <f t="shared" si="19"/>
        <v>0</v>
      </c>
      <c r="EQ33" s="2">
        <f t="shared" si="20"/>
        <v>0</v>
      </c>
      <c r="ER33" s="2">
        <f t="shared" si="21"/>
        <v>0</v>
      </c>
      <c r="ES33" s="2">
        <f t="shared" si="22"/>
        <v>0</v>
      </c>
      <c r="ET33" s="2">
        <f t="shared" si="23"/>
        <v>365093.17910756287</v>
      </c>
      <c r="EU33" s="2">
        <f t="shared" si="24"/>
        <v>1277826.1268764702</v>
      </c>
      <c r="EV33" s="2">
        <f t="shared" si="25"/>
        <v>365093.17910756287</v>
      </c>
      <c r="EW33" s="2">
        <f t="shared" si="26"/>
        <v>182546.58955378144</v>
      </c>
      <c r="EX33" s="2">
        <f t="shared" si="27"/>
        <v>0</v>
      </c>
      <c r="EY33" s="2">
        <f t="shared" si="28"/>
        <v>0</v>
      </c>
      <c r="EZ33" s="2">
        <f t="shared" si="29"/>
        <v>0</v>
      </c>
      <c r="FA33" s="2">
        <f t="shared" si="30"/>
        <v>0</v>
      </c>
      <c r="FB33" s="2">
        <f t="shared" si="31"/>
        <v>0</v>
      </c>
      <c r="FE33" s="1260">
        <v>36</v>
      </c>
      <c r="FF33" s="1261"/>
      <c r="FG33" s="1261"/>
      <c r="FH33" s="1261"/>
      <c r="FI33" s="1261"/>
      <c r="FJ33" s="1261"/>
      <c r="FK33" s="1252">
        <v>11.111111111111111</v>
      </c>
      <c r="FL33" s="1252">
        <v>44.444444444444443</v>
      </c>
      <c r="FM33" s="1252">
        <v>44.444444444444443</v>
      </c>
      <c r="FN33" s="1252">
        <v>0</v>
      </c>
      <c r="FO33" s="1252"/>
      <c r="FP33" s="1252"/>
      <c r="FQ33" s="1263"/>
      <c r="FR33" s="1134"/>
      <c r="FS33" s="1134"/>
      <c r="FT33" s="1257"/>
      <c r="FU33" s="1258">
        <v>100</v>
      </c>
      <c r="FV33" s="1452"/>
      <c r="FX33" s="2">
        <v>1450106.7193207769</v>
      </c>
      <c r="FY33" s="1260">
        <v>36</v>
      </c>
      <c r="FZ33" s="2">
        <f t="shared" si="36"/>
        <v>0</v>
      </c>
      <c r="GA33" s="2">
        <f t="shared" si="37"/>
        <v>0</v>
      </c>
      <c r="GB33" s="2">
        <f t="shared" si="38"/>
        <v>0</v>
      </c>
      <c r="GC33" s="2">
        <f t="shared" si="39"/>
        <v>0</v>
      </c>
      <c r="GD33" s="2">
        <f t="shared" si="40"/>
        <v>0</v>
      </c>
      <c r="GE33" s="2">
        <f t="shared" si="41"/>
        <v>161122.96881341963</v>
      </c>
      <c r="GF33" s="2">
        <f t="shared" si="42"/>
        <v>644491.87525367853</v>
      </c>
      <c r="GG33" s="2">
        <f t="shared" si="43"/>
        <v>644491.87525367853</v>
      </c>
      <c r="GH33" s="2">
        <f t="shared" si="44"/>
        <v>0</v>
      </c>
      <c r="GI33" s="2">
        <f t="shared" si="45"/>
        <v>0</v>
      </c>
      <c r="GJ33" s="2">
        <f t="shared" si="46"/>
        <v>0</v>
      </c>
      <c r="GK33" s="2">
        <f t="shared" si="47"/>
        <v>0</v>
      </c>
      <c r="GL33" s="2">
        <f t="shared" si="48"/>
        <v>0</v>
      </c>
      <c r="GM33" s="2">
        <f t="shared" si="49"/>
        <v>0</v>
      </c>
      <c r="GN33" s="2">
        <f t="shared" si="50"/>
        <v>0</v>
      </c>
      <c r="GQ33" s="1260">
        <v>38</v>
      </c>
      <c r="GR33" s="1456"/>
      <c r="GS33" s="1456"/>
      <c r="GT33" s="1456"/>
      <c r="GU33" s="1456"/>
      <c r="GV33" s="1456"/>
      <c r="GW33" s="1456"/>
      <c r="GX33" s="1456"/>
      <c r="GY33" s="1456">
        <v>33.33</v>
      </c>
      <c r="GZ33" s="1456">
        <v>50</v>
      </c>
      <c r="HA33" s="1456">
        <v>16.670000000000002</v>
      </c>
      <c r="HB33" s="1456"/>
      <c r="HC33" s="1456"/>
      <c r="HD33" s="1456"/>
      <c r="HE33" s="1456"/>
      <c r="HF33" s="1134"/>
      <c r="HG33" s="1266">
        <f t="shared" si="79"/>
        <v>100</v>
      </c>
      <c r="HI33" s="2">
        <v>1569253.4647206615</v>
      </c>
      <c r="HJ33" s="1823">
        <v>36</v>
      </c>
      <c r="HK33" s="2">
        <f t="shared" si="51"/>
        <v>0</v>
      </c>
      <c r="HL33" s="2">
        <f t="shared" si="52"/>
        <v>0</v>
      </c>
      <c r="HM33" s="2">
        <f t="shared" si="53"/>
        <v>0</v>
      </c>
      <c r="HN33" s="2">
        <f t="shared" si="54"/>
        <v>0</v>
      </c>
      <c r="HO33" s="2">
        <f t="shared" si="55"/>
        <v>0</v>
      </c>
      <c r="HP33" s="2">
        <f t="shared" si="56"/>
        <v>0</v>
      </c>
      <c r="HQ33" s="2">
        <f t="shared" si="57"/>
        <v>0</v>
      </c>
      <c r="HR33" s="2">
        <f t="shared" si="58"/>
        <v>523032.17979139648</v>
      </c>
      <c r="HS33" s="2">
        <f t="shared" si="59"/>
        <v>784626.73236033088</v>
      </c>
      <c r="HT33" s="2">
        <f t="shared" si="60"/>
        <v>261594.5525689343</v>
      </c>
      <c r="HU33" s="2">
        <f t="shared" si="61"/>
        <v>0</v>
      </c>
      <c r="HV33" s="2">
        <f t="shared" si="62"/>
        <v>0</v>
      </c>
      <c r="HW33" s="2">
        <f t="shared" si="63"/>
        <v>0</v>
      </c>
      <c r="HX33" s="2">
        <f t="shared" si="64"/>
        <v>0</v>
      </c>
      <c r="HY33" s="2">
        <f t="shared" si="65"/>
        <v>0</v>
      </c>
      <c r="IB33" s="1">
        <v>38</v>
      </c>
      <c r="IJ33" s="1">
        <v>25</v>
      </c>
      <c r="IK33" s="1">
        <v>50</v>
      </c>
      <c r="IL33" s="1">
        <v>25</v>
      </c>
      <c r="IO33" s="1">
        <v>100</v>
      </c>
      <c r="IQ33" s="2">
        <v>457254.44718991441</v>
      </c>
      <c r="IR33" s="1">
        <v>38</v>
      </c>
      <c r="IS33" s="2">
        <f t="shared" si="66"/>
        <v>0</v>
      </c>
      <c r="IT33" s="2">
        <f t="shared" si="67"/>
        <v>0</v>
      </c>
      <c r="IU33" s="2">
        <f t="shared" si="68"/>
        <v>0</v>
      </c>
      <c r="IV33" s="2">
        <f t="shared" si="69"/>
        <v>0</v>
      </c>
      <c r="IW33" s="2">
        <f t="shared" si="70"/>
        <v>0</v>
      </c>
      <c r="IX33" s="2">
        <f t="shared" si="71"/>
        <v>0</v>
      </c>
      <c r="IY33" s="2">
        <f t="shared" si="72"/>
        <v>0</v>
      </c>
      <c r="IZ33" s="2">
        <f t="shared" si="73"/>
        <v>114313.6117974786</v>
      </c>
      <c r="JA33" s="2">
        <f t="shared" si="74"/>
        <v>228627.22359495721</v>
      </c>
      <c r="JB33" s="2">
        <f t="shared" si="75"/>
        <v>114313.6117974786</v>
      </c>
      <c r="JC33" s="2">
        <f t="shared" si="76"/>
        <v>0</v>
      </c>
      <c r="JD33" s="2">
        <f t="shared" si="77"/>
        <v>0</v>
      </c>
    </row>
    <row r="34" spans="1:264">
      <c r="A34" s="1">
        <v>34</v>
      </c>
      <c r="B34" s="2">
        <v>72898.864008410106</v>
      </c>
      <c r="D34" s="1">
        <v>34</v>
      </c>
      <c r="E34" s="961"/>
      <c r="F34" s="961"/>
      <c r="G34" s="959"/>
      <c r="H34" s="1879"/>
      <c r="I34" s="1879"/>
      <c r="J34" s="1879">
        <v>27.28</v>
      </c>
      <c r="K34" s="1879">
        <v>54.54</v>
      </c>
      <c r="L34" s="960">
        <v>18.18</v>
      </c>
      <c r="M34" s="960"/>
      <c r="N34" s="1879"/>
      <c r="O34" s="1879"/>
      <c r="Q34" s="1">
        <v>34</v>
      </c>
      <c r="R34" s="2">
        <f t="shared" si="98"/>
        <v>0</v>
      </c>
      <c r="S34" s="2">
        <f t="shared" si="99"/>
        <v>0</v>
      </c>
      <c r="T34" s="2">
        <f t="shared" si="100"/>
        <v>0</v>
      </c>
      <c r="U34" s="2">
        <f t="shared" si="101"/>
        <v>0</v>
      </c>
      <c r="V34" s="2">
        <f t="shared" si="102"/>
        <v>0</v>
      </c>
      <c r="W34" s="2">
        <f t="shared" si="103"/>
        <v>19886.810101494277</v>
      </c>
      <c r="X34" s="2">
        <f t="shared" si="104"/>
        <v>39759.040430186869</v>
      </c>
      <c r="Y34" s="2">
        <f t="shared" si="105"/>
        <v>13253.013476728956</v>
      </c>
      <c r="Z34" s="2">
        <f t="shared" si="106"/>
        <v>0</v>
      </c>
      <c r="AA34" s="2">
        <f t="shared" si="107"/>
        <v>0</v>
      </c>
      <c r="AB34" s="2">
        <f t="shared" si="108"/>
        <v>0</v>
      </c>
      <c r="AF34" s="1" t="s">
        <v>579</v>
      </c>
      <c r="AG34" s="2">
        <v>5434.6999853395773</v>
      </c>
      <c r="AL34" s="2">
        <v>71694214.386076748</v>
      </c>
      <c r="AN34" s="1">
        <v>34</v>
      </c>
      <c r="AT34" s="1">
        <v>40</v>
      </c>
      <c r="AU34" s="1">
        <v>50</v>
      </c>
      <c r="AV34" s="1">
        <v>10</v>
      </c>
      <c r="BG34" s="1">
        <v>34</v>
      </c>
      <c r="BH34" s="2">
        <f t="shared" si="81"/>
        <v>0</v>
      </c>
      <c r="BI34" s="2">
        <f t="shared" si="82"/>
        <v>0</v>
      </c>
      <c r="BJ34" s="2">
        <f t="shared" si="83"/>
        <v>0</v>
      </c>
      <c r="BK34" s="2">
        <f t="shared" si="84"/>
        <v>0</v>
      </c>
      <c r="BL34" s="2">
        <f t="shared" si="85"/>
        <v>28677685.7544307</v>
      </c>
      <c r="BM34" s="2">
        <f t="shared" si="86"/>
        <v>35847107.193038374</v>
      </c>
      <c r="BN34" s="2">
        <f t="shared" si="87"/>
        <v>7169421.438607675</v>
      </c>
      <c r="BO34" s="2">
        <f t="shared" si="88"/>
        <v>0</v>
      </c>
      <c r="BP34" s="2">
        <f t="shared" si="89"/>
        <v>0</v>
      </c>
      <c r="BQ34" s="2">
        <f t="shared" si="90"/>
        <v>0</v>
      </c>
      <c r="BR34" s="2">
        <f t="shared" si="91"/>
        <v>0</v>
      </c>
      <c r="BS34" s="2">
        <f t="shared" si="92"/>
        <v>0</v>
      </c>
      <c r="BT34" s="2">
        <f t="shared" si="93"/>
        <v>0</v>
      </c>
      <c r="BU34" s="2">
        <f t="shared" si="94"/>
        <v>0</v>
      </c>
      <c r="BV34" s="2">
        <f t="shared" si="95"/>
        <v>0</v>
      </c>
      <c r="BY34" s="1" t="s">
        <v>676</v>
      </c>
      <c r="CA34" s="1">
        <v>0</v>
      </c>
      <c r="CB34" s="1">
        <f t="shared" si="109"/>
        <v>0</v>
      </c>
      <c r="CI34" s="1">
        <v>159016.01112438709</v>
      </c>
      <c r="CJ34" s="1">
        <v>40</v>
      </c>
      <c r="CR34" s="2">
        <v>7.6923076923076925</v>
      </c>
      <c r="CS34" s="2">
        <v>38.46153846153846</v>
      </c>
      <c r="CT34" s="2">
        <v>30.76923076923077</v>
      </c>
      <c r="CU34" s="2">
        <v>23.076923076923077</v>
      </c>
      <c r="CZ34" s="1">
        <v>100</v>
      </c>
      <c r="DC34" s="1">
        <v>40</v>
      </c>
      <c r="DD34" s="2">
        <f t="shared" si="2"/>
        <v>0</v>
      </c>
      <c r="DE34" s="2">
        <f t="shared" si="3"/>
        <v>0</v>
      </c>
      <c r="DF34" s="2">
        <f t="shared" si="4"/>
        <v>0</v>
      </c>
      <c r="DG34" s="2">
        <f t="shared" si="5"/>
        <v>0</v>
      </c>
      <c r="DH34" s="2">
        <f t="shared" si="6"/>
        <v>0</v>
      </c>
      <c r="DI34" s="2">
        <f t="shared" si="7"/>
        <v>0</v>
      </c>
      <c r="DJ34" s="2">
        <f t="shared" si="8"/>
        <v>0</v>
      </c>
      <c r="DK34" s="2">
        <f t="shared" si="9"/>
        <v>12232.000855722084</v>
      </c>
      <c r="DL34" s="2">
        <f t="shared" si="10"/>
        <v>61160.004278610417</v>
      </c>
      <c r="DM34" s="2">
        <f t="shared" si="11"/>
        <v>48928.003422888338</v>
      </c>
      <c r="DN34" s="2">
        <f t="shared" si="12"/>
        <v>36696.002567166252</v>
      </c>
      <c r="DO34" s="2">
        <f t="shared" si="13"/>
        <v>0</v>
      </c>
      <c r="DP34" s="2">
        <f t="shared" si="14"/>
        <v>0</v>
      </c>
      <c r="DQ34" s="2">
        <f t="shared" si="15"/>
        <v>0</v>
      </c>
      <c r="DR34" s="2">
        <f t="shared" si="16"/>
        <v>0</v>
      </c>
      <c r="DT34" s="1">
        <v>38</v>
      </c>
      <c r="DU34" s="1">
        <v>931148.24101199047</v>
      </c>
      <c r="DV34" s="1261"/>
      <c r="DW34" s="1262"/>
      <c r="DX34" s="1261"/>
      <c r="DY34" s="1261"/>
      <c r="DZ34" s="1261"/>
      <c r="EA34" s="1261"/>
      <c r="EB34" s="1261"/>
      <c r="EC34" s="1261">
        <v>20</v>
      </c>
      <c r="ED34" s="1261">
        <v>50</v>
      </c>
      <c r="EE34" s="1261">
        <v>20</v>
      </c>
      <c r="EF34" s="1261">
        <v>10</v>
      </c>
      <c r="EG34" s="1261"/>
      <c r="EH34" s="1261"/>
      <c r="EI34" s="1134"/>
      <c r="EJ34" s="1134"/>
      <c r="EM34" s="1">
        <v>38</v>
      </c>
      <c r="EN34" s="2">
        <f t="shared" si="17"/>
        <v>0</v>
      </c>
      <c r="EO34" s="2">
        <f t="shared" si="18"/>
        <v>0</v>
      </c>
      <c r="EP34" s="2">
        <f t="shared" si="19"/>
        <v>0</v>
      </c>
      <c r="EQ34" s="2">
        <f t="shared" si="20"/>
        <v>0</v>
      </c>
      <c r="ER34" s="2">
        <f t="shared" si="21"/>
        <v>0</v>
      </c>
      <c r="ES34" s="2">
        <f t="shared" si="22"/>
        <v>0</v>
      </c>
      <c r="ET34" s="2">
        <f t="shared" si="23"/>
        <v>0</v>
      </c>
      <c r="EU34" s="2">
        <f t="shared" si="24"/>
        <v>186229.64820239809</v>
      </c>
      <c r="EV34" s="2">
        <f t="shared" si="25"/>
        <v>465574.12050599523</v>
      </c>
      <c r="EW34" s="2">
        <f t="shared" si="26"/>
        <v>186229.64820239809</v>
      </c>
      <c r="EX34" s="2">
        <f t="shared" si="27"/>
        <v>93114.824101199047</v>
      </c>
      <c r="EY34" s="2">
        <f t="shared" si="28"/>
        <v>0</v>
      </c>
      <c r="EZ34" s="2">
        <f t="shared" si="29"/>
        <v>0</v>
      </c>
      <c r="FA34" s="2">
        <f t="shared" si="30"/>
        <v>0</v>
      </c>
      <c r="FB34" s="2">
        <f t="shared" si="31"/>
        <v>0</v>
      </c>
      <c r="FE34" s="1260">
        <v>37</v>
      </c>
      <c r="FF34" s="1261"/>
      <c r="FG34" s="1261"/>
      <c r="FH34" s="1261"/>
      <c r="FI34" s="1261"/>
      <c r="FJ34" s="1261"/>
      <c r="FK34" s="1252">
        <v>0</v>
      </c>
      <c r="FL34" s="1252">
        <v>25</v>
      </c>
      <c r="FM34" s="1252">
        <v>41.666666666666664</v>
      </c>
      <c r="FN34" s="1252">
        <v>25</v>
      </c>
      <c r="FO34" s="1252">
        <v>8.3333333333333339</v>
      </c>
      <c r="FP34" s="1252"/>
      <c r="FQ34" s="1263"/>
      <c r="FR34" s="1134"/>
      <c r="FS34" s="1254"/>
      <c r="FT34"/>
      <c r="FU34" s="1255">
        <v>99.999999999999986</v>
      </c>
      <c r="FV34" s="1452"/>
      <c r="FX34" s="2">
        <v>1015109.903958824</v>
      </c>
      <c r="FY34" s="1260">
        <v>37</v>
      </c>
      <c r="FZ34" s="2">
        <f t="shared" si="36"/>
        <v>0</v>
      </c>
      <c r="GA34" s="2">
        <f t="shared" si="37"/>
        <v>0</v>
      </c>
      <c r="GB34" s="2">
        <f t="shared" si="38"/>
        <v>0</v>
      </c>
      <c r="GC34" s="2">
        <f t="shared" si="39"/>
        <v>0</v>
      </c>
      <c r="GD34" s="2">
        <f t="shared" si="40"/>
        <v>0</v>
      </c>
      <c r="GE34" s="2">
        <f t="shared" si="41"/>
        <v>0</v>
      </c>
      <c r="GF34" s="2">
        <f t="shared" si="42"/>
        <v>253777.475989706</v>
      </c>
      <c r="GG34" s="2">
        <f t="shared" si="43"/>
        <v>422962.45998284331</v>
      </c>
      <c r="GH34" s="2">
        <f t="shared" si="44"/>
        <v>253777.475989706</v>
      </c>
      <c r="GI34" s="2">
        <f t="shared" si="45"/>
        <v>84592.491996568671</v>
      </c>
      <c r="GJ34" s="2">
        <f t="shared" si="46"/>
        <v>0</v>
      </c>
      <c r="GK34" s="2">
        <f t="shared" si="47"/>
        <v>0</v>
      </c>
      <c r="GL34" s="2">
        <f t="shared" si="48"/>
        <v>0</v>
      </c>
      <c r="GM34" s="2">
        <f t="shared" si="49"/>
        <v>0</v>
      </c>
      <c r="GN34" s="2">
        <f t="shared" si="50"/>
        <v>0</v>
      </c>
      <c r="GQ34" s="1260">
        <v>39</v>
      </c>
      <c r="GR34" s="1456"/>
      <c r="GS34" s="1456"/>
      <c r="GT34" s="1456"/>
      <c r="GU34" s="1456"/>
      <c r="GV34" s="1456"/>
      <c r="GW34" s="1456"/>
      <c r="GX34" s="1456"/>
      <c r="GY34" s="1456">
        <v>33.340000000000003</v>
      </c>
      <c r="GZ34" s="1456">
        <v>33.33</v>
      </c>
      <c r="HA34" s="1456">
        <v>33.33</v>
      </c>
      <c r="HB34" s="1456"/>
      <c r="HC34" s="1456"/>
      <c r="HD34" s="1456"/>
      <c r="HE34" s="1456"/>
      <c r="HF34" s="1134"/>
      <c r="HG34" s="1266">
        <f t="shared" si="79"/>
        <v>100</v>
      </c>
      <c r="HI34" s="2">
        <v>322267.66359844792</v>
      </c>
      <c r="HJ34" s="1823">
        <v>37</v>
      </c>
      <c r="HK34" s="2">
        <f t="shared" si="51"/>
        <v>0</v>
      </c>
      <c r="HL34" s="2">
        <f t="shared" si="52"/>
        <v>0</v>
      </c>
      <c r="HM34" s="2">
        <f t="shared" si="53"/>
        <v>0</v>
      </c>
      <c r="HN34" s="2">
        <f t="shared" si="54"/>
        <v>0</v>
      </c>
      <c r="HO34" s="2">
        <f t="shared" si="55"/>
        <v>0</v>
      </c>
      <c r="HP34" s="2">
        <f t="shared" si="56"/>
        <v>0</v>
      </c>
      <c r="HQ34" s="2">
        <f t="shared" si="57"/>
        <v>0</v>
      </c>
      <c r="HR34" s="2">
        <f t="shared" si="58"/>
        <v>107444.03904372254</v>
      </c>
      <c r="HS34" s="2">
        <f t="shared" si="59"/>
        <v>107411.81227736268</v>
      </c>
      <c r="HT34" s="2">
        <f t="shared" si="60"/>
        <v>107411.81227736268</v>
      </c>
      <c r="HU34" s="2">
        <f t="shared" si="61"/>
        <v>0</v>
      </c>
      <c r="HV34" s="2">
        <f t="shared" si="62"/>
        <v>0</v>
      </c>
      <c r="HW34" s="2">
        <f t="shared" si="63"/>
        <v>0</v>
      </c>
      <c r="HX34" s="2">
        <f t="shared" si="64"/>
        <v>0</v>
      </c>
      <c r="HY34" s="2">
        <f t="shared" si="65"/>
        <v>0</v>
      </c>
      <c r="IB34" s="1">
        <v>39</v>
      </c>
      <c r="IK34" s="1">
        <v>66.67</v>
      </c>
      <c r="IL34" s="1">
        <v>33.33</v>
      </c>
      <c r="IO34" s="1">
        <v>100</v>
      </c>
      <c r="IQ34" s="2">
        <v>0</v>
      </c>
      <c r="IR34" s="1">
        <v>39</v>
      </c>
      <c r="IS34" s="2">
        <f t="shared" si="66"/>
        <v>0</v>
      </c>
      <c r="IT34" s="2">
        <f t="shared" si="67"/>
        <v>0</v>
      </c>
      <c r="IU34" s="2">
        <f t="shared" si="68"/>
        <v>0</v>
      </c>
      <c r="IV34" s="2">
        <f t="shared" si="69"/>
        <v>0</v>
      </c>
      <c r="IW34" s="2">
        <f t="shared" si="70"/>
        <v>0</v>
      </c>
      <c r="IX34" s="2">
        <f t="shared" si="71"/>
        <v>0</v>
      </c>
      <c r="IY34" s="2">
        <f t="shared" si="72"/>
        <v>0</v>
      </c>
      <c r="IZ34" s="2">
        <f t="shared" si="73"/>
        <v>0</v>
      </c>
      <c r="JA34" s="2">
        <f t="shared" si="74"/>
        <v>0</v>
      </c>
      <c r="JB34" s="2">
        <f t="shared" si="75"/>
        <v>0</v>
      </c>
      <c r="JC34" s="2">
        <f t="shared" si="76"/>
        <v>0</v>
      </c>
      <c r="JD34" s="2">
        <f t="shared" si="77"/>
        <v>0</v>
      </c>
    </row>
    <row r="35" spans="1:264">
      <c r="A35" s="1">
        <v>35</v>
      </c>
      <c r="B35" s="2">
        <v>66707.061380201601</v>
      </c>
      <c r="D35" s="1">
        <v>35</v>
      </c>
      <c r="E35" s="817"/>
      <c r="F35" s="961"/>
      <c r="G35" s="959"/>
      <c r="H35" s="1879"/>
      <c r="I35" s="1879"/>
      <c r="J35" s="1879">
        <v>20</v>
      </c>
      <c r="K35" s="1879">
        <v>40</v>
      </c>
      <c r="L35" s="960">
        <v>40</v>
      </c>
      <c r="M35" s="960"/>
      <c r="N35" s="1879"/>
      <c r="O35" s="1879"/>
      <c r="Q35" s="1">
        <v>35</v>
      </c>
      <c r="R35" s="2">
        <f t="shared" si="98"/>
        <v>0</v>
      </c>
      <c r="S35" s="2">
        <f t="shared" si="99"/>
        <v>0</v>
      </c>
      <c r="T35" s="2">
        <f t="shared" si="100"/>
        <v>0</v>
      </c>
      <c r="U35" s="2">
        <f t="shared" si="101"/>
        <v>0</v>
      </c>
      <c r="V35" s="2">
        <f t="shared" si="102"/>
        <v>0</v>
      </c>
      <c r="W35" s="2">
        <f t="shared" si="103"/>
        <v>13341.412276040321</v>
      </c>
      <c r="X35" s="2">
        <f t="shared" si="104"/>
        <v>26682.824552080641</v>
      </c>
      <c r="Y35" s="2">
        <f t="shared" si="105"/>
        <v>26682.824552080641</v>
      </c>
      <c r="Z35" s="2">
        <f t="shared" si="106"/>
        <v>0</v>
      </c>
      <c r="AA35" s="2">
        <f t="shared" si="107"/>
        <v>0</v>
      </c>
      <c r="AB35" s="2">
        <f t="shared" si="108"/>
        <v>0</v>
      </c>
      <c r="AF35" s="1" t="s">
        <v>580</v>
      </c>
      <c r="AL35" s="2">
        <v>74100651.271497801</v>
      </c>
      <c r="AN35" s="1">
        <v>35</v>
      </c>
      <c r="AT35" s="1">
        <v>18.18</v>
      </c>
      <c r="AU35" s="1">
        <v>54.55</v>
      </c>
      <c r="AV35" s="1">
        <v>27.27</v>
      </c>
      <c r="BG35" s="1">
        <v>35</v>
      </c>
      <c r="BH35" s="2">
        <f t="shared" si="81"/>
        <v>0</v>
      </c>
      <c r="BI35" s="2">
        <f t="shared" si="82"/>
        <v>0</v>
      </c>
      <c r="BJ35" s="2">
        <f t="shared" si="83"/>
        <v>0</v>
      </c>
      <c r="BK35" s="2">
        <f t="shared" si="84"/>
        <v>0</v>
      </c>
      <c r="BL35" s="2">
        <f t="shared" si="85"/>
        <v>13471498.401158299</v>
      </c>
      <c r="BM35" s="2">
        <f t="shared" si="86"/>
        <v>40421905.268602043</v>
      </c>
      <c r="BN35" s="2">
        <f t="shared" si="87"/>
        <v>20207247.601737451</v>
      </c>
      <c r="BO35" s="2">
        <f t="shared" si="88"/>
        <v>0</v>
      </c>
      <c r="BP35" s="2">
        <f t="shared" si="89"/>
        <v>0</v>
      </c>
      <c r="BQ35" s="2">
        <f t="shared" si="90"/>
        <v>0</v>
      </c>
      <c r="BR35" s="2">
        <f t="shared" si="91"/>
        <v>0</v>
      </c>
      <c r="BS35" s="2">
        <f t="shared" si="92"/>
        <v>0</v>
      </c>
      <c r="BT35" s="2">
        <f t="shared" si="93"/>
        <v>0</v>
      </c>
      <c r="BU35" s="2">
        <f t="shared" si="94"/>
        <v>0</v>
      </c>
      <c r="BV35" s="2">
        <f t="shared" si="95"/>
        <v>0</v>
      </c>
      <c r="CI35" s="1">
        <v>201141.99561496734</v>
      </c>
      <c r="CJ35" s="1">
        <v>41</v>
      </c>
      <c r="CR35" s="2">
        <v>9.0909090909090917</v>
      </c>
      <c r="CS35" s="2">
        <v>18.181818181818183</v>
      </c>
      <c r="CT35" s="2">
        <v>45.454545454545453</v>
      </c>
      <c r="CU35" s="2">
        <v>18.181818181818183</v>
      </c>
      <c r="CV35" s="2">
        <v>9.0909090909090917</v>
      </c>
      <c r="CZ35" s="1">
        <v>100</v>
      </c>
      <c r="DC35" s="1">
        <v>41</v>
      </c>
      <c r="DD35" s="2">
        <f t="shared" si="2"/>
        <v>0</v>
      </c>
      <c r="DE35" s="2">
        <f t="shared" si="3"/>
        <v>0</v>
      </c>
      <c r="DF35" s="2">
        <f t="shared" si="4"/>
        <v>0</v>
      </c>
      <c r="DG35" s="2">
        <f t="shared" si="5"/>
        <v>0</v>
      </c>
      <c r="DH35" s="2">
        <f t="shared" si="6"/>
        <v>0</v>
      </c>
      <c r="DI35" s="2">
        <f t="shared" si="7"/>
        <v>0</v>
      </c>
      <c r="DJ35" s="2">
        <f t="shared" si="8"/>
        <v>0</v>
      </c>
      <c r="DK35" s="2">
        <f t="shared" si="9"/>
        <v>18285.635964997033</v>
      </c>
      <c r="DL35" s="2">
        <f t="shared" si="10"/>
        <v>36571.271929994065</v>
      </c>
      <c r="DM35" s="2">
        <f t="shared" si="11"/>
        <v>91428.179824985156</v>
      </c>
      <c r="DN35" s="2">
        <f t="shared" si="12"/>
        <v>36571.271929994065</v>
      </c>
      <c r="DO35" s="2">
        <f t="shared" si="13"/>
        <v>18285.635964997033</v>
      </c>
      <c r="DP35" s="2">
        <f t="shared" si="14"/>
        <v>0</v>
      </c>
      <c r="DQ35" s="2">
        <f t="shared" si="15"/>
        <v>0</v>
      </c>
      <c r="DR35" s="2">
        <f t="shared" si="16"/>
        <v>0</v>
      </c>
      <c r="DT35" s="1">
        <v>39</v>
      </c>
      <c r="DU35" s="1">
        <v>594499.1066410077</v>
      </c>
      <c r="DV35" s="1261"/>
      <c r="DW35" s="1262"/>
      <c r="DX35" s="1261"/>
      <c r="DY35" s="1261"/>
      <c r="DZ35" s="1261"/>
      <c r="EA35" s="1261"/>
      <c r="EB35" s="1261"/>
      <c r="EC35" s="1261">
        <v>22.222222222222221</v>
      </c>
      <c r="ED35" s="1261">
        <v>44.444444444444443</v>
      </c>
      <c r="EE35" s="1261">
        <v>11.111111111111111</v>
      </c>
      <c r="EF35" s="1261">
        <v>11.111111111111111</v>
      </c>
      <c r="EG35" s="1261">
        <v>11.111111111111111</v>
      </c>
      <c r="EH35" s="1261"/>
      <c r="EI35" s="1134"/>
      <c r="EJ35" s="1134"/>
      <c r="EM35" s="1">
        <v>39</v>
      </c>
      <c r="EN35" s="2">
        <f t="shared" si="17"/>
        <v>0</v>
      </c>
      <c r="EO35" s="2">
        <f t="shared" si="18"/>
        <v>0</v>
      </c>
      <c r="EP35" s="2">
        <f t="shared" si="19"/>
        <v>0</v>
      </c>
      <c r="EQ35" s="2">
        <f t="shared" si="20"/>
        <v>0</v>
      </c>
      <c r="ER35" s="2">
        <f t="shared" si="21"/>
        <v>0</v>
      </c>
      <c r="ES35" s="2">
        <f t="shared" si="22"/>
        <v>0</v>
      </c>
      <c r="ET35" s="2">
        <f t="shared" si="23"/>
        <v>0</v>
      </c>
      <c r="EU35" s="2">
        <f t="shared" si="24"/>
        <v>132110.9125868906</v>
      </c>
      <c r="EV35" s="2">
        <f t="shared" si="25"/>
        <v>264221.8251737812</v>
      </c>
      <c r="EW35" s="2">
        <f t="shared" si="26"/>
        <v>66055.456293445299</v>
      </c>
      <c r="EX35" s="2">
        <f t="shared" si="27"/>
        <v>66055.456293445299</v>
      </c>
      <c r="EY35" s="2">
        <f t="shared" si="28"/>
        <v>66055.456293445299</v>
      </c>
      <c r="EZ35" s="2">
        <f t="shared" si="29"/>
        <v>0</v>
      </c>
      <c r="FA35" s="2">
        <f t="shared" si="30"/>
        <v>0</v>
      </c>
      <c r="FB35" s="2">
        <f t="shared" si="31"/>
        <v>0</v>
      </c>
      <c r="FE35" s="1260">
        <v>38</v>
      </c>
      <c r="FF35" s="1261"/>
      <c r="FG35" s="1261"/>
      <c r="FH35" s="1261"/>
      <c r="FI35" s="1261"/>
      <c r="FJ35" s="1261"/>
      <c r="FK35" s="1261"/>
      <c r="FL35" s="1252">
        <v>14.285714285714286</v>
      </c>
      <c r="FM35" s="1252">
        <v>57.142857142857146</v>
      </c>
      <c r="FN35" s="1252">
        <v>28.571428571428573</v>
      </c>
      <c r="FO35" s="1252">
        <v>0</v>
      </c>
      <c r="FP35" s="1252">
        <v>0</v>
      </c>
      <c r="FQ35" s="1252"/>
      <c r="FR35" s="1252"/>
      <c r="FS35" s="1252"/>
      <c r="FT35" s="1257"/>
      <c r="FU35" s="1258">
        <v>100</v>
      </c>
      <c r="FV35" s="1452"/>
      <c r="FX35" s="2">
        <v>521591.23707900569</v>
      </c>
      <c r="FY35" s="1260">
        <v>38</v>
      </c>
      <c r="FZ35" s="2">
        <f t="shared" si="36"/>
        <v>0</v>
      </c>
      <c r="GA35" s="2">
        <f t="shared" si="37"/>
        <v>0</v>
      </c>
      <c r="GB35" s="2">
        <f t="shared" si="38"/>
        <v>0</v>
      </c>
      <c r="GC35" s="2">
        <f t="shared" si="39"/>
        <v>0</v>
      </c>
      <c r="GD35" s="2">
        <f t="shared" si="40"/>
        <v>0</v>
      </c>
      <c r="GE35" s="2">
        <f t="shared" si="41"/>
        <v>0</v>
      </c>
      <c r="GF35" s="2">
        <f t="shared" si="42"/>
        <v>74513.033868429397</v>
      </c>
      <c r="GG35" s="2">
        <f t="shared" si="43"/>
        <v>298052.13547371759</v>
      </c>
      <c r="GH35" s="2">
        <f t="shared" si="44"/>
        <v>149026.06773685879</v>
      </c>
      <c r="GI35" s="2">
        <f t="shared" si="45"/>
        <v>0</v>
      </c>
      <c r="GJ35" s="2">
        <f t="shared" si="46"/>
        <v>0</v>
      </c>
      <c r="GK35" s="2">
        <f t="shared" si="47"/>
        <v>0</v>
      </c>
      <c r="GL35" s="2">
        <f t="shared" si="48"/>
        <v>0</v>
      </c>
      <c r="GM35" s="2">
        <f t="shared" si="49"/>
        <v>0</v>
      </c>
      <c r="GN35" s="2">
        <f t="shared" si="50"/>
        <v>0</v>
      </c>
      <c r="GQ35" s="1260">
        <v>40</v>
      </c>
      <c r="GR35" s="1456"/>
      <c r="GS35" s="1456"/>
      <c r="GT35" s="1456"/>
      <c r="GU35" s="1456"/>
      <c r="GV35" s="1456"/>
      <c r="GW35" s="1456"/>
      <c r="GX35" s="1456"/>
      <c r="GY35" s="1456"/>
      <c r="GZ35" s="1456">
        <v>66.67</v>
      </c>
      <c r="HA35" s="1456">
        <v>33.33</v>
      </c>
      <c r="HB35" s="1456"/>
      <c r="HC35" s="1456"/>
      <c r="HD35" s="1456"/>
      <c r="HE35" s="1456"/>
      <c r="HF35" s="1134"/>
      <c r="HG35" s="1266">
        <f t="shared" si="79"/>
        <v>100</v>
      </c>
      <c r="HI35" s="2">
        <v>778831.91087476956</v>
      </c>
      <c r="HJ35" s="1823">
        <v>38</v>
      </c>
      <c r="HK35" s="2">
        <f t="shared" si="51"/>
        <v>0</v>
      </c>
      <c r="HL35" s="2">
        <f t="shared" si="52"/>
        <v>0</v>
      </c>
      <c r="HM35" s="2">
        <f t="shared" si="53"/>
        <v>0</v>
      </c>
      <c r="HN35" s="2">
        <f t="shared" si="54"/>
        <v>0</v>
      </c>
      <c r="HO35" s="2">
        <f t="shared" si="55"/>
        <v>0</v>
      </c>
      <c r="HP35" s="2">
        <f t="shared" si="56"/>
        <v>0</v>
      </c>
      <c r="HQ35" s="2">
        <f t="shared" si="57"/>
        <v>0</v>
      </c>
      <c r="HR35" s="2">
        <f t="shared" si="58"/>
        <v>0</v>
      </c>
      <c r="HS35" s="2">
        <f t="shared" si="59"/>
        <v>519247.23498020886</v>
      </c>
      <c r="HT35" s="2">
        <f t="shared" si="60"/>
        <v>259584.67589456067</v>
      </c>
      <c r="HU35" s="2">
        <f t="shared" si="61"/>
        <v>0</v>
      </c>
      <c r="HV35" s="2">
        <f t="shared" si="62"/>
        <v>0</v>
      </c>
      <c r="HW35" s="2">
        <f t="shared" si="63"/>
        <v>0</v>
      </c>
      <c r="HX35" s="2">
        <f t="shared" si="64"/>
        <v>0</v>
      </c>
      <c r="HY35" s="2">
        <f t="shared" si="65"/>
        <v>0</v>
      </c>
      <c r="IB35" s="1">
        <v>40</v>
      </c>
      <c r="IL35" s="1">
        <v>50</v>
      </c>
      <c r="IM35" s="1">
        <v>50</v>
      </c>
      <c r="IO35" s="1">
        <v>100</v>
      </c>
      <c r="IQ35" s="2">
        <v>0</v>
      </c>
      <c r="IR35" s="1">
        <v>40</v>
      </c>
      <c r="IS35" s="2">
        <f t="shared" si="66"/>
        <v>0</v>
      </c>
      <c r="IT35" s="2">
        <f t="shared" si="67"/>
        <v>0</v>
      </c>
      <c r="IU35" s="2">
        <f t="shared" si="68"/>
        <v>0</v>
      </c>
      <c r="IV35" s="2">
        <f t="shared" si="69"/>
        <v>0</v>
      </c>
      <c r="IW35" s="2">
        <f t="shared" si="70"/>
        <v>0</v>
      </c>
      <c r="IX35" s="2">
        <f t="shared" si="71"/>
        <v>0</v>
      </c>
      <c r="IY35" s="2">
        <f t="shared" si="72"/>
        <v>0</v>
      </c>
      <c r="IZ35" s="2">
        <f t="shared" si="73"/>
        <v>0</v>
      </c>
      <c r="JA35" s="2">
        <f t="shared" si="74"/>
        <v>0</v>
      </c>
      <c r="JB35" s="2">
        <f t="shared" si="75"/>
        <v>0</v>
      </c>
      <c r="JC35" s="2">
        <f t="shared" si="76"/>
        <v>0</v>
      </c>
      <c r="JD35" s="2">
        <f t="shared" si="77"/>
        <v>0</v>
      </c>
    </row>
    <row r="36" spans="1:264">
      <c r="A36" s="1">
        <v>36</v>
      </c>
      <c r="B36" s="2">
        <v>33535.486737209743</v>
      </c>
      <c r="D36" s="1">
        <v>36</v>
      </c>
      <c r="E36" s="961"/>
      <c r="F36" s="961"/>
      <c r="G36" s="959"/>
      <c r="H36" s="1879"/>
      <c r="I36" s="1879"/>
      <c r="J36" s="1879">
        <v>12.5</v>
      </c>
      <c r="K36" s="1879">
        <v>37.5</v>
      </c>
      <c r="L36" s="960">
        <v>37.5</v>
      </c>
      <c r="M36" s="960">
        <v>12.5</v>
      </c>
      <c r="N36" s="1879"/>
      <c r="O36" s="1879"/>
      <c r="Q36" s="1">
        <v>36</v>
      </c>
      <c r="R36" s="2">
        <f t="shared" si="98"/>
        <v>0</v>
      </c>
      <c r="S36" s="2">
        <f t="shared" si="99"/>
        <v>0</v>
      </c>
      <c r="T36" s="2">
        <f t="shared" si="100"/>
        <v>0</v>
      </c>
      <c r="U36" s="2">
        <f t="shared" si="101"/>
        <v>0</v>
      </c>
      <c r="V36" s="2">
        <f t="shared" si="102"/>
        <v>0</v>
      </c>
      <c r="W36" s="2">
        <f t="shared" si="103"/>
        <v>4191.9358421512179</v>
      </c>
      <c r="X36" s="2">
        <f t="shared" si="104"/>
        <v>12575.807526453653</v>
      </c>
      <c r="Y36" s="2">
        <f t="shared" si="105"/>
        <v>12575.807526453653</v>
      </c>
      <c r="Z36" s="2">
        <f t="shared" si="106"/>
        <v>4191.9358421512179</v>
      </c>
      <c r="AA36" s="2">
        <f t="shared" si="107"/>
        <v>0</v>
      </c>
      <c r="AB36" s="2">
        <f t="shared" si="108"/>
        <v>0</v>
      </c>
      <c r="AF36" s="1" t="s">
        <v>581</v>
      </c>
      <c r="AL36" s="2">
        <v>60446837.440744929</v>
      </c>
      <c r="AN36" s="1">
        <v>36</v>
      </c>
      <c r="AT36" s="1">
        <v>9.09</v>
      </c>
      <c r="AU36" s="1">
        <v>45.45</v>
      </c>
      <c r="AV36" s="1">
        <v>36.369999999999997</v>
      </c>
      <c r="AW36" s="1">
        <v>9.09</v>
      </c>
      <c r="BG36" s="1">
        <v>36</v>
      </c>
      <c r="BH36" s="2">
        <f t="shared" si="81"/>
        <v>0</v>
      </c>
      <c r="BI36" s="2">
        <f t="shared" si="82"/>
        <v>0</v>
      </c>
      <c r="BJ36" s="2">
        <f t="shared" si="83"/>
        <v>0</v>
      </c>
      <c r="BK36" s="2">
        <f t="shared" si="84"/>
        <v>0</v>
      </c>
      <c r="BL36" s="2">
        <f t="shared" si="85"/>
        <v>5494617.5233637141</v>
      </c>
      <c r="BM36" s="2">
        <f t="shared" si="86"/>
        <v>27473087.61681857</v>
      </c>
      <c r="BN36" s="2">
        <f t="shared" si="87"/>
        <v>21984514.777198929</v>
      </c>
      <c r="BO36" s="2">
        <f t="shared" si="88"/>
        <v>5494617.5233637141</v>
      </c>
      <c r="BP36" s="2">
        <f t="shared" si="89"/>
        <v>0</v>
      </c>
      <c r="BQ36" s="2">
        <f t="shared" si="90"/>
        <v>0</v>
      </c>
      <c r="BR36" s="2">
        <f t="shared" si="91"/>
        <v>0</v>
      </c>
      <c r="BS36" s="2">
        <f t="shared" si="92"/>
        <v>0</v>
      </c>
      <c r="BT36" s="2">
        <f t="shared" si="93"/>
        <v>0</v>
      </c>
      <c r="BU36" s="2">
        <f t="shared" si="94"/>
        <v>0</v>
      </c>
      <c r="BV36" s="2">
        <f t="shared" si="95"/>
        <v>0</v>
      </c>
      <c r="CI36" s="1">
        <v>87647.218640231469</v>
      </c>
      <c r="CJ36" s="1">
        <v>42</v>
      </c>
      <c r="CR36" s="2"/>
      <c r="CS36" s="2">
        <v>20</v>
      </c>
      <c r="CT36" s="2">
        <v>20</v>
      </c>
      <c r="CU36" s="2">
        <v>20</v>
      </c>
      <c r="CV36" s="2">
        <v>20</v>
      </c>
      <c r="CW36" s="2">
        <v>20</v>
      </c>
      <c r="CZ36" s="1">
        <v>100</v>
      </c>
      <c r="DC36" s="1">
        <v>42</v>
      </c>
      <c r="DD36" s="2">
        <f t="shared" si="2"/>
        <v>0</v>
      </c>
      <c r="DE36" s="2">
        <f t="shared" si="3"/>
        <v>0</v>
      </c>
      <c r="DF36" s="2">
        <f t="shared" si="4"/>
        <v>0</v>
      </c>
      <c r="DG36" s="2">
        <f t="shared" si="5"/>
        <v>0</v>
      </c>
      <c r="DH36" s="2">
        <f t="shared" si="6"/>
        <v>0</v>
      </c>
      <c r="DI36" s="2">
        <f t="shared" si="7"/>
        <v>0</v>
      </c>
      <c r="DJ36" s="2">
        <f t="shared" si="8"/>
        <v>0</v>
      </c>
      <c r="DK36" s="2">
        <f t="shared" si="9"/>
        <v>0</v>
      </c>
      <c r="DL36" s="2">
        <f t="shared" si="10"/>
        <v>17529.443728046295</v>
      </c>
      <c r="DM36" s="2">
        <f t="shared" si="11"/>
        <v>17529.443728046295</v>
      </c>
      <c r="DN36" s="2">
        <f t="shared" si="12"/>
        <v>17529.443728046295</v>
      </c>
      <c r="DO36" s="2">
        <f t="shared" si="13"/>
        <v>17529.443728046295</v>
      </c>
      <c r="DP36" s="2">
        <f t="shared" si="14"/>
        <v>17529.443728046295</v>
      </c>
      <c r="DQ36" s="2">
        <f t="shared" si="15"/>
        <v>0</v>
      </c>
      <c r="DR36" s="2">
        <f t="shared" si="16"/>
        <v>0</v>
      </c>
      <c r="DT36" s="1">
        <v>40</v>
      </c>
      <c r="DU36" s="1">
        <v>292249.32096004102</v>
      </c>
      <c r="DV36" s="1261"/>
      <c r="DW36" s="1262"/>
      <c r="DX36" s="1261"/>
      <c r="DY36" s="1261"/>
      <c r="DZ36" s="1261"/>
      <c r="EA36" s="1261"/>
      <c r="EB36" s="1261"/>
      <c r="EC36" s="1261">
        <v>33.333333333333336</v>
      </c>
      <c r="ED36" s="1261">
        <v>33.333333333333336</v>
      </c>
      <c r="EE36" s="1261">
        <v>33.333333333333336</v>
      </c>
      <c r="EF36" s="1261">
        <v>0</v>
      </c>
      <c r="EG36" s="1261">
        <v>0</v>
      </c>
      <c r="EH36" s="1261">
        <v>0</v>
      </c>
      <c r="EI36" s="1134"/>
      <c r="EJ36" s="1134"/>
      <c r="EM36" s="1">
        <v>40</v>
      </c>
      <c r="EN36" s="2">
        <f t="shared" si="17"/>
        <v>0</v>
      </c>
      <c r="EO36" s="2">
        <f t="shared" si="18"/>
        <v>0</v>
      </c>
      <c r="EP36" s="2">
        <f t="shared" si="19"/>
        <v>0</v>
      </c>
      <c r="EQ36" s="2">
        <f t="shared" si="20"/>
        <v>0</v>
      </c>
      <c r="ER36" s="2">
        <f t="shared" si="21"/>
        <v>0</v>
      </c>
      <c r="ES36" s="2">
        <f t="shared" si="22"/>
        <v>0</v>
      </c>
      <c r="ET36" s="2">
        <f t="shared" si="23"/>
        <v>0</v>
      </c>
      <c r="EU36" s="2">
        <f t="shared" si="24"/>
        <v>97416.440320013688</v>
      </c>
      <c r="EV36" s="2">
        <f t="shared" si="25"/>
        <v>97416.440320013688</v>
      </c>
      <c r="EW36" s="2">
        <f t="shared" si="26"/>
        <v>97416.440320013688</v>
      </c>
      <c r="EX36" s="2">
        <f t="shared" si="27"/>
        <v>0</v>
      </c>
      <c r="EY36" s="2">
        <f t="shared" si="28"/>
        <v>0</v>
      </c>
      <c r="EZ36" s="2">
        <f t="shared" si="29"/>
        <v>0</v>
      </c>
      <c r="FA36" s="2">
        <f t="shared" si="30"/>
        <v>0</v>
      </c>
      <c r="FB36" s="2">
        <f t="shared" si="31"/>
        <v>0</v>
      </c>
      <c r="FE36" s="1260">
        <v>39</v>
      </c>
      <c r="FF36" s="1261"/>
      <c r="FG36" s="1261"/>
      <c r="FH36" s="1261"/>
      <c r="FI36" s="1261"/>
      <c r="FJ36" s="1261"/>
      <c r="FK36" s="1261"/>
      <c r="FL36" s="1261"/>
      <c r="FM36" s="1252">
        <v>57.142857142857146</v>
      </c>
      <c r="FN36" s="1252">
        <v>28.571428571428573</v>
      </c>
      <c r="FO36" s="1252">
        <v>14.285714285714286</v>
      </c>
      <c r="FP36" s="1252">
        <v>0</v>
      </c>
      <c r="FQ36" s="1252"/>
      <c r="FR36" s="1252"/>
      <c r="FS36" s="1252"/>
      <c r="FT36"/>
      <c r="FU36" s="1258">
        <v>100.00000000000001</v>
      </c>
      <c r="FV36" s="1452"/>
      <c r="FX36" s="2">
        <v>480884.18566646264</v>
      </c>
      <c r="FY36" s="1260">
        <v>39</v>
      </c>
      <c r="FZ36" s="2">
        <f t="shared" si="36"/>
        <v>0</v>
      </c>
      <c r="GA36" s="2">
        <f t="shared" si="37"/>
        <v>0</v>
      </c>
      <c r="GB36" s="2">
        <f t="shared" si="38"/>
        <v>0</v>
      </c>
      <c r="GC36" s="2">
        <f t="shared" si="39"/>
        <v>0</v>
      </c>
      <c r="GD36" s="2">
        <f t="shared" si="40"/>
        <v>0</v>
      </c>
      <c r="GE36" s="2">
        <f t="shared" si="41"/>
        <v>0</v>
      </c>
      <c r="GF36" s="2">
        <f t="shared" si="42"/>
        <v>0</v>
      </c>
      <c r="GG36" s="2">
        <f t="shared" si="43"/>
        <v>274790.96323797869</v>
      </c>
      <c r="GH36" s="2">
        <f t="shared" si="44"/>
        <v>137395.48161898935</v>
      </c>
      <c r="GI36" s="2">
        <f t="shared" si="45"/>
        <v>68697.740809494673</v>
      </c>
      <c r="GJ36" s="2">
        <f t="shared" si="46"/>
        <v>0</v>
      </c>
      <c r="GK36" s="2">
        <f t="shared" si="47"/>
        <v>0</v>
      </c>
      <c r="GL36" s="2">
        <f t="shared" si="48"/>
        <v>0</v>
      </c>
      <c r="GM36" s="2">
        <f t="shared" si="49"/>
        <v>0</v>
      </c>
      <c r="GN36" s="2">
        <f t="shared" si="50"/>
        <v>0</v>
      </c>
      <c r="GQ36" s="1260">
        <v>41</v>
      </c>
      <c r="GR36" s="1456"/>
      <c r="GS36" s="1456"/>
      <c r="GT36" s="1456"/>
      <c r="GU36" s="1456"/>
      <c r="GV36" s="1456"/>
      <c r="GW36" s="1456"/>
      <c r="GX36" s="1456"/>
      <c r="GY36" s="1456"/>
      <c r="GZ36" s="1456">
        <v>100</v>
      </c>
      <c r="HA36" s="1456"/>
      <c r="HB36" s="1456"/>
      <c r="HC36" s="1456"/>
      <c r="HD36" s="1456"/>
      <c r="HE36" s="1456"/>
      <c r="HF36" s="1134"/>
      <c r="HG36" s="1266">
        <f t="shared" si="79"/>
        <v>100</v>
      </c>
      <c r="HI36" s="2">
        <v>193334.46171788085</v>
      </c>
      <c r="HJ36" s="1823">
        <v>39</v>
      </c>
      <c r="HK36" s="2">
        <f t="shared" si="51"/>
        <v>0</v>
      </c>
      <c r="HL36" s="2">
        <f t="shared" si="52"/>
        <v>0</v>
      </c>
      <c r="HM36" s="2">
        <f t="shared" si="53"/>
        <v>0</v>
      </c>
      <c r="HN36" s="2">
        <f t="shared" si="54"/>
        <v>0</v>
      </c>
      <c r="HO36" s="2">
        <f t="shared" si="55"/>
        <v>0</v>
      </c>
      <c r="HP36" s="2">
        <f t="shared" si="56"/>
        <v>0</v>
      </c>
      <c r="HQ36" s="2">
        <f t="shared" si="57"/>
        <v>0</v>
      </c>
      <c r="HR36" s="2">
        <f t="shared" si="58"/>
        <v>0</v>
      </c>
      <c r="HS36" s="2">
        <f t="shared" si="59"/>
        <v>193334.46171788085</v>
      </c>
      <c r="HT36" s="2">
        <f t="shared" si="60"/>
        <v>0</v>
      </c>
      <c r="HU36" s="2">
        <f t="shared" si="61"/>
        <v>0</v>
      </c>
      <c r="HV36" s="2">
        <f t="shared" si="62"/>
        <v>0</v>
      </c>
      <c r="HW36" s="2">
        <f t="shared" si="63"/>
        <v>0</v>
      </c>
      <c r="HX36" s="2">
        <f t="shared" si="64"/>
        <v>0</v>
      </c>
      <c r="HY36" s="2">
        <f t="shared" si="65"/>
        <v>0</v>
      </c>
      <c r="IB36" s="1">
        <v>41</v>
      </c>
      <c r="IL36" s="1">
        <v>100</v>
      </c>
      <c r="IO36" s="1">
        <v>100</v>
      </c>
      <c r="IQ36" s="2">
        <v>0</v>
      </c>
      <c r="IR36" s="1">
        <v>41</v>
      </c>
      <c r="IS36" s="2">
        <f t="shared" si="66"/>
        <v>0</v>
      </c>
      <c r="IT36" s="2">
        <f t="shared" si="67"/>
        <v>0</v>
      </c>
      <c r="IU36" s="2">
        <f t="shared" si="68"/>
        <v>0</v>
      </c>
      <c r="IV36" s="2">
        <f t="shared" si="69"/>
        <v>0</v>
      </c>
      <c r="IW36" s="2">
        <f t="shared" si="70"/>
        <v>0</v>
      </c>
      <c r="IX36" s="2">
        <f t="shared" si="71"/>
        <v>0</v>
      </c>
      <c r="IY36" s="2">
        <f t="shared" si="72"/>
        <v>0</v>
      </c>
      <c r="IZ36" s="2">
        <f t="shared" si="73"/>
        <v>0</v>
      </c>
      <c r="JA36" s="2">
        <f t="shared" si="74"/>
        <v>0</v>
      </c>
      <c r="JB36" s="2">
        <f t="shared" si="75"/>
        <v>0</v>
      </c>
      <c r="JC36" s="2">
        <f t="shared" si="76"/>
        <v>0</v>
      </c>
      <c r="JD36" s="2">
        <f t="shared" si="77"/>
        <v>0</v>
      </c>
    </row>
    <row r="37" spans="1:264">
      <c r="A37" s="1">
        <v>37</v>
      </c>
      <c r="B37" s="2">
        <v>1581.5961963187631</v>
      </c>
      <c r="D37" s="1">
        <v>37</v>
      </c>
      <c r="E37" s="817"/>
      <c r="F37" s="961"/>
      <c r="G37" s="959"/>
      <c r="H37" s="1879"/>
      <c r="I37" s="1879"/>
      <c r="J37" s="1879"/>
      <c r="K37" s="1879">
        <v>33.340000000000003</v>
      </c>
      <c r="L37" s="960">
        <v>33.33</v>
      </c>
      <c r="M37" s="960">
        <v>33.33</v>
      </c>
      <c r="N37" s="1879"/>
      <c r="O37" s="1879"/>
      <c r="Q37" s="1">
        <v>37</v>
      </c>
      <c r="R37" s="2">
        <f t="shared" si="98"/>
        <v>0</v>
      </c>
      <c r="S37" s="2">
        <f t="shared" si="99"/>
        <v>0</v>
      </c>
      <c r="T37" s="2">
        <f t="shared" si="100"/>
        <v>0</v>
      </c>
      <c r="U37" s="2">
        <f t="shared" si="101"/>
        <v>0</v>
      </c>
      <c r="V37" s="2">
        <f t="shared" si="102"/>
        <v>0</v>
      </c>
      <c r="W37" s="2">
        <f t="shared" si="103"/>
        <v>0</v>
      </c>
      <c r="X37" s="2">
        <f t="shared" si="104"/>
        <v>527.30417185267561</v>
      </c>
      <c r="Y37" s="2">
        <f t="shared" si="105"/>
        <v>527.14601223304373</v>
      </c>
      <c r="Z37" s="2">
        <f t="shared" si="106"/>
        <v>527.14601223304373</v>
      </c>
      <c r="AA37" s="2">
        <f t="shared" si="107"/>
        <v>0</v>
      </c>
      <c r="AB37" s="2">
        <f t="shared" si="108"/>
        <v>0</v>
      </c>
      <c r="AL37" s="2">
        <v>56725202.722627766</v>
      </c>
      <c r="AN37" s="1">
        <v>37</v>
      </c>
      <c r="AU37" s="1">
        <v>18.18</v>
      </c>
      <c r="AV37" s="1">
        <v>54.55</v>
      </c>
      <c r="AW37" s="1">
        <v>27.27</v>
      </c>
      <c r="BG37" s="1">
        <v>37</v>
      </c>
      <c r="BH37" s="2">
        <f t="shared" si="81"/>
        <v>0</v>
      </c>
      <c r="BI37" s="2">
        <f t="shared" si="82"/>
        <v>0</v>
      </c>
      <c r="BJ37" s="2">
        <f t="shared" si="83"/>
        <v>0</v>
      </c>
      <c r="BK37" s="2">
        <f t="shared" si="84"/>
        <v>0</v>
      </c>
      <c r="BL37" s="2">
        <f t="shared" si="85"/>
        <v>0</v>
      </c>
      <c r="BM37" s="2">
        <f t="shared" si="86"/>
        <v>10312641.854973728</v>
      </c>
      <c r="BN37" s="2">
        <f t="shared" si="87"/>
        <v>30943598.085193444</v>
      </c>
      <c r="BO37" s="2">
        <f t="shared" si="88"/>
        <v>15468962.782460593</v>
      </c>
      <c r="BP37" s="2">
        <f t="shared" si="89"/>
        <v>0</v>
      </c>
      <c r="BQ37" s="2">
        <f t="shared" si="90"/>
        <v>0</v>
      </c>
      <c r="BR37" s="2">
        <f t="shared" si="91"/>
        <v>0</v>
      </c>
      <c r="BS37" s="2">
        <f t="shared" si="92"/>
        <v>0</v>
      </c>
      <c r="BT37" s="2">
        <f t="shared" si="93"/>
        <v>0</v>
      </c>
      <c r="BU37" s="2">
        <f t="shared" si="94"/>
        <v>0</v>
      </c>
      <c r="BV37" s="2">
        <f t="shared" si="95"/>
        <v>0</v>
      </c>
      <c r="CI37" s="1">
        <v>193787.95840289685</v>
      </c>
      <c r="CJ37" s="1">
        <v>43</v>
      </c>
      <c r="CR37" s="2"/>
      <c r="CS37" s="2"/>
      <c r="CT37" s="2">
        <v>25</v>
      </c>
      <c r="CU37" s="2">
        <v>25</v>
      </c>
      <c r="CV37" s="2">
        <v>25</v>
      </c>
      <c r="CW37" s="2">
        <v>25</v>
      </c>
      <c r="CZ37" s="1">
        <v>100</v>
      </c>
      <c r="DC37" s="1">
        <v>43</v>
      </c>
      <c r="DD37" s="2">
        <f t="shared" si="2"/>
        <v>0</v>
      </c>
      <c r="DE37" s="2">
        <f t="shared" si="3"/>
        <v>0</v>
      </c>
      <c r="DF37" s="2">
        <f t="shared" si="4"/>
        <v>0</v>
      </c>
      <c r="DG37" s="2">
        <f t="shared" si="5"/>
        <v>0</v>
      </c>
      <c r="DH37" s="2">
        <f t="shared" si="6"/>
        <v>0</v>
      </c>
      <c r="DI37" s="2">
        <f t="shared" si="7"/>
        <v>0</v>
      </c>
      <c r="DJ37" s="2">
        <f t="shared" si="8"/>
        <v>0</v>
      </c>
      <c r="DK37" s="2">
        <f t="shared" si="9"/>
        <v>0</v>
      </c>
      <c r="DL37" s="2">
        <f t="shared" si="10"/>
        <v>0</v>
      </c>
      <c r="DM37" s="2">
        <f t="shared" si="11"/>
        <v>48446.989600724213</v>
      </c>
      <c r="DN37" s="2">
        <f t="shared" si="12"/>
        <v>48446.989600724213</v>
      </c>
      <c r="DO37" s="2">
        <f t="shared" si="13"/>
        <v>48446.989600724213</v>
      </c>
      <c r="DP37" s="2">
        <f t="shared" si="14"/>
        <v>48446.989600724213</v>
      </c>
      <c r="DQ37" s="2">
        <f t="shared" si="15"/>
        <v>0</v>
      </c>
      <c r="DR37" s="2">
        <f t="shared" si="16"/>
        <v>0</v>
      </c>
      <c r="DT37" s="1">
        <v>41</v>
      </c>
      <c r="DU37" s="1">
        <v>212820.85366987204</v>
      </c>
      <c r="DV37" s="1261"/>
      <c r="DW37" s="1262"/>
      <c r="DX37" s="1261"/>
      <c r="DY37" s="1261"/>
      <c r="DZ37" s="1261"/>
      <c r="EA37" s="1261"/>
      <c r="EB37" s="1261"/>
      <c r="EC37" s="1261"/>
      <c r="ED37" s="1261">
        <v>0</v>
      </c>
      <c r="EE37" s="1261">
        <v>50</v>
      </c>
      <c r="EF37" s="1261">
        <v>0</v>
      </c>
      <c r="EG37" s="1261">
        <v>50</v>
      </c>
      <c r="EH37" s="1261"/>
      <c r="EI37" s="1134"/>
      <c r="EJ37" s="1134"/>
      <c r="EM37" s="1">
        <v>41</v>
      </c>
      <c r="EN37" s="2">
        <f t="shared" si="17"/>
        <v>0</v>
      </c>
      <c r="EO37" s="2">
        <f t="shared" si="18"/>
        <v>0</v>
      </c>
      <c r="EP37" s="2">
        <f t="shared" si="19"/>
        <v>0</v>
      </c>
      <c r="EQ37" s="2">
        <f t="shared" si="20"/>
        <v>0</v>
      </c>
      <c r="ER37" s="2">
        <f t="shared" si="21"/>
        <v>0</v>
      </c>
      <c r="ES37" s="2">
        <f t="shared" si="22"/>
        <v>0</v>
      </c>
      <c r="ET37" s="2">
        <f t="shared" si="23"/>
        <v>0</v>
      </c>
      <c r="EU37" s="2">
        <f t="shared" si="24"/>
        <v>0</v>
      </c>
      <c r="EV37" s="2">
        <f t="shared" si="25"/>
        <v>0</v>
      </c>
      <c r="EW37" s="2">
        <f t="shared" si="26"/>
        <v>106410.42683493604</v>
      </c>
      <c r="EX37" s="2">
        <f t="shared" si="27"/>
        <v>0</v>
      </c>
      <c r="EY37" s="2">
        <f t="shared" si="28"/>
        <v>106410.42683493604</v>
      </c>
      <c r="EZ37" s="2">
        <f t="shared" si="29"/>
        <v>0</v>
      </c>
      <c r="FA37" s="2">
        <f t="shared" si="30"/>
        <v>0</v>
      </c>
      <c r="FB37" s="2">
        <f t="shared" si="31"/>
        <v>0</v>
      </c>
      <c r="FE37" s="1260">
        <v>40</v>
      </c>
      <c r="FF37" s="1261"/>
      <c r="FG37" s="1261"/>
      <c r="FH37" s="1261"/>
      <c r="FI37" s="1261"/>
      <c r="FJ37" s="1261"/>
      <c r="FK37" s="1261"/>
      <c r="FL37" s="1261"/>
      <c r="FM37" s="1252"/>
      <c r="FN37" s="1252">
        <v>50</v>
      </c>
      <c r="FO37" s="1252">
        <v>50</v>
      </c>
      <c r="FP37" s="1252">
        <v>0</v>
      </c>
      <c r="FQ37" s="1252"/>
      <c r="FR37" s="1252"/>
      <c r="FS37" s="1252"/>
      <c r="FT37" s="1257"/>
      <c r="FU37" s="1255">
        <v>100</v>
      </c>
      <c r="FV37" s="1452"/>
      <c r="FX37" s="2">
        <v>64159.17195802636</v>
      </c>
      <c r="FY37" s="1260">
        <v>40</v>
      </c>
      <c r="FZ37" s="2">
        <f t="shared" si="36"/>
        <v>0</v>
      </c>
      <c r="GA37" s="2">
        <f t="shared" si="37"/>
        <v>0</v>
      </c>
      <c r="GB37" s="2">
        <f t="shared" si="38"/>
        <v>0</v>
      </c>
      <c r="GC37" s="2">
        <f t="shared" si="39"/>
        <v>0</v>
      </c>
      <c r="GD37" s="2">
        <f t="shared" si="40"/>
        <v>0</v>
      </c>
      <c r="GE37" s="2">
        <f t="shared" si="41"/>
        <v>0</v>
      </c>
      <c r="GF37" s="2">
        <f t="shared" si="42"/>
        <v>0</v>
      </c>
      <c r="GG37" s="2">
        <f t="shared" si="43"/>
        <v>0</v>
      </c>
      <c r="GH37" s="2">
        <f t="shared" si="44"/>
        <v>32079.585979013184</v>
      </c>
      <c r="GI37" s="2">
        <f t="shared" si="45"/>
        <v>32079.585979013184</v>
      </c>
      <c r="GJ37" s="2">
        <f t="shared" si="46"/>
        <v>0</v>
      </c>
      <c r="GK37" s="2">
        <f t="shared" si="47"/>
        <v>0</v>
      </c>
      <c r="GL37" s="2">
        <f t="shared" si="48"/>
        <v>0</v>
      </c>
      <c r="GM37" s="2">
        <f t="shared" si="49"/>
        <v>0</v>
      </c>
      <c r="GN37" s="2">
        <f t="shared" si="50"/>
        <v>0</v>
      </c>
      <c r="GQ37" s="1260">
        <v>42</v>
      </c>
      <c r="GR37" s="1456"/>
      <c r="GS37" s="1456"/>
      <c r="GT37" s="1456"/>
      <c r="GU37" s="1456"/>
      <c r="GV37" s="1456"/>
      <c r="GW37" s="1456"/>
      <c r="GX37" s="1456"/>
      <c r="GY37" s="1456"/>
      <c r="GZ37" s="1456"/>
      <c r="HA37" s="1456">
        <v>100</v>
      </c>
      <c r="HB37" s="1456"/>
      <c r="HC37" s="1456"/>
      <c r="HD37" s="1456"/>
      <c r="HE37" s="1456"/>
      <c r="HF37" s="1134"/>
      <c r="HG37" s="1266">
        <f t="shared" si="79"/>
        <v>100</v>
      </c>
      <c r="HI37" s="2">
        <v>0</v>
      </c>
      <c r="HJ37" s="1823">
        <v>40</v>
      </c>
      <c r="HK37" s="2">
        <f t="shared" si="51"/>
        <v>0</v>
      </c>
      <c r="HL37" s="2">
        <f t="shared" si="52"/>
        <v>0</v>
      </c>
      <c r="HM37" s="2">
        <f t="shared" si="53"/>
        <v>0</v>
      </c>
      <c r="HN37" s="2">
        <f t="shared" si="54"/>
        <v>0</v>
      </c>
      <c r="HO37" s="2">
        <f t="shared" si="55"/>
        <v>0</v>
      </c>
      <c r="HP37" s="2">
        <f t="shared" si="56"/>
        <v>0</v>
      </c>
      <c r="HQ37" s="2">
        <f t="shared" si="57"/>
        <v>0</v>
      </c>
      <c r="HR37" s="2">
        <f t="shared" si="58"/>
        <v>0</v>
      </c>
      <c r="HS37" s="2">
        <f t="shared" si="59"/>
        <v>0</v>
      </c>
      <c r="HT37" s="2">
        <f t="shared" si="60"/>
        <v>0</v>
      </c>
      <c r="HU37" s="2">
        <f t="shared" si="61"/>
        <v>0</v>
      </c>
      <c r="HV37" s="2">
        <f t="shared" si="62"/>
        <v>0</v>
      </c>
      <c r="HW37" s="2">
        <f t="shared" si="63"/>
        <v>0</v>
      </c>
      <c r="HX37" s="2">
        <f t="shared" si="64"/>
        <v>0</v>
      </c>
      <c r="HY37" s="2">
        <f t="shared" si="65"/>
        <v>0</v>
      </c>
      <c r="IB37" s="1">
        <v>42</v>
      </c>
      <c r="IO37" s="1">
        <v>0</v>
      </c>
      <c r="IQ37" s="2">
        <v>0</v>
      </c>
      <c r="IR37" s="1">
        <v>42</v>
      </c>
      <c r="IS37" s="2">
        <f t="shared" si="66"/>
        <v>0</v>
      </c>
      <c r="IT37" s="2">
        <f t="shared" si="67"/>
        <v>0</v>
      </c>
      <c r="IU37" s="2">
        <f t="shared" si="68"/>
        <v>0</v>
      </c>
      <c r="IV37" s="2">
        <f t="shared" si="69"/>
        <v>0</v>
      </c>
      <c r="IW37" s="2">
        <f t="shared" si="70"/>
        <v>0</v>
      </c>
      <c r="IX37" s="2">
        <f t="shared" si="71"/>
        <v>0</v>
      </c>
      <c r="IY37" s="2">
        <f t="shared" si="72"/>
        <v>0</v>
      </c>
      <c r="IZ37" s="2">
        <f t="shared" si="73"/>
        <v>0</v>
      </c>
      <c r="JA37" s="2">
        <f t="shared" si="74"/>
        <v>0</v>
      </c>
      <c r="JB37" s="2">
        <f t="shared" si="75"/>
        <v>0</v>
      </c>
      <c r="JC37" s="2">
        <f t="shared" si="76"/>
        <v>0</v>
      </c>
      <c r="JD37" s="2">
        <f t="shared" si="77"/>
        <v>0</v>
      </c>
    </row>
    <row r="38" spans="1:264">
      <c r="A38" s="1">
        <v>38</v>
      </c>
      <c r="B38" s="2">
        <v>1431.2362619106325</v>
      </c>
      <c r="D38" s="1">
        <v>38</v>
      </c>
      <c r="E38" s="961"/>
      <c r="F38" s="961"/>
      <c r="G38" s="959"/>
      <c r="H38" s="1879"/>
      <c r="I38" s="1879"/>
      <c r="J38" s="1879"/>
      <c r="K38" s="1879">
        <v>25</v>
      </c>
      <c r="L38" s="960">
        <v>25</v>
      </c>
      <c r="M38" s="960">
        <v>50</v>
      </c>
      <c r="N38" s="1879"/>
      <c r="O38" s="1879"/>
      <c r="Q38" s="1">
        <v>38</v>
      </c>
      <c r="R38" s="2">
        <f t="shared" si="98"/>
        <v>0</v>
      </c>
      <c r="S38" s="2">
        <f t="shared" si="99"/>
        <v>0</v>
      </c>
      <c r="T38" s="2">
        <f t="shared" si="100"/>
        <v>0</v>
      </c>
      <c r="U38" s="2">
        <f t="shared" si="101"/>
        <v>0</v>
      </c>
      <c r="V38" s="2">
        <f t="shared" si="102"/>
        <v>0</v>
      </c>
      <c r="W38" s="2">
        <f t="shared" si="103"/>
        <v>0</v>
      </c>
      <c r="X38" s="2">
        <f t="shared" si="104"/>
        <v>357.80906547765812</v>
      </c>
      <c r="Y38" s="2">
        <f t="shared" si="105"/>
        <v>357.80906547765812</v>
      </c>
      <c r="Z38" s="2">
        <f t="shared" si="106"/>
        <v>715.61813095531625</v>
      </c>
      <c r="AA38" s="2">
        <f t="shared" si="107"/>
        <v>0</v>
      </c>
      <c r="AB38" s="2">
        <f t="shared" si="108"/>
        <v>0</v>
      </c>
      <c r="AL38" s="2">
        <v>23173256.128084034</v>
      </c>
      <c r="AN38" s="1">
        <v>38</v>
      </c>
      <c r="AU38" s="1">
        <v>10</v>
      </c>
      <c r="AV38" s="1">
        <v>40</v>
      </c>
      <c r="AW38" s="1">
        <v>40</v>
      </c>
      <c r="AX38" s="1">
        <v>10</v>
      </c>
      <c r="BG38" s="1">
        <v>38</v>
      </c>
      <c r="BH38" s="2">
        <f t="shared" si="81"/>
        <v>0</v>
      </c>
      <c r="BI38" s="2">
        <f t="shared" si="82"/>
        <v>0</v>
      </c>
      <c r="BJ38" s="2">
        <f t="shared" si="83"/>
        <v>0</v>
      </c>
      <c r="BK38" s="2">
        <f t="shared" si="84"/>
        <v>0</v>
      </c>
      <c r="BL38" s="2">
        <f t="shared" si="85"/>
        <v>0</v>
      </c>
      <c r="BM38" s="2">
        <f t="shared" si="86"/>
        <v>2317325.6128084036</v>
      </c>
      <c r="BN38" s="2">
        <f t="shared" si="87"/>
        <v>9269302.4512336142</v>
      </c>
      <c r="BO38" s="2">
        <f t="shared" si="88"/>
        <v>9269302.4512336142</v>
      </c>
      <c r="BP38" s="2">
        <f t="shared" si="89"/>
        <v>2317325.6128084036</v>
      </c>
      <c r="BQ38" s="2">
        <f t="shared" si="90"/>
        <v>0</v>
      </c>
      <c r="BR38" s="2">
        <f t="shared" si="91"/>
        <v>0</v>
      </c>
      <c r="BS38" s="2">
        <f t="shared" si="92"/>
        <v>0</v>
      </c>
      <c r="BT38" s="2">
        <f t="shared" si="93"/>
        <v>0</v>
      </c>
      <c r="BU38" s="2">
        <f t="shared" si="94"/>
        <v>0</v>
      </c>
      <c r="BV38" s="2">
        <f t="shared" si="95"/>
        <v>0</v>
      </c>
      <c r="CI38" s="1">
        <v>39822.771186707963</v>
      </c>
      <c r="CJ38" s="1">
        <v>44</v>
      </c>
      <c r="CT38" s="2">
        <v>25</v>
      </c>
      <c r="CU38" s="2">
        <v>25</v>
      </c>
      <c r="CV38" s="2">
        <v>50</v>
      </c>
      <c r="CW38" s="2">
        <v>0</v>
      </c>
      <c r="CZ38" s="1">
        <v>100</v>
      </c>
      <c r="DC38" s="1">
        <v>44</v>
      </c>
      <c r="DD38" s="2">
        <f t="shared" si="2"/>
        <v>0</v>
      </c>
      <c r="DE38" s="2">
        <f t="shared" si="3"/>
        <v>0</v>
      </c>
      <c r="DF38" s="2">
        <f t="shared" si="4"/>
        <v>0</v>
      </c>
      <c r="DG38" s="2">
        <f t="shared" si="5"/>
        <v>0</v>
      </c>
      <c r="DH38" s="2">
        <f t="shared" si="6"/>
        <v>0</v>
      </c>
      <c r="DI38" s="2">
        <f t="shared" si="7"/>
        <v>0</v>
      </c>
      <c r="DJ38" s="2">
        <f t="shared" si="8"/>
        <v>0</v>
      </c>
      <c r="DK38" s="2">
        <f t="shared" si="9"/>
        <v>0</v>
      </c>
      <c r="DL38" s="2">
        <f t="shared" si="10"/>
        <v>0</v>
      </c>
      <c r="DM38" s="2">
        <f t="shared" si="11"/>
        <v>9955.6927966769908</v>
      </c>
      <c r="DN38" s="2">
        <f t="shared" si="12"/>
        <v>9955.6927966769908</v>
      </c>
      <c r="DO38" s="2">
        <f t="shared" si="13"/>
        <v>19911.385593353982</v>
      </c>
      <c r="DP38" s="2">
        <f t="shared" si="14"/>
        <v>0</v>
      </c>
      <c r="DQ38" s="2">
        <f t="shared" si="15"/>
        <v>0</v>
      </c>
      <c r="DR38" s="2">
        <f t="shared" si="16"/>
        <v>0</v>
      </c>
      <c r="DT38" s="1">
        <v>42</v>
      </c>
      <c r="DU38" s="1">
        <v>137210.53820394489</v>
      </c>
      <c r="DV38" s="1261"/>
      <c r="DW38" s="1261"/>
      <c r="DX38" s="1261"/>
      <c r="DY38" s="1261"/>
      <c r="DZ38" s="1261"/>
      <c r="EA38" s="1261"/>
      <c r="EB38" s="1261"/>
      <c r="EC38" s="1261"/>
      <c r="ED38" s="1261">
        <v>0</v>
      </c>
      <c r="EE38" s="1261">
        <v>100</v>
      </c>
      <c r="EF38" s="1261">
        <v>0</v>
      </c>
      <c r="EG38" s="1261">
        <v>0</v>
      </c>
      <c r="EH38" s="1261"/>
      <c r="EI38" s="1134"/>
      <c r="EJ38" s="1134"/>
      <c r="EM38" s="1">
        <v>42</v>
      </c>
      <c r="EN38" s="2">
        <f t="shared" si="17"/>
        <v>0</v>
      </c>
      <c r="EO38" s="2">
        <f t="shared" si="18"/>
        <v>0</v>
      </c>
      <c r="EP38" s="2">
        <f t="shared" si="19"/>
        <v>0</v>
      </c>
      <c r="EQ38" s="2">
        <f t="shared" si="20"/>
        <v>0</v>
      </c>
      <c r="ER38" s="2">
        <f t="shared" si="21"/>
        <v>0</v>
      </c>
      <c r="ES38" s="2">
        <f t="shared" si="22"/>
        <v>0</v>
      </c>
      <c r="ET38" s="2">
        <f t="shared" si="23"/>
        <v>0</v>
      </c>
      <c r="EU38" s="2">
        <f t="shared" si="24"/>
        <v>0</v>
      </c>
      <c r="EV38" s="2">
        <f t="shared" si="25"/>
        <v>0</v>
      </c>
      <c r="EW38" s="2">
        <f t="shared" si="26"/>
        <v>137210.53820394489</v>
      </c>
      <c r="EX38" s="2">
        <f t="shared" si="27"/>
        <v>0</v>
      </c>
      <c r="EY38" s="2">
        <f t="shared" si="28"/>
        <v>0</v>
      </c>
      <c r="EZ38" s="2">
        <f t="shared" si="29"/>
        <v>0</v>
      </c>
      <c r="FA38" s="2">
        <f t="shared" si="30"/>
        <v>0</v>
      </c>
      <c r="FB38" s="2">
        <f t="shared" si="31"/>
        <v>0</v>
      </c>
      <c r="FE38" s="1260">
        <v>41</v>
      </c>
      <c r="FF38" s="1261"/>
      <c r="FG38" s="1261"/>
      <c r="FH38" s="1261"/>
      <c r="FI38" s="1261"/>
      <c r="FJ38" s="1261"/>
      <c r="FK38" s="1261"/>
      <c r="FL38" s="1261"/>
      <c r="FM38" s="1252"/>
      <c r="FN38" s="1252"/>
      <c r="FO38" s="1252">
        <v>100</v>
      </c>
      <c r="FP38" s="1252">
        <v>0</v>
      </c>
      <c r="FQ38" s="1252"/>
      <c r="FR38" s="1252"/>
      <c r="FS38" s="1252"/>
      <c r="FT38"/>
      <c r="FU38" s="1258">
        <v>100</v>
      </c>
      <c r="FV38" s="1452"/>
      <c r="FX38" s="2">
        <v>98011.062044671053</v>
      </c>
      <c r="FY38" s="1260">
        <v>41</v>
      </c>
      <c r="FZ38" s="2">
        <f t="shared" si="36"/>
        <v>0</v>
      </c>
      <c r="GA38" s="2">
        <f t="shared" si="37"/>
        <v>0</v>
      </c>
      <c r="GB38" s="2">
        <f t="shared" si="38"/>
        <v>0</v>
      </c>
      <c r="GC38" s="2">
        <f t="shared" si="39"/>
        <v>0</v>
      </c>
      <c r="GD38" s="2">
        <f t="shared" si="40"/>
        <v>0</v>
      </c>
      <c r="GE38" s="2">
        <f t="shared" si="41"/>
        <v>0</v>
      </c>
      <c r="GF38" s="2">
        <f t="shared" si="42"/>
        <v>0</v>
      </c>
      <c r="GG38" s="2">
        <f t="shared" si="43"/>
        <v>0</v>
      </c>
      <c r="GH38" s="2">
        <f t="shared" si="44"/>
        <v>0</v>
      </c>
      <c r="GI38" s="2">
        <f t="shared" si="45"/>
        <v>98011.062044671053</v>
      </c>
      <c r="GJ38" s="2">
        <f t="shared" si="46"/>
        <v>0</v>
      </c>
      <c r="GK38" s="2">
        <f t="shared" si="47"/>
        <v>0</v>
      </c>
      <c r="GL38" s="2">
        <f t="shared" si="48"/>
        <v>0</v>
      </c>
      <c r="GM38" s="2">
        <f t="shared" si="49"/>
        <v>0</v>
      </c>
      <c r="GN38" s="2">
        <f t="shared" si="50"/>
        <v>0</v>
      </c>
      <c r="GQ38" s="1260">
        <v>43</v>
      </c>
      <c r="GR38" s="1456"/>
      <c r="GS38" s="1456"/>
      <c r="GT38" s="1456"/>
      <c r="GU38" s="1456"/>
      <c r="GV38" s="1456"/>
      <c r="GW38" s="1456"/>
      <c r="GX38" s="1456"/>
      <c r="GY38" s="1456"/>
      <c r="GZ38" s="1456"/>
      <c r="HA38" s="1456"/>
      <c r="HB38" s="1456"/>
      <c r="HC38" s="1456">
        <v>100</v>
      </c>
      <c r="HD38" s="1456"/>
      <c r="HE38" s="1456"/>
      <c r="HF38" s="1134"/>
      <c r="HG38" s="1266">
        <f t="shared" si="79"/>
        <v>100</v>
      </c>
      <c r="HI38" s="2">
        <v>0</v>
      </c>
      <c r="HJ38" s="1823">
        <v>41</v>
      </c>
      <c r="IB38" s="1">
        <v>43</v>
      </c>
      <c r="IO38" s="1">
        <v>0</v>
      </c>
      <c r="IQ38" s="2">
        <v>0</v>
      </c>
      <c r="IR38" s="1">
        <v>43</v>
      </c>
      <c r="IS38" s="2">
        <f t="shared" si="66"/>
        <v>0</v>
      </c>
      <c r="IT38" s="2">
        <f t="shared" si="67"/>
        <v>0</v>
      </c>
      <c r="IU38" s="2">
        <f t="shared" si="68"/>
        <v>0</v>
      </c>
      <c r="IV38" s="2">
        <f t="shared" si="69"/>
        <v>0</v>
      </c>
      <c r="IW38" s="2">
        <f t="shared" si="70"/>
        <v>0</v>
      </c>
      <c r="IX38" s="2">
        <f t="shared" si="71"/>
        <v>0</v>
      </c>
      <c r="IY38" s="2">
        <f t="shared" si="72"/>
        <v>0</v>
      </c>
      <c r="IZ38" s="2">
        <f t="shared" si="73"/>
        <v>0</v>
      </c>
      <c r="JA38" s="2">
        <f t="shared" si="74"/>
        <v>0</v>
      </c>
      <c r="JB38" s="2">
        <f t="shared" si="75"/>
        <v>0</v>
      </c>
      <c r="JC38" s="2">
        <f t="shared" si="76"/>
        <v>0</v>
      </c>
      <c r="JD38" s="2">
        <f t="shared" si="77"/>
        <v>0</v>
      </c>
    </row>
    <row r="39" spans="1:264">
      <c r="A39" s="1">
        <v>39</v>
      </c>
      <c r="B39" s="2"/>
      <c r="D39" s="1">
        <v>39</v>
      </c>
      <c r="E39" s="1119">
        <v>0</v>
      </c>
      <c r="F39" s="1119">
        <v>0</v>
      </c>
      <c r="G39" s="1119">
        <v>0</v>
      </c>
      <c r="H39" s="1119">
        <v>0</v>
      </c>
      <c r="I39" s="1119">
        <v>0</v>
      </c>
      <c r="J39" s="1119">
        <v>0</v>
      </c>
      <c r="K39" s="1119">
        <v>0</v>
      </c>
      <c r="L39" s="1119">
        <v>0</v>
      </c>
      <c r="M39" s="1119">
        <v>0</v>
      </c>
      <c r="N39" s="1119">
        <v>0</v>
      </c>
      <c r="O39" s="1119">
        <v>0</v>
      </c>
      <c r="Q39" s="1">
        <v>39</v>
      </c>
      <c r="R39" s="2">
        <f t="shared" si="98"/>
        <v>0</v>
      </c>
      <c r="S39" s="2">
        <f t="shared" si="99"/>
        <v>0</v>
      </c>
      <c r="T39" s="2">
        <f t="shared" si="100"/>
        <v>0</v>
      </c>
      <c r="U39" s="2">
        <f t="shared" si="101"/>
        <v>0</v>
      </c>
      <c r="V39" s="2">
        <f t="shared" si="102"/>
        <v>0</v>
      </c>
      <c r="W39" s="2">
        <f t="shared" si="103"/>
        <v>0</v>
      </c>
      <c r="X39" s="2">
        <f t="shared" si="104"/>
        <v>0</v>
      </c>
      <c r="Y39" s="2">
        <f t="shared" si="105"/>
        <v>0</v>
      </c>
      <c r="Z39" s="2">
        <f t="shared" si="106"/>
        <v>0</v>
      </c>
      <c r="AA39" s="2">
        <f t="shared" si="107"/>
        <v>0</v>
      </c>
      <c r="AB39" s="2">
        <f t="shared" si="108"/>
        <v>0</v>
      </c>
      <c r="AL39" s="2">
        <v>11611004.53145957</v>
      </c>
      <c r="AN39" s="1">
        <v>39</v>
      </c>
      <c r="AV39" s="1">
        <v>30</v>
      </c>
      <c r="AW39" s="1">
        <v>50</v>
      </c>
      <c r="AX39" s="1">
        <v>20</v>
      </c>
      <c r="BG39" s="1">
        <v>39</v>
      </c>
      <c r="BH39" s="2">
        <f t="shared" si="81"/>
        <v>0</v>
      </c>
      <c r="BI39" s="2">
        <f t="shared" si="82"/>
        <v>0</v>
      </c>
      <c r="BJ39" s="2">
        <f t="shared" si="83"/>
        <v>0</v>
      </c>
      <c r="BK39" s="2">
        <f t="shared" si="84"/>
        <v>0</v>
      </c>
      <c r="BL39" s="2">
        <f t="shared" si="85"/>
        <v>0</v>
      </c>
      <c r="BM39" s="2">
        <f t="shared" si="86"/>
        <v>0</v>
      </c>
      <c r="BN39" s="2">
        <f t="shared" si="87"/>
        <v>3483301.3594378708</v>
      </c>
      <c r="BO39" s="2">
        <f t="shared" si="88"/>
        <v>5805502.265729785</v>
      </c>
      <c r="BP39" s="2">
        <f t="shared" si="89"/>
        <v>2322200.9062919142</v>
      </c>
      <c r="BQ39" s="2">
        <f t="shared" si="90"/>
        <v>0</v>
      </c>
      <c r="BR39" s="2">
        <f t="shared" si="91"/>
        <v>0</v>
      </c>
      <c r="BS39" s="2">
        <f t="shared" si="92"/>
        <v>0</v>
      </c>
      <c r="BT39" s="2">
        <f t="shared" si="93"/>
        <v>0</v>
      </c>
      <c r="BU39" s="2">
        <f t="shared" si="94"/>
        <v>0</v>
      </c>
      <c r="BV39" s="2">
        <f t="shared" si="95"/>
        <v>0</v>
      </c>
      <c r="CI39" s="1">
        <v>71674.427172876865</v>
      </c>
      <c r="CJ39" s="1">
        <v>45</v>
      </c>
      <c r="CT39" s="2"/>
      <c r="CU39" s="2">
        <v>62.5</v>
      </c>
      <c r="CV39" s="2">
        <v>25</v>
      </c>
      <c r="CW39" s="2">
        <v>12.5</v>
      </c>
      <c r="CZ39" s="1">
        <v>100</v>
      </c>
      <c r="DC39" s="1">
        <v>45</v>
      </c>
      <c r="DD39" s="2">
        <f t="shared" si="2"/>
        <v>0</v>
      </c>
      <c r="DE39" s="2">
        <f t="shared" si="3"/>
        <v>0</v>
      </c>
      <c r="DF39" s="2">
        <f t="shared" si="4"/>
        <v>0</v>
      </c>
      <c r="DG39" s="2">
        <f t="shared" si="5"/>
        <v>0</v>
      </c>
      <c r="DH39" s="2">
        <f t="shared" si="6"/>
        <v>0</v>
      </c>
      <c r="DI39" s="2">
        <f t="shared" si="7"/>
        <v>0</v>
      </c>
      <c r="DJ39" s="2">
        <f t="shared" si="8"/>
        <v>0</v>
      </c>
      <c r="DK39" s="2">
        <f t="shared" si="9"/>
        <v>0</v>
      </c>
      <c r="DL39" s="2">
        <f t="shared" si="10"/>
        <v>0</v>
      </c>
      <c r="DM39" s="2">
        <f t="shared" si="11"/>
        <v>0</v>
      </c>
      <c r="DN39" s="2">
        <f t="shared" si="12"/>
        <v>44796.516983048037</v>
      </c>
      <c r="DO39" s="2">
        <f t="shared" si="13"/>
        <v>17918.606793219216</v>
      </c>
      <c r="DP39" s="2">
        <f t="shared" si="14"/>
        <v>8959.3033966096082</v>
      </c>
      <c r="DQ39" s="2">
        <f t="shared" si="15"/>
        <v>0</v>
      </c>
      <c r="DR39" s="2">
        <f t="shared" si="16"/>
        <v>0</v>
      </c>
      <c r="DT39" s="1">
        <v>43</v>
      </c>
      <c r="DU39" s="1">
        <v>112329.429782356</v>
      </c>
      <c r="DV39" s="1261"/>
      <c r="DW39" s="1261"/>
      <c r="DX39" s="1261"/>
      <c r="DY39" s="1261"/>
      <c r="DZ39" s="1261"/>
      <c r="EA39" s="1261"/>
      <c r="EB39" s="1261"/>
      <c r="EC39" s="1261"/>
      <c r="ED39" s="1261"/>
      <c r="EE39" s="1261">
        <v>0</v>
      </c>
      <c r="EF39" s="1261">
        <v>33.333333333333336</v>
      </c>
      <c r="EG39" s="1261">
        <v>33.333333333333336</v>
      </c>
      <c r="EH39" s="1261">
        <v>33.333333333333336</v>
      </c>
      <c r="EI39" s="1134"/>
      <c r="EJ39" s="1134"/>
      <c r="EM39" s="1">
        <v>43</v>
      </c>
      <c r="EN39" s="2">
        <f t="shared" si="17"/>
        <v>0</v>
      </c>
      <c r="EO39" s="2">
        <f t="shared" si="18"/>
        <v>0</v>
      </c>
      <c r="EP39" s="2">
        <f t="shared" si="19"/>
        <v>0</v>
      </c>
      <c r="EQ39" s="2">
        <f t="shared" si="20"/>
        <v>0</v>
      </c>
      <c r="ER39" s="2">
        <f t="shared" si="21"/>
        <v>0</v>
      </c>
      <c r="ES39" s="2">
        <f t="shared" si="22"/>
        <v>0</v>
      </c>
      <c r="ET39" s="2">
        <f t="shared" si="23"/>
        <v>0</v>
      </c>
      <c r="EU39" s="2">
        <f t="shared" si="24"/>
        <v>0</v>
      </c>
      <c r="EV39" s="2">
        <f t="shared" si="25"/>
        <v>0</v>
      </c>
      <c r="EW39" s="2">
        <f t="shared" si="26"/>
        <v>0</v>
      </c>
      <c r="EX39" s="2">
        <f t="shared" si="27"/>
        <v>37443.143260785335</v>
      </c>
      <c r="EY39" s="2">
        <f t="shared" si="28"/>
        <v>37443.143260785335</v>
      </c>
      <c r="EZ39" s="2">
        <f t="shared" si="29"/>
        <v>37443.143260785335</v>
      </c>
      <c r="FA39" s="2">
        <f t="shared" si="30"/>
        <v>0</v>
      </c>
      <c r="FB39" s="2">
        <f t="shared" si="31"/>
        <v>0</v>
      </c>
      <c r="FE39" s="1260">
        <v>42</v>
      </c>
      <c r="FF39" s="1261"/>
      <c r="FG39" s="1261"/>
      <c r="FH39" s="1261"/>
      <c r="FI39" s="1261"/>
      <c r="FJ39" s="1261"/>
      <c r="FK39" s="1261"/>
      <c r="FL39" s="1261"/>
      <c r="FM39" s="1252"/>
      <c r="FN39" s="1252"/>
      <c r="FO39" s="1252">
        <v>100</v>
      </c>
      <c r="FP39" s="1252">
        <v>0</v>
      </c>
      <c r="FQ39" s="1252"/>
      <c r="FR39" s="1252"/>
      <c r="FS39" s="1252"/>
      <c r="FT39" s="1264"/>
      <c r="FU39" s="1255">
        <v>100</v>
      </c>
      <c r="FV39" s="1452"/>
      <c r="FX39" s="2">
        <v>43492.42571557872</v>
      </c>
      <c r="FY39" s="1260">
        <v>42</v>
      </c>
      <c r="FZ39" s="2">
        <f t="shared" si="36"/>
        <v>0</v>
      </c>
      <c r="GA39" s="2">
        <f t="shared" si="37"/>
        <v>0</v>
      </c>
      <c r="GB39" s="2">
        <f t="shared" si="38"/>
        <v>0</v>
      </c>
      <c r="GC39" s="2">
        <f t="shared" si="39"/>
        <v>0</v>
      </c>
      <c r="GD39" s="2">
        <f t="shared" si="40"/>
        <v>0</v>
      </c>
      <c r="GE39" s="2">
        <f t="shared" si="41"/>
        <v>0</v>
      </c>
      <c r="GF39" s="2">
        <f t="shared" si="42"/>
        <v>0</v>
      </c>
      <c r="GG39" s="2">
        <f t="shared" si="43"/>
        <v>0</v>
      </c>
      <c r="GH39" s="2">
        <f t="shared" si="44"/>
        <v>0</v>
      </c>
      <c r="GI39" s="2">
        <f t="shared" si="45"/>
        <v>43492.42571557872</v>
      </c>
      <c r="GJ39" s="2">
        <f t="shared" si="46"/>
        <v>0</v>
      </c>
      <c r="GK39" s="2">
        <f t="shared" si="47"/>
        <v>0</v>
      </c>
      <c r="GL39" s="2">
        <f t="shared" si="48"/>
        <v>0</v>
      </c>
      <c r="GM39" s="2">
        <f t="shared" si="49"/>
        <v>0</v>
      </c>
      <c r="GN39" s="2">
        <f t="shared" si="50"/>
        <v>0</v>
      </c>
      <c r="GQ39" s="1260">
        <v>44</v>
      </c>
      <c r="GR39" s="1456"/>
      <c r="GS39" s="1456"/>
      <c r="GT39" s="1456"/>
      <c r="GU39" s="1456"/>
      <c r="GV39" s="1456"/>
      <c r="GW39" s="1456"/>
      <c r="GX39" s="1456"/>
      <c r="GY39" s="1456"/>
      <c r="GZ39" s="1456"/>
      <c r="HA39" s="1456"/>
      <c r="HB39" s="1456">
        <v>100</v>
      </c>
      <c r="HC39" s="1456"/>
      <c r="HD39" s="1456"/>
      <c r="HE39" s="1456"/>
      <c r="HF39" s="1261"/>
      <c r="HG39" s="1266">
        <f t="shared" si="79"/>
        <v>100</v>
      </c>
      <c r="HI39" s="2">
        <v>0</v>
      </c>
      <c r="HJ39" s="1823">
        <v>42</v>
      </c>
      <c r="IB39" s="1">
        <v>44</v>
      </c>
      <c r="IM39" s="1">
        <v>50</v>
      </c>
      <c r="IN39" s="1">
        <v>50</v>
      </c>
      <c r="IO39" s="1">
        <v>100</v>
      </c>
      <c r="IR39" s="1">
        <v>44</v>
      </c>
      <c r="IS39" s="2">
        <f t="shared" si="66"/>
        <v>0</v>
      </c>
      <c r="IT39" s="2">
        <f t="shared" si="67"/>
        <v>0</v>
      </c>
      <c r="IU39" s="2">
        <f t="shared" si="68"/>
        <v>0</v>
      </c>
      <c r="IV39" s="2">
        <f t="shared" si="69"/>
        <v>0</v>
      </c>
      <c r="IW39" s="2">
        <f t="shared" si="70"/>
        <v>0</v>
      </c>
      <c r="IX39" s="2">
        <f t="shared" si="71"/>
        <v>0</v>
      </c>
      <c r="IY39" s="2">
        <f t="shared" si="72"/>
        <v>0</v>
      </c>
      <c r="IZ39" s="2">
        <f t="shared" si="73"/>
        <v>0</v>
      </c>
      <c r="JA39" s="2">
        <f t="shared" si="74"/>
        <v>0</v>
      </c>
      <c r="JB39" s="2">
        <f t="shared" si="75"/>
        <v>0</v>
      </c>
      <c r="JC39" s="2">
        <f t="shared" si="76"/>
        <v>0</v>
      </c>
      <c r="JD39" s="2">
        <f t="shared" si="77"/>
        <v>0</v>
      </c>
    </row>
    <row r="40" spans="1:264">
      <c r="A40" s="1">
        <v>40</v>
      </c>
      <c r="B40" s="2"/>
      <c r="D40" s="1">
        <v>40</v>
      </c>
      <c r="E40" s="1119">
        <v>0</v>
      </c>
      <c r="F40" s="1119">
        <v>0</v>
      </c>
      <c r="G40" s="1119">
        <v>0</v>
      </c>
      <c r="H40" s="1119">
        <v>0</v>
      </c>
      <c r="I40" s="1119">
        <v>0</v>
      </c>
      <c r="J40" s="1119">
        <v>0</v>
      </c>
      <c r="K40" s="1119">
        <v>0</v>
      </c>
      <c r="L40" s="1119">
        <v>0</v>
      </c>
      <c r="M40" s="1119">
        <v>0</v>
      </c>
      <c r="N40" s="1119">
        <v>0</v>
      </c>
      <c r="O40" s="1119">
        <v>0</v>
      </c>
      <c r="Q40" s="1">
        <v>40</v>
      </c>
      <c r="R40" s="2">
        <f t="shared" si="98"/>
        <v>0</v>
      </c>
      <c r="S40" s="2">
        <f t="shared" si="99"/>
        <v>0</v>
      </c>
      <c r="T40" s="2">
        <f t="shared" si="100"/>
        <v>0</v>
      </c>
      <c r="U40" s="2">
        <f t="shared" si="101"/>
        <v>0</v>
      </c>
      <c r="V40" s="2">
        <f t="shared" si="102"/>
        <v>0</v>
      </c>
      <c r="W40" s="2">
        <f t="shared" si="103"/>
        <v>0</v>
      </c>
      <c r="X40" s="2">
        <f t="shared" si="104"/>
        <v>0</v>
      </c>
      <c r="Y40" s="2">
        <f t="shared" si="105"/>
        <v>0</v>
      </c>
      <c r="Z40" s="2">
        <f t="shared" si="106"/>
        <v>0</v>
      </c>
      <c r="AA40" s="2">
        <f t="shared" si="107"/>
        <v>0</v>
      </c>
      <c r="AB40" s="2">
        <f t="shared" si="108"/>
        <v>0</v>
      </c>
      <c r="AL40" s="2">
        <v>3916562.7197093186</v>
      </c>
      <c r="AN40" s="1">
        <v>40</v>
      </c>
      <c r="AV40" s="1">
        <v>10</v>
      </c>
      <c r="AW40" s="1">
        <v>40</v>
      </c>
      <c r="AX40" s="1">
        <v>40</v>
      </c>
      <c r="AY40" s="1">
        <v>10</v>
      </c>
      <c r="BG40" s="1">
        <v>40</v>
      </c>
      <c r="BH40" s="2">
        <f t="shared" si="81"/>
        <v>0</v>
      </c>
      <c r="BI40" s="2">
        <f t="shared" si="82"/>
        <v>0</v>
      </c>
      <c r="BJ40" s="2">
        <f t="shared" si="83"/>
        <v>0</v>
      </c>
      <c r="BK40" s="2">
        <f t="shared" si="84"/>
        <v>0</v>
      </c>
      <c r="BL40" s="2">
        <f t="shared" si="85"/>
        <v>0</v>
      </c>
      <c r="BM40" s="2">
        <f t="shared" si="86"/>
        <v>0</v>
      </c>
      <c r="BN40" s="2">
        <f t="shared" si="87"/>
        <v>391656.27197093191</v>
      </c>
      <c r="BO40" s="2">
        <f t="shared" si="88"/>
        <v>1566625.0878837276</v>
      </c>
      <c r="BP40" s="2">
        <f t="shared" si="89"/>
        <v>1566625.0878837276</v>
      </c>
      <c r="BQ40" s="2">
        <f t="shared" si="90"/>
        <v>391656.27197093191</v>
      </c>
      <c r="BR40" s="2">
        <f t="shared" si="91"/>
        <v>0</v>
      </c>
      <c r="BS40" s="2">
        <f t="shared" si="92"/>
        <v>0</v>
      </c>
      <c r="BT40" s="2">
        <f t="shared" si="93"/>
        <v>0</v>
      </c>
      <c r="BU40" s="2">
        <f t="shared" si="94"/>
        <v>0</v>
      </c>
      <c r="BV40" s="2">
        <f t="shared" si="95"/>
        <v>0</v>
      </c>
      <c r="CI40" s="1">
        <v>62470.847220915282</v>
      </c>
      <c r="CJ40" s="1">
        <v>46</v>
      </c>
      <c r="CT40" s="2"/>
      <c r="CU40" s="2">
        <v>25</v>
      </c>
      <c r="CV40" s="2">
        <v>25</v>
      </c>
      <c r="CW40" s="2">
        <v>25</v>
      </c>
      <c r="CX40" s="2">
        <v>25</v>
      </c>
      <c r="CZ40" s="1">
        <v>100</v>
      </c>
      <c r="DC40" s="1">
        <v>46</v>
      </c>
      <c r="DD40" s="2">
        <f t="shared" si="2"/>
        <v>0</v>
      </c>
      <c r="DE40" s="2">
        <f t="shared" si="3"/>
        <v>0</v>
      </c>
      <c r="DF40" s="2">
        <f t="shared" si="4"/>
        <v>0</v>
      </c>
      <c r="DG40" s="2">
        <f t="shared" si="5"/>
        <v>0</v>
      </c>
      <c r="DH40" s="2">
        <f t="shared" si="6"/>
        <v>0</v>
      </c>
      <c r="DI40" s="2">
        <f t="shared" si="7"/>
        <v>0</v>
      </c>
      <c r="DJ40" s="2">
        <f t="shared" si="8"/>
        <v>0</v>
      </c>
      <c r="DK40" s="2">
        <f t="shared" si="9"/>
        <v>0</v>
      </c>
      <c r="DL40" s="2">
        <f t="shared" si="10"/>
        <v>0</v>
      </c>
      <c r="DM40" s="2">
        <f t="shared" si="11"/>
        <v>0</v>
      </c>
      <c r="DN40" s="2">
        <f t="shared" si="12"/>
        <v>15617.711805228821</v>
      </c>
      <c r="DO40" s="2">
        <f t="shared" si="13"/>
        <v>15617.711805228821</v>
      </c>
      <c r="DP40" s="2">
        <f t="shared" si="14"/>
        <v>15617.711805228821</v>
      </c>
      <c r="DQ40" s="2">
        <f t="shared" si="15"/>
        <v>15617.711805228821</v>
      </c>
      <c r="DR40" s="2">
        <f t="shared" si="16"/>
        <v>0</v>
      </c>
      <c r="DT40" s="1">
        <v>44</v>
      </c>
      <c r="DU40" s="1">
        <v>92821.825049649109</v>
      </c>
      <c r="DV40" s="1261"/>
      <c r="DW40" s="1261"/>
      <c r="DX40" s="1261"/>
      <c r="DY40" s="1261"/>
      <c r="DZ40" s="1261"/>
      <c r="EA40" s="1261"/>
      <c r="EB40" s="1261"/>
      <c r="EC40" s="1261"/>
      <c r="ED40" s="1261"/>
      <c r="EE40" s="1261">
        <v>50</v>
      </c>
      <c r="EF40" s="1261">
        <v>50</v>
      </c>
      <c r="EG40" s="1261"/>
      <c r="EH40" s="1261"/>
      <c r="EI40" s="1134"/>
      <c r="EJ40" s="1134"/>
      <c r="EM40" s="1">
        <v>44</v>
      </c>
      <c r="EN40" s="2">
        <f t="shared" si="17"/>
        <v>0</v>
      </c>
      <c r="EO40" s="2">
        <f t="shared" si="18"/>
        <v>0</v>
      </c>
      <c r="EP40" s="2">
        <f t="shared" si="19"/>
        <v>0</v>
      </c>
      <c r="EQ40" s="2">
        <f t="shared" si="20"/>
        <v>0</v>
      </c>
      <c r="ER40" s="2">
        <f t="shared" si="21"/>
        <v>0</v>
      </c>
      <c r="ES40" s="2">
        <f t="shared" si="22"/>
        <v>0</v>
      </c>
      <c r="ET40" s="2">
        <f t="shared" si="23"/>
        <v>0</v>
      </c>
      <c r="EU40" s="2">
        <f t="shared" si="24"/>
        <v>0</v>
      </c>
      <c r="EV40" s="2">
        <f t="shared" si="25"/>
        <v>0</v>
      </c>
      <c r="EW40" s="2">
        <f t="shared" si="26"/>
        <v>46410.912524824555</v>
      </c>
      <c r="EX40" s="2">
        <f t="shared" si="27"/>
        <v>46410.912524824555</v>
      </c>
      <c r="EY40" s="2">
        <f t="shared" si="28"/>
        <v>0</v>
      </c>
      <c r="EZ40" s="2">
        <f t="shared" si="29"/>
        <v>0</v>
      </c>
      <c r="FA40" s="2">
        <f t="shared" si="30"/>
        <v>0</v>
      </c>
      <c r="FB40" s="2">
        <f t="shared" si="31"/>
        <v>0</v>
      </c>
      <c r="FE40" s="1260">
        <v>43</v>
      </c>
      <c r="FF40" s="1261"/>
      <c r="FG40" s="1261"/>
      <c r="FH40" s="1261"/>
      <c r="FI40" s="1261"/>
      <c r="FJ40" s="1261"/>
      <c r="FK40" s="1261"/>
      <c r="FL40" s="1261"/>
      <c r="FM40" s="1252"/>
      <c r="FN40" s="1252"/>
      <c r="FO40" s="1252"/>
      <c r="FP40" s="1252">
        <v>100</v>
      </c>
      <c r="FQ40" s="1252"/>
      <c r="FR40" s="1252"/>
      <c r="FS40" s="1252"/>
      <c r="FT40" s="1134"/>
      <c r="FU40" s="1258">
        <v>100</v>
      </c>
      <c r="FV40" s="1452"/>
      <c r="FX40" s="2">
        <v>31678.226611120288</v>
      </c>
      <c r="FY40" s="1260">
        <v>43</v>
      </c>
      <c r="FZ40" s="2">
        <f t="shared" si="36"/>
        <v>0</v>
      </c>
      <c r="GA40" s="2">
        <f t="shared" si="37"/>
        <v>0</v>
      </c>
      <c r="GB40" s="2">
        <f t="shared" si="38"/>
        <v>0</v>
      </c>
      <c r="GC40" s="2">
        <f t="shared" si="39"/>
        <v>0</v>
      </c>
      <c r="GD40" s="2">
        <f t="shared" si="40"/>
        <v>0</v>
      </c>
      <c r="GE40" s="2">
        <f t="shared" si="41"/>
        <v>0</v>
      </c>
      <c r="GF40" s="2">
        <f t="shared" si="42"/>
        <v>0</v>
      </c>
      <c r="GG40" s="2">
        <f t="shared" si="43"/>
        <v>0</v>
      </c>
      <c r="GH40" s="2">
        <f t="shared" si="44"/>
        <v>0</v>
      </c>
      <c r="GI40" s="2">
        <f t="shared" si="45"/>
        <v>0</v>
      </c>
      <c r="GJ40" s="2">
        <f t="shared" si="46"/>
        <v>31678.226611120288</v>
      </c>
      <c r="GK40" s="2">
        <f t="shared" si="47"/>
        <v>0</v>
      </c>
      <c r="GL40" s="2">
        <f t="shared" si="48"/>
        <v>0</v>
      </c>
      <c r="GM40" s="2">
        <f t="shared" si="49"/>
        <v>0</v>
      </c>
      <c r="GN40" s="2">
        <f t="shared" si="50"/>
        <v>0</v>
      </c>
      <c r="GQ40" s="1260">
        <v>45</v>
      </c>
      <c r="GR40" s="1456"/>
      <c r="GS40" s="1456"/>
      <c r="GT40" s="1456"/>
      <c r="GU40" s="1456"/>
      <c r="GV40" s="1456"/>
      <c r="GW40" s="1456"/>
      <c r="GX40" s="1456"/>
      <c r="GY40" s="1456"/>
      <c r="GZ40" s="1456"/>
      <c r="HA40" s="1456"/>
      <c r="HB40" s="1456"/>
      <c r="HC40" s="1456">
        <v>100</v>
      </c>
      <c r="HD40" s="1456"/>
      <c r="HE40" s="1456"/>
      <c r="HF40" s="1261"/>
      <c r="HG40" s="1266">
        <f t="shared" si="79"/>
        <v>100</v>
      </c>
      <c r="HI40" s="2">
        <v>0</v>
      </c>
      <c r="HJ40" s="1823">
        <v>43</v>
      </c>
      <c r="IS40" s="2">
        <f t="shared" si="66"/>
        <v>0</v>
      </c>
      <c r="IT40" s="2">
        <f t="shared" si="67"/>
        <v>0</v>
      </c>
      <c r="IU40" s="2">
        <f t="shared" si="68"/>
        <v>0</v>
      </c>
      <c r="IV40" s="2">
        <f t="shared" si="69"/>
        <v>0</v>
      </c>
      <c r="IW40" s="2">
        <f t="shared" si="70"/>
        <v>0</v>
      </c>
      <c r="IX40" s="2">
        <f t="shared" si="71"/>
        <v>0</v>
      </c>
      <c r="IY40" s="2">
        <f t="shared" si="72"/>
        <v>0</v>
      </c>
      <c r="IZ40" s="2">
        <f t="shared" si="73"/>
        <v>0</v>
      </c>
      <c r="JA40" s="2">
        <f t="shared" si="74"/>
        <v>0</v>
      </c>
      <c r="JB40" s="2">
        <f t="shared" si="75"/>
        <v>0</v>
      </c>
      <c r="JC40" s="2">
        <f t="shared" si="76"/>
        <v>0</v>
      </c>
      <c r="JD40" s="2">
        <f t="shared" si="77"/>
        <v>0</v>
      </c>
    </row>
    <row r="41" spans="1:264">
      <c r="A41" s="1">
        <v>41</v>
      </c>
      <c r="B41" s="2"/>
      <c r="D41" s="1">
        <v>41</v>
      </c>
      <c r="E41" s="1119">
        <v>0</v>
      </c>
      <c r="F41" s="1119">
        <v>0</v>
      </c>
      <c r="G41" s="1119">
        <v>0</v>
      </c>
      <c r="H41" s="1119">
        <v>0</v>
      </c>
      <c r="I41" s="1119">
        <v>0</v>
      </c>
      <c r="J41" s="1119">
        <v>0</v>
      </c>
      <c r="K41" s="1119">
        <v>0</v>
      </c>
      <c r="L41" s="1119">
        <v>0</v>
      </c>
      <c r="M41" s="1119">
        <v>0</v>
      </c>
      <c r="N41" s="1119">
        <v>0</v>
      </c>
      <c r="O41" s="1119">
        <v>0</v>
      </c>
      <c r="Q41" s="1">
        <v>41</v>
      </c>
      <c r="R41" s="2">
        <f t="shared" si="98"/>
        <v>0</v>
      </c>
      <c r="S41" s="2">
        <f t="shared" si="99"/>
        <v>0</v>
      </c>
      <c r="T41" s="2">
        <f t="shared" si="100"/>
        <v>0</v>
      </c>
      <c r="U41" s="2">
        <f t="shared" si="101"/>
        <v>0</v>
      </c>
      <c r="V41" s="2">
        <f t="shared" si="102"/>
        <v>0</v>
      </c>
      <c r="W41" s="2">
        <f t="shared" si="103"/>
        <v>0</v>
      </c>
      <c r="X41" s="2">
        <f t="shared" si="104"/>
        <v>0</v>
      </c>
      <c r="Y41" s="2">
        <f t="shared" si="105"/>
        <v>0</v>
      </c>
      <c r="Z41" s="2">
        <f t="shared" si="106"/>
        <v>0</v>
      </c>
      <c r="AA41" s="2">
        <f t="shared" si="107"/>
        <v>0</v>
      </c>
      <c r="AB41" s="2">
        <f t="shared" si="108"/>
        <v>0</v>
      </c>
      <c r="AL41" s="2">
        <v>1003911.4606321414</v>
      </c>
      <c r="AN41" s="1">
        <v>41</v>
      </c>
      <c r="AW41" s="1">
        <v>30</v>
      </c>
      <c r="AX41" s="1">
        <v>60</v>
      </c>
      <c r="AY41" s="1">
        <v>10</v>
      </c>
      <c r="BG41" s="1">
        <v>41</v>
      </c>
      <c r="BH41" s="2">
        <f t="shared" si="81"/>
        <v>0</v>
      </c>
      <c r="BI41" s="2">
        <f t="shared" si="82"/>
        <v>0</v>
      </c>
      <c r="BJ41" s="2">
        <f t="shared" si="83"/>
        <v>0</v>
      </c>
      <c r="BK41" s="2">
        <f t="shared" si="84"/>
        <v>0</v>
      </c>
      <c r="BL41" s="2">
        <f t="shared" si="85"/>
        <v>0</v>
      </c>
      <c r="BM41" s="2">
        <f t="shared" si="86"/>
        <v>0</v>
      </c>
      <c r="BN41" s="2">
        <f t="shared" si="87"/>
        <v>0</v>
      </c>
      <c r="BO41" s="2">
        <f t="shared" si="88"/>
        <v>301173.43818964245</v>
      </c>
      <c r="BP41" s="2">
        <f t="shared" si="89"/>
        <v>602346.87637928489</v>
      </c>
      <c r="BQ41" s="2">
        <f t="shared" si="90"/>
        <v>100391.14606321415</v>
      </c>
      <c r="BR41" s="2">
        <f t="shared" si="91"/>
        <v>0</v>
      </c>
      <c r="BS41" s="2">
        <f t="shared" si="92"/>
        <v>0</v>
      </c>
      <c r="BT41" s="2">
        <f t="shared" si="93"/>
        <v>0</v>
      </c>
      <c r="BU41" s="2">
        <f t="shared" si="94"/>
        <v>0</v>
      </c>
      <c r="BV41" s="2">
        <f t="shared" si="95"/>
        <v>0</v>
      </c>
      <c r="CI41" s="1">
        <v>69261.780357998636</v>
      </c>
      <c r="CJ41" s="1">
        <v>47</v>
      </c>
      <c r="CT41" s="2"/>
      <c r="CU41" s="2"/>
      <c r="CV41" s="2">
        <v>33.333333333333336</v>
      </c>
      <c r="CW41" s="2">
        <v>66.666666666666671</v>
      </c>
      <c r="CX41" s="2">
        <v>0</v>
      </c>
      <c r="CZ41" s="1">
        <v>100</v>
      </c>
      <c r="DC41" s="1">
        <v>47</v>
      </c>
      <c r="DD41" s="2">
        <f t="shared" si="2"/>
        <v>0</v>
      </c>
      <c r="DE41" s="2">
        <f t="shared" si="3"/>
        <v>0</v>
      </c>
      <c r="DF41" s="2">
        <f t="shared" si="4"/>
        <v>0</v>
      </c>
      <c r="DG41" s="2">
        <f t="shared" si="5"/>
        <v>0</v>
      </c>
      <c r="DH41" s="2">
        <f t="shared" si="6"/>
        <v>0</v>
      </c>
      <c r="DI41" s="2">
        <f t="shared" si="7"/>
        <v>0</v>
      </c>
      <c r="DJ41" s="2">
        <f t="shared" si="8"/>
        <v>0</v>
      </c>
      <c r="DK41" s="2">
        <f t="shared" si="9"/>
        <v>0</v>
      </c>
      <c r="DL41" s="2">
        <f t="shared" si="10"/>
        <v>0</v>
      </c>
      <c r="DM41" s="2">
        <f t="shared" si="11"/>
        <v>0</v>
      </c>
      <c r="DN41" s="2">
        <f t="shared" si="12"/>
        <v>0</v>
      </c>
      <c r="DO41" s="2">
        <f t="shared" si="13"/>
        <v>23087.260119332881</v>
      </c>
      <c r="DP41" s="2">
        <f t="shared" si="14"/>
        <v>46174.520238665762</v>
      </c>
      <c r="DQ41" s="2">
        <f t="shared" si="15"/>
        <v>0</v>
      </c>
      <c r="DR41" s="2">
        <f t="shared" si="16"/>
        <v>0</v>
      </c>
      <c r="DT41" s="1">
        <v>45</v>
      </c>
      <c r="DU41" s="1">
        <v>27357.94006363313</v>
      </c>
      <c r="DV41" s="1261"/>
      <c r="DW41" s="1261"/>
      <c r="DX41" s="1261"/>
      <c r="DY41" s="1261"/>
      <c r="DZ41" s="1261"/>
      <c r="EA41" s="1261"/>
      <c r="EB41" s="1261"/>
      <c r="EC41" s="1261"/>
      <c r="ED41" s="1261"/>
      <c r="EE41" s="1261"/>
      <c r="EF41" s="1261">
        <v>100</v>
      </c>
      <c r="EG41" s="1261"/>
      <c r="EH41" s="1261"/>
      <c r="EI41" s="1134"/>
      <c r="EJ41" s="1134"/>
      <c r="EM41" s="1">
        <v>45</v>
      </c>
      <c r="EN41" s="2">
        <f t="shared" si="17"/>
        <v>0</v>
      </c>
      <c r="EO41" s="2">
        <f t="shared" si="18"/>
        <v>0</v>
      </c>
      <c r="EP41" s="2">
        <f t="shared" si="19"/>
        <v>0</v>
      </c>
      <c r="EQ41" s="2">
        <f t="shared" si="20"/>
        <v>0</v>
      </c>
      <c r="ER41" s="2">
        <f t="shared" si="21"/>
        <v>0</v>
      </c>
      <c r="ES41" s="2">
        <f t="shared" si="22"/>
        <v>0</v>
      </c>
      <c r="ET41" s="2">
        <f t="shared" si="23"/>
        <v>0</v>
      </c>
      <c r="EU41" s="2">
        <f t="shared" si="24"/>
        <v>0</v>
      </c>
      <c r="EV41" s="2">
        <f t="shared" si="25"/>
        <v>0</v>
      </c>
      <c r="EW41" s="2">
        <f t="shared" si="26"/>
        <v>0</v>
      </c>
      <c r="EX41" s="2">
        <f t="shared" si="27"/>
        <v>27357.94006363313</v>
      </c>
      <c r="EY41" s="2">
        <f t="shared" si="28"/>
        <v>0</v>
      </c>
      <c r="EZ41" s="2">
        <f t="shared" si="29"/>
        <v>0</v>
      </c>
      <c r="FA41" s="2">
        <f t="shared" si="30"/>
        <v>0</v>
      </c>
      <c r="FB41" s="2">
        <f t="shared" si="31"/>
        <v>0</v>
      </c>
      <c r="FE41" s="1260">
        <v>44</v>
      </c>
      <c r="FF41" s="1261"/>
      <c r="FG41" s="1261"/>
      <c r="FH41" s="1261"/>
      <c r="FI41" s="1261"/>
      <c r="FJ41" s="1261"/>
      <c r="FK41" s="1261"/>
      <c r="FL41" s="1261"/>
      <c r="FM41" s="1252"/>
      <c r="FN41" s="1252"/>
      <c r="FO41" s="1252"/>
      <c r="FP41" s="1252">
        <v>100</v>
      </c>
      <c r="FQ41" s="1252"/>
      <c r="FR41" s="1252"/>
      <c r="FS41" s="1252"/>
      <c r="FT41" s="1261"/>
      <c r="FU41" s="1258">
        <v>100</v>
      </c>
      <c r="FV41" s="1452"/>
      <c r="FX41" s="2">
        <v>43688.613019376098</v>
      </c>
      <c r="FY41" s="1260">
        <v>44</v>
      </c>
      <c r="FZ41" s="2">
        <f t="shared" si="36"/>
        <v>0</v>
      </c>
      <c r="GA41" s="2">
        <f t="shared" si="37"/>
        <v>0</v>
      </c>
      <c r="GB41" s="2">
        <f t="shared" si="38"/>
        <v>0</v>
      </c>
      <c r="GC41" s="2">
        <f t="shared" si="39"/>
        <v>0</v>
      </c>
      <c r="GD41" s="2">
        <f t="shared" si="40"/>
        <v>0</v>
      </c>
      <c r="GE41" s="2">
        <f t="shared" si="41"/>
        <v>0</v>
      </c>
      <c r="GF41" s="2">
        <f t="shared" si="42"/>
        <v>0</v>
      </c>
      <c r="GG41" s="2">
        <f t="shared" si="43"/>
        <v>0</v>
      </c>
      <c r="GH41" s="2">
        <f t="shared" si="44"/>
        <v>0</v>
      </c>
      <c r="GI41" s="2">
        <f t="shared" si="45"/>
        <v>0</v>
      </c>
      <c r="GJ41" s="2">
        <f t="shared" si="46"/>
        <v>43688.613019376098</v>
      </c>
      <c r="GK41" s="2">
        <f t="shared" si="47"/>
        <v>0</v>
      </c>
      <c r="GL41" s="2">
        <f t="shared" si="48"/>
        <v>0</v>
      </c>
      <c r="GM41" s="2">
        <f t="shared" si="49"/>
        <v>0</v>
      </c>
      <c r="GN41" s="2">
        <f t="shared" si="50"/>
        <v>0</v>
      </c>
      <c r="GQ41" s="1256">
        <v>46</v>
      </c>
      <c r="GR41" s="1456"/>
      <c r="GS41" s="1456"/>
      <c r="GT41" s="1456"/>
      <c r="GU41" s="1456"/>
      <c r="GV41" s="1456"/>
      <c r="GW41" s="1456"/>
      <c r="GX41" s="1456"/>
      <c r="GY41" s="1456"/>
      <c r="GZ41" s="1456"/>
      <c r="HA41" s="1456"/>
      <c r="HB41" s="1456"/>
      <c r="HC41" s="1456"/>
      <c r="HD41" s="1456">
        <v>100</v>
      </c>
      <c r="HE41" s="1456"/>
      <c r="HF41" s="1261"/>
      <c r="HG41" s="1266">
        <f t="shared" si="79"/>
        <v>100</v>
      </c>
      <c r="HJ41" s="1823">
        <v>44</v>
      </c>
    </row>
    <row r="42" spans="1:264">
      <c r="A42" s="1">
        <v>42</v>
      </c>
      <c r="B42" s="2"/>
      <c r="D42" s="1">
        <v>42</v>
      </c>
      <c r="E42" s="1119">
        <v>0</v>
      </c>
      <c r="F42" s="1119">
        <v>0</v>
      </c>
      <c r="G42" s="1119">
        <v>0</v>
      </c>
      <c r="H42" s="1119">
        <v>0</v>
      </c>
      <c r="I42" s="1119">
        <v>0</v>
      </c>
      <c r="J42" s="1119">
        <v>0</v>
      </c>
      <c r="K42" s="1119">
        <v>0</v>
      </c>
      <c r="L42" s="1119">
        <v>0</v>
      </c>
      <c r="M42" s="1119">
        <v>0</v>
      </c>
      <c r="N42" s="1119">
        <v>0</v>
      </c>
      <c r="O42" s="1119">
        <v>0</v>
      </c>
      <c r="Q42" s="1">
        <v>42</v>
      </c>
      <c r="R42" s="2">
        <f t="shared" si="98"/>
        <v>0</v>
      </c>
      <c r="S42" s="2">
        <f t="shared" si="99"/>
        <v>0</v>
      </c>
      <c r="T42" s="2">
        <f t="shared" si="100"/>
        <v>0</v>
      </c>
      <c r="U42" s="2">
        <f t="shared" si="101"/>
        <v>0</v>
      </c>
      <c r="V42" s="2">
        <f t="shared" si="102"/>
        <v>0</v>
      </c>
      <c r="W42" s="2">
        <f t="shared" si="103"/>
        <v>0</v>
      </c>
      <c r="X42" s="2">
        <f t="shared" si="104"/>
        <v>0</v>
      </c>
      <c r="Y42" s="2">
        <f t="shared" si="105"/>
        <v>0</v>
      </c>
      <c r="Z42" s="2">
        <f t="shared" si="106"/>
        <v>0</v>
      </c>
      <c r="AA42" s="2">
        <f t="shared" si="107"/>
        <v>0</v>
      </c>
      <c r="AB42" s="2">
        <f t="shared" si="108"/>
        <v>0</v>
      </c>
      <c r="AL42" s="2">
        <v>195786.25416878352</v>
      </c>
      <c r="AN42" s="1">
        <v>42</v>
      </c>
      <c r="AW42" s="1">
        <v>28.56</v>
      </c>
      <c r="AX42" s="1">
        <v>42.86</v>
      </c>
      <c r="AY42" s="1">
        <v>14.29</v>
      </c>
      <c r="AZ42" s="1">
        <v>14.29</v>
      </c>
      <c r="BG42" s="1">
        <v>42</v>
      </c>
      <c r="BH42" s="2">
        <f t="shared" si="81"/>
        <v>0</v>
      </c>
      <c r="BI42" s="2">
        <f t="shared" si="82"/>
        <v>0</v>
      </c>
      <c r="BJ42" s="2">
        <f t="shared" si="83"/>
        <v>0</v>
      </c>
      <c r="BK42" s="2">
        <f t="shared" si="84"/>
        <v>0</v>
      </c>
      <c r="BL42" s="2">
        <f t="shared" si="85"/>
        <v>0</v>
      </c>
      <c r="BM42" s="2">
        <f t="shared" si="86"/>
        <v>0</v>
      </c>
      <c r="BN42" s="2">
        <f t="shared" si="87"/>
        <v>0</v>
      </c>
      <c r="BO42" s="2">
        <f t="shared" si="88"/>
        <v>55916.554190604569</v>
      </c>
      <c r="BP42" s="2">
        <f t="shared" si="89"/>
        <v>83913.98853674061</v>
      </c>
      <c r="BQ42" s="2">
        <f t="shared" si="90"/>
        <v>27977.855720719162</v>
      </c>
      <c r="BR42" s="2">
        <f t="shared" si="91"/>
        <v>27977.855720719162</v>
      </c>
      <c r="BS42" s="2">
        <f t="shared" si="92"/>
        <v>0</v>
      </c>
      <c r="BT42" s="2">
        <f t="shared" si="93"/>
        <v>0</v>
      </c>
      <c r="BU42" s="2">
        <f t="shared" si="94"/>
        <v>0</v>
      </c>
      <c r="BV42" s="2">
        <f t="shared" si="95"/>
        <v>0</v>
      </c>
      <c r="CI42" s="1">
        <v>37233.421425091736</v>
      </c>
      <c r="CJ42" s="1">
        <v>48</v>
      </c>
      <c r="CV42" s="2">
        <v>33.333333333333336</v>
      </c>
      <c r="CW42" s="2">
        <v>33.333333333333336</v>
      </c>
      <c r="CX42" s="2">
        <v>33.333333333333336</v>
      </c>
      <c r="CZ42" s="1">
        <v>100</v>
      </c>
      <c r="DC42" s="1">
        <v>48</v>
      </c>
      <c r="DD42" s="2">
        <f t="shared" si="2"/>
        <v>0</v>
      </c>
      <c r="DE42" s="2">
        <f t="shared" si="3"/>
        <v>0</v>
      </c>
      <c r="DF42" s="2">
        <f t="shared" si="4"/>
        <v>0</v>
      </c>
      <c r="DG42" s="2">
        <f t="shared" si="5"/>
        <v>0</v>
      </c>
      <c r="DH42" s="2">
        <f t="shared" si="6"/>
        <v>0</v>
      </c>
      <c r="DI42" s="2">
        <f t="shared" si="7"/>
        <v>0</v>
      </c>
      <c r="DJ42" s="2">
        <f t="shared" si="8"/>
        <v>0</v>
      </c>
      <c r="DK42" s="2">
        <f t="shared" si="9"/>
        <v>0</v>
      </c>
      <c r="DL42" s="2">
        <f t="shared" si="10"/>
        <v>0</v>
      </c>
      <c r="DM42" s="2">
        <f t="shared" si="11"/>
        <v>0</v>
      </c>
      <c r="DN42" s="2">
        <f t="shared" si="12"/>
        <v>0</v>
      </c>
      <c r="DO42" s="2">
        <f t="shared" si="13"/>
        <v>12411.140475030579</v>
      </c>
      <c r="DP42" s="2">
        <f t="shared" si="14"/>
        <v>12411.140475030579</v>
      </c>
      <c r="DQ42" s="2">
        <f t="shared" si="15"/>
        <v>12411.140475030579</v>
      </c>
      <c r="DR42" s="2">
        <f t="shared" si="16"/>
        <v>0</v>
      </c>
      <c r="DT42" s="1">
        <v>46</v>
      </c>
      <c r="DU42" s="1">
        <v>34426.199297756008</v>
      </c>
      <c r="DV42" s="1261"/>
      <c r="DW42" s="1261"/>
      <c r="DX42" s="1261"/>
      <c r="DY42" s="1261"/>
      <c r="DZ42" s="1261"/>
      <c r="EA42" s="1261"/>
      <c r="EB42" s="1261"/>
      <c r="EC42" s="1261"/>
      <c r="ED42" s="1261"/>
      <c r="EE42" s="1261"/>
      <c r="EF42" s="1261">
        <v>50</v>
      </c>
      <c r="EG42" s="1261">
        <v>50</v>
      </c>
      <c r="EH42" s="1261"/>
      <c r="EI42" s="1134"/>
      <c r="EJ42" s="1134"/>
      <c r="EM42" s="1">
        <v>46</v>
      </c>
      <c r="EN42" s="2">
        <f t="shared" si="17"/>
        <v>0</v>
      </c>
      <c r="EO42" s="2">
        <f t="shared" si="18"/>
        <v>0</v>
      </c>
      <c r="EP42" s="2">
        <f t="shared" si="19"/>
        <v>0</v>
      </c>
      <c r="EQ42" s="2">
        <f t="shared" si="20"/>
        <v>0</v>
      </c>
      <c r="ER42" s="2">
        <f t="shared" si="21"/>
        <v>0</v>
      </c>
      <c r="ES42" s="2">
        <f t="shared" si="22"/>
        <v>0</v>
      </c>
      <c r="ET42" s="2">
        <f t="shared" si="23"/>
        <v>0</v>
      </c>
      <c r="EU42" s="2">
        <f t="shared" si="24"/>
        <v>0</v>
      </c>
      <c r="EV42" s="2">
        <f t="shared" si="25"/>
        <v>0</v>
      </c>
      <c r="EW42" s="2">
        <f t="shared" si="26"/>
        <v>0</v>
      </c>
      <c r="EX42" s="2">
        <f t="shared" si="27"/>
        <v>17213.099648878004</v>
      </c>
      <c r="EY42" s="2">
        <f t="shared" si="28"/>
        <v>17213.099648878004</v>
      </c>
      <c r="EZ42" s="2">
        <f t="shared" si="29"/>
        <v>0</v>
      </c>
      <c r="FA42" s="2">
        <f t="shared" si="30"/>
        <v>0</v>
      </c>
      <c r="FB42" s="2">
        <f t="shared" si="31"/>
        <v>0</v>
      </c>
      <c r="FE42" s="1260">
        <v>45</v>
      </c>
      <c r="FF42" s="1261"/>
      <c r="FG42" s="1261"/>
      <c r="FH42" s="1261"/>
      <c r="FI42" s="1261"/>
      <c r="FJ42" s="1261"/>
      <c r="FK42" s="1261"/>
      <c r="FL42" s="1261"/>
      <c r="FM42" s="1252"/>
      <c r="FN42" s="1252"/>
      <c r="FO42" s="1252"/>
      <c r="FP42" s="1252">
        <v>100</v>
      </c>
      <c r="FQ42" s="1252"/>
      <c r="FR42" s="1252"/>
      <c r="FS42" s="1252"/>
      <c r="FT42" s="1261"/>
      <c r="FU42" s="1255">
        <v>100</v>
      </c>
      <c r="FV42" s="1452"/>
      <c r="FX42" s="2">
        <v>11834.940935245459</v>
      </c>
      <c r="FY42" s="1260">
        <v>45</v>
      </c>
      <c r="FZ42" s="2">
        <f t="shared" si="36"/>
        <v>0</v>
      </c>
      <c r="GA42" s="2">
        <f t="shared" si="37"/>
        <v>0</v>
      </c>
      <c r="GB42" s="2">
        <f t="shared" si="38"/>
        <v>0</v>
      </c>
      <c r="GC42" s="2">
        <f t="shared" si="39"/>
        <v>0</v>
      </c>
      <c r="GD42" s="2">
        <f t="shared" si="40"/>
        <v>0</v>
      </c>
      <c r="GE42" s="2">
        <f t="shared" si="41"/>
        <v>0</v>
      </c>
      <c r="GF42" s="2">
        <f t="shared" si="42"/>
        <v>0</v>
      </c>
      <c r="GG42" s="2">
        <f t="shared" si="43"/>
        <v>0</v>
      </c>
      <c r="GH42" s="2">
        <f t="shared" si="44"/>
        <v>0</v>
      </c>
      <c r="GI42" s="2">
        <f t="shared" si="45"/>
        <v>0</v>
      </c>
      <c r="GJ42" s="2">
        <f t="shared" si="46"/>
        <v>11834.940935245459</v>
      </c>
      <c r="GK42" s="2">
        <f t="shared" si="47"/>
        <v>0</v>
      </c>
      <c r="GL42" s="2">
        <f t="shared" si="48"/>
        <v>0</v>
      </c>
      <c r="GM42" s="2">
        <f t="shared" si="49"/>
        <v>0</v>
      </c>
      <c r="GN42" s="2">
        <f t="shared" si="50"/>
        <v>0</v>
      </c>
      <c r="GQ42" s="1256">
        <v>47</v>
      </c>
      <c r="GR42" s="1456"/>
      <c r="GS42" s="1456"/>
      <c r="GT42" s="1456"/>
      <c r="GU42" s="1456"/>
      <c r="GV42" s="1456"/>
      <c r="GW42" s="1456"/>
      <c r="GX42" s="1456"/>
      <c r="GY42" s="1456"/>
      <c r="GZ42" s="1456"/>
      <c r="HA42" s="1456"/>
      <c r="HB42" s="1456"/>
      <c r="HC42" s="1456"/>
      <c r="HD42" s="1456">
        <v>100</v>
      </c>
      <c r="HE42" s="1456"/>
      <c r="HF42" s="1261"/>
      <c r="HG42" s="1266">
        <f t="shared" si="79"/>
        <v>100</v>
      </c>
      <c r="HJ42" s="1823">
        <v>45</v>
      </c>
    </row>
    <row r="43" spans="1:264">
      <c r="A43" s="1">
        <v>43</v>
      </c>
      <c r="B43" s="2"/>
      <c r="D43" s="1">
        <v>43</v>
      </c>
      <c r="E43" s="1119">
        <v>0</v>
      </c>
      <c r="F43" s="1119">
        <v>0</v>
      </c>
      <c r="G43" s="1119">
        <v>0</v>
      </c>
      <c r="H43" s="1119">
        <v>0</v>
      </c>
      <c r="I43" s="1119">
        <v>0</v>
      </c>
      <c r="J43" s="1119">
        <v>0</v>
      </c>
      <c r="K43" s="1119">
        <v>0</v>
      </c>
      <c r="L43" s="1119">
        <v>0</v>
      </c>
      <c r="M43" s="1119">
        <v>0</v>
      </c>
      <c r="N43" s="1119">
        <v>0</v>
      </c>
      <c r="O43" s="1119">
        <v>0</v>
      </c>
      <c r="Q43" s="1">
        <v>43</v>
      </c>
      <c r="R43" s="2">
        <f t="shared" si="98"/>
        <v>0</v>
      </c>
      <c r="S43" s="2">
        <f t="shared" si="99"/>
        <v>0</v>
      </c>
      <c r="T43" s="2">
        <f t="shared" si="100"/>
        <v>0</v>
      </c>
      <c r="U43" s="2">
        <f t="shared" si="101"/>
        <v>0</v>
      </c>
      <c r="V43" s="2">
        <f t="shared" si="102"/>
        <v>0</v>
      </c>
      <c r="W43" s="2">
        <f t="shared" si="103"/>
        <v>0</v>
      </c>
      <c r="X43" s="2">
        <f t="shared" si="104"/>
        <v>0</v>
      </c>
      <c r="Y43" s="2">
        <f t="shared" si="105"/>
        <v>0</v>
      </c>
      <c r="Z43" s="2">
        <f t="shared" si="106"/>
        <v>0</v>
      </c>
      <c r="AA43" s="2">
        <f t="shared" si="107"/>
        <v>0</v>
      </c>
      <c r="AB43" s="2">
        <f t="shared" si="108"/>
        <v>0</v>
      </c>
      <c r="AL43" s="2">
        <v>125685.45421963192</v>
      </c>
      <c r="AN43" s="1">
        <v>43</v>
      </c>
      <c r="AX43" s="1">
        <v>50</v>
      </c>
      <c r="AY43" s="1">
        <v>16.66</v>
      </c>
      <c r="AZ43" s="1">
        <v>16.670000000000002</v>
      </c>
      <c r="BA43" s="1">
        <v>16.670000000000002</v>
      </c>
      <c r="BG43" s="1">
        <v>43</v>
      </c>
      <c r="BH43" s="2">
        <f t="shared" si="81"/>
        <v>0</v>
      </c>
      <c r="BI43" s="2">
        <f t="shared" si="82"/>
        <v>0</v>
      </c>
      <c r="BJ43" s="2">
        <f t="shared" si="83"/>
        <v>0</v>
      </c>
      <c r="BK43" s="2">
        <f t="shared" si="84"/>
        <v>0</v>
      </c>
      <c r="BL43" s="2">
        <f t="shared" si="85"/>
        <v>0</v>
      </c>
      <c r="BM43" s="2">
        <f t="shared" si="86"/>
        <v>0</v>
      </c>
      <c r="BN43" s="2">
        <f t="shared" si="87"/>
        <v>0</v>
      </c>
      <c r="BO43" s="2">
        <f t="shared" si="88"/>
        <v>0</v>
      </c>
      <c r="BP43" s="2">
        <f t="shared" si="89"/>
        <v>62842.727109815962</v>
      </c>
      <c r="BQ43" s="2">
        <f t="shared" si="90"/>
        <v>20939.196672990678</v>
      </c>
      <c r="BR43" s="2">
        <f t="shared" si="91"/>
        <v>20951.765218412642</v>
      </c>
      <c r="BS43" s="2">
        <f t="shared" si="92"/>
        <v>20951.765218412642</v>
      </c>
      <c r="BT43" s="2">
        <f t="shared" si="93"/>
        <v>0</v>
      </c>
      <c r="BU43" s="2">
        <f t="shared" si="94"/>
        <v>0</v>
      </c>
      <c r="BV43" s="2">
        <f t="shared" si="95"/>
        <v>0</v>
      </c>
      <c r="CI43" s="1">
        <v>18458.319657674539</v>
      </c>
      <c r="CJ43" s="1">
        <v>49</v>
      </c>
      <c r="CW43" s="2">
        <v>100</v>
      </c>
      <c r="CX43" s="2">
        <v>0</v>
      </c>
      <c r="CZ43" s="1">
        <v>100</v>
      </c>
      <c r="DC43" s="1">
        <v>49</v>
      </c>
      <c r="DD43" s="2">
        <f t="shared" si="2"/>
        <v>0</v>
      </c>
      <c r="DE43" s="2">
        <f t="shared" si="3"/>
        <v>0</v>
      </c>
      <c r="DF43" s="2">
        <f t="shared" si="4"/>
        <v>0</v>
      </c>
      <c r="DG43" s="2">
        <f t="shared" si="5"/>
        <v>0</v>
      </c>
      <c r="DH43" s="2">
        <f t="shared" si="6"/>
        <v>0</v>
      </c>
      <c r="DI43" s="2">
        <f t="shared" si="7"/>
        <v>0</v>
      </c>
      <c r="DJ43" s="2">
        <f t="shared" si="8"/>
        <v>0</v>
      </c>
      <c r="DK43" s="2">
        <f t="shared" si="9"/>
        <v>0</v>
      </c>
      <c r="DL43" s="2">
        <f t="shared" si="10"/>
        <v>0</v>
      </c>
      <c r="DM43" s="2">
        <f t="shared" si="11"/>
        <v>0</v>
      </c>
      <c r="DN43" s="2">
        <f t="shared" si="12"/>
        <v>0</v>
      </c>
      <c r="DO43" s="2">
        <f t="shared" si="13"/>
        <v>0</v>
      </c>
      <c r="DP43" s="2">
        <f t="shared" si="14"/>
        <v>18458.319657674539</v>
      </c>
      <c r="DQ43" s="2">
        <f t="shared" si="15"/>
        <v>0</v>
      </c>
      <c r="DR43" s="2">
        <f t="shared" si="16"/>
        <v>0</v>
      </c>
      <c r="DT43" s="1">
        <v>47</v>
      </c>
      <c r="DU43" s="1">
        <v>2727.8666971453172</v>
      </c>
      <c r="DV43" s="1261"/>
      <c r="DW43" s="1261"/>
      <c r="DX43" s="1261"/>
      <c r="DY43" s="1261"/>
      <c r="DZ43" s="1261"/>
      <c r="EA43" s="1261"/>
      <c r="EB43" s="1261"/>
      <c r="EC43" s="1261"/>
      <c r="ED43" s="1261"/>
      <c r="EE43" s="1261"/>
      <c r="EF43" s="1261"/>
      <c r="EG43" s="1261">
        <v>50</v>
      </c>
      <c r="EH43" s="1261"/>
      <c r="EI43" s="1134">
        <v>50</v>
      </c>
      <c r="EJ43" s="1134"/>
      <c r="EM43" s="1">
        <v>47</v>
      </c>
      <c r="EN43" s="2">
        <f t="shared" si="17"/>
        <v>0</v>
      </c>
      <c r="EO43" s="2">
        <f t="shared" si="18"/>
        <v>0</v>
      </c>
      <c r="EP43" s="2">
        <f t="shared" si="19"/>
        <v>0</v>
      </c>
      <c r="EQ43" s="2">
        <f t="shared" si="20"/>
        <v>0</v>
      </c>
      <c r="ER43" s="2">
        <f t="shared" si="21"/>
        <v>0</v>
      </c>
      <c r="ES43" s="2">
        <f t="shared" si="22"/>
        <v>0</v>
      </c>
      <c r="ET43" s="2">
        <f t="shared" si="23"/>
        <v>0</v>
      </c>
      <c r="EU43" s="2">
        <f t="shared" si="24"/>
        <v>0</v>
      </c>
      <c r="EV43" s="2">
        <f t="shared" si="25"/>
        <v>0</v>
      </c>
      <c r="EW43" s="2">
        <f t="shared" si="26"/>
        <v>0</v>
      </c>
      <c r="EX43" s="2">
        <f t="shared" si="27"/>
        <v>0</v>
      </c>
      <c r="EY43" s="2">
        <f t="shared" si="28"/>
        <v>1363.9333485726588</v>
      </c>
      <c r="EZ43" s="2">
        <f t="shared" si="29"/>
        <v>0</v>
      </c>
      <c r="FA43" s="2">
        <f t="shared" si="30"/>
        <v>1363.9333485726588</v>
      </c>
      <c r="FB43" s="2">
        <f t="shared" si="31"/>
        <v>0</v>
      </c>
      <c r="FE43" s="1256">
        <v>46</v>
      </c>
      <c r="FF43" s="1261"/>
      <c r="FG43" s="1261"/>
      <c r="FH43" s="1261"/>
      <c r="FI43" s="1261"/>
      <c r="FJ43" s="1261"/>
      <c r="FK43" s="1261"/>
      <c r="FL43" s="1261"/>
      <c r="FM43" s="1252"/>
      <c r="FN43" s="1252"/>
      <c r="FO43" s="1252"/>
      <c r="FP43" s="1252">
        <v>100</v>
      </c>
      <c r="FQ43" s="1252"/>
      <c r="FR43" s="1252"/>
      <c r="FS43" s="1252"/>
      <c r="FT43" s="1261"/>
      <c r="FU43" s="1258">
        <v>100</v>
      </c>
      <c r="FV43" s="1452"/>
      <c r="FX43" s="2">
        <v>20086.450927741662</v>
      </c>
      <c r="FY43" s="1256">
        <v>46</v>
      </c>
      <c r="FZ43" s="2">
        <f t="shared" si="36"/>
        <v>0</v>
      </c>
      <c r="GA43" s="2">
        <f t="shared" si="37"/>
        <v>0</v>
      </c>
      <c r="GB43" s="2">
        <f t="shared" si="38"/>
        <v>0</v>
      </c>
      <c r="GC43" s="2">
        <f t="shared" si="39"/>
        <v>0</v>
      </c>
      <c r="GD43" s="2">
        <f t="shared" si="40"/>
        <v>0</v>
      </c>
      <c r="GE43" s="2">
        <f t="shared" si="41"/>
        <v>0</v>
      </c>
      <c r="GF43" s="2">
        <f t="shared" si="42"/>
        <v>0</v>
      </c>
      <c r="GG43" s="2">
        <f t="shared" si="43"/>
        <v>0</v>
      </c>
      <c r="GH43" s="2">
        <f t="shared" si="44"/>
        <v>0</v>
      </c>
      <c r="GI43" s="2">
        <f t="shared" si="45"/>
        <v>0</v>
      </c>
      <c r="GJ43" s="2">
        <f t="shared" si="46"/>
        <v>20086.450927741662</v>
      </c>
      <c r="GK43" s="2">
        <f t="shared" si="47"/>
        <v>0</v>
      </c>
      <c r="GL43" s="2">
        <f t="shared" si="48"/>
        <v>0</v>
      </c>
      <c r="GM43" s="2">
        <f t="shared" si="49"/>
        <v>0</v>
      </c>
      <c r="GN43" s="2">
        <f t="shared" si="50"/>
        <v>0</v>
      </c>
      <c r="GQ43" s="1256">
        <v>48</v>
      </c>
      <c r="GR43" s="1456"/>
      <c r="GS43" s="1456"/>
      <c r="GT43" s="1456"/>
      <c r="GU43" s="1456"/>
      <c r="GV43" s="1456"/>
      <c r="GW43" s="1456"/>
      <c r="GX43" s="1456"/>
      <c r="GY43" s="1456"/>
      <c r="GZ43" s="1456"/>
      <c r="HA43" s="1456"/>
      <c r="HB43" s="1456"/>
      <c r="HC43" s="1456"/>
      <c r="HD43" s="1456">
        <v>50</v>
      </c>
      <c r="HE43" s="1456">
        <v>50</v>
      </c>
      <c r="HF43" s="1261"/>
      <c r="HG43" s="1266">
        <f t="shared" si="79"/>
        <v>100</v>
      </c>
      <c r="HJ43" s="1823">
        <v>46</v>
      </c>
    </row>
    <row r="44" spans="1:264" ht="13.8">
      <c r="A44" s="1">
        <v>44</v>
      </c>
      <c r="B44" s="2"/>
      <c r="D44" s="1">
        <v>44</v>
      </c>
      <c r="E44" s="1119">
        <v>0</v>
      </c>
      <c r="F44" s="1119">
        <v>0</v>
      </c>
      <c r="G44" s="1119">
        <v>0</v>
      </c>
      <c r="H44" s="1119">
        <v>0</v>
      </c>
      <c r="I44" s="1119">
        <v>0</v>
      </c>
      <c r="J44" s="1119">
        <v>0</v>
      </c>
      <c r="K44" s="1119">
        <v>0</v>
      </c>
      <c r="L44" s="1119">
        <v>0</v>
      </c>
      <c r="M44" s="1119">
        <v>0</v>
      </c>
      <c r="N44" s="1119">
        <v>0</v>
      </c>
      <c r="O44" s="1119">
        <v>0</v>
      </c>
      <c r="Q44" s="1">
        <v>44</v>
      </c>
      <c r="R44" s="2">
        <f t="shared" si="98"/>
        <v>0</v>
      </c>
      <c r="S44" s="2">
        <f t="shared" si="99"/>
        <v>0</v>
      </c>
      <c r="T44" s="2">
        <f t="shared" si="100"/>
        <v>0</v>
      </c>
      <c r="U44" s="2">
        <f t="shared" si="101"/>
        <v>0</v>
      </c>
      <c r="V44" s="2">
        <f t="shared" si="102"/>
        <v>0</v>
      </c>
      <c r="W44" s="2">
        <f t="shared" si="103"/>
        <v>0</v>
      </c>
      <c r="X44" s="2">
        <f t="shared" si="104"/>
        <v>0</v>
      </c>
      <c r="Y44" s="2">
        <f t="shared" si="105"/>
        <v>0</v>
      </c>
      <c r="Z44" s="2">
        <f t="shared" si="106"/>
        <v>0</v>
      </c>
      <c r="AA44" s="2">
        <f t="shared" si="107"/>
        <v>0</v>
      </c>
      <c r="AB44" s="2">
        <f t="shared" si="108"/>
        <v>0</v>
      </c>
      <c r="AL44" s="2">
        <v>97286.654080835739</v>
      </c>
      <c r="AN44" s="1">
        <v>44</v>
      </c>
      <c r="AX44" s="1">
        <v>25</v>
      </c>
      <c r="AY44" s="1">
        <v>25</v>
      </c>
      <c r="AZ44" s="1">
        <v>25</v>
      </c>
      <c r="BA44" s="1">
        <v>25</v>
      </c>
      <c r="BG44" s="1">
        <v>44</v>
      </c>
      <c r="BH44" s="2">
        <f t="shared" si="81"/>
        <v>0</v>
      </c>
      <c r="BI44" s="2">
        <f t="shared" si="82"/>
        <v>0</v>
      </c>
      <c r="BJ44" s="2">
        <f t="shared" si="83"/>
        <v>0</v>
      </c>
      <c r="BK44" s="2">
        <f t="shared" si="84"/>
        <v>0</v>
      </c>
      <c r="BL44" s="2">
        <f t="shared" si="85"/>
        <v>0</v>
      </c>
      <c r="BM44" s="2">
        <f t="shared" si="86"/>
        <v>0</v>
      </c>
      <c r="BN44" s="2">
        <f t="shared" si="87"/>
        <v>0</v>
      </c>
      <c r="BO44" s="2">
        <f t="shared" si="88"/>
        <v>0</v>
      </c>
      <c r="BP44" s="2">
        <f t="shared" si="89"/>
        <v>24321.663520208931</v>
      </c>
      <c r="BQ44" s="2">
        <f t="shared" si="90"/>
        <v>24321.663520208931</v>
      </c>
      <c r="BR44" s="2">
        <f t="shared" si="91"/>
        <v>24321.663520208931</v>
      </c>
      <c r="BS44" s="2">
        <f t="shared" si="92"/>
        <v>24321.663520208931</v>
      </c>
      <c r="BT44" s="2">
        <f t="shared" si="93"/>
        <v>0</v>
      </c>
      <c r="BU44" s="2">
        <f t="shared" si="94"/>
        <v>0</v>
      </c>
      <c r="BV44" s="2">
        <f t="shared" si="95"/>
        <v>0</v>
      </c>
      <c r="CI44" s="1">
        <v>14466.716851182131</v>
      </c>
      <c r="CJ44" s="1">
        <v>50</v>
      </c>
      <c r="CX44" s="2">
        <v>100</v>
      </c>
      <c r="CZ44" s="1">
        <v>100</v>
      </c>
      <c r="DC44" s="1">
        <v>50</v>
      </c>
      <c r="DD44" s="2">
        <f t="shared" si="2"/>
        <v>0</v>
      </c>
      <c r="DE44" s="2">
        <f t="shared" si="3"/>
        <v>0</v>
      </c>
      <c r="DF44" s="2">
        <f t="shared" si="4"/>
        <v>0</v>
      </c>
      <c r="DG44" s="2">
        <f t="shared" si="5"/>
        <v>0</v>
      </c>
      <c r="DH44" s="2">
        <f t="shared" si="6"/>
        <v>0</v>
      </c>
      <c r="DI44" s="2">
        <f t="shared" si="7"/>
        <v>0</v>
      </c>
      <c r="DJ44" s="2">
        <f t="shared" si="8"/>
        <v>0</v>
      </c>
      <c r="DK44" s="2">
        <f t="shared" si="9"/>
        <v>0</v>
      </c>
      <c r="DL44" s="2">
        <f t="shared" si="10"/>
        <v>0</v>
      </c>
      <c r="DM44" s="2">
        <f t="shared" si="11"/>
        <v>0</v>
      </c>
      <c r="DN44" s="2">
        <f t="shared" si="12"/>
        <v>0</v>
      </c>
      <c r="DO44" s="2">
        <f t="shared" si="13"/>
        <v>0</v>
      </c>
      <c r="DP44" s="2">
        <f t="shared" si="14"/>
        <v>0</v>
      </c>
      <c r="DQ44" s="2">
        <f t="shared" si="15"/>
        <v>14466.716851182131</v>
      </c>
      <c r="DR44" s="2">
        <f t="shared" si="16"/>
        <v>0</v>
      </c>
      <c r="DT44" s="1">
        <v>48</v>
      </c>
      <c r="DU44" s="1">
        <v>13242.553738746148</v>
      </c>
      <c r="DV44" s="1261"/>
      <c r="DW44" s="1261"/>
      <c r="DX44" s="1261"/>
      <c r="DY44" s="1261"/>
      <c r="DZ44" s="1261"/>
      <c r="EA44" s="1261"/>
      <c r="EB44" s="1261"/>
      <c r="EC44" s="1261"/>
      <c r="ED44" s="1261"/>
      <c r="EE44" s="1261"/>
      <c r="EF44" s="1261"/>
      <c r="EG44" s="1261">
        <v>0</v>
      </c>
      <c r="EH44" s="1261">
        <v>100</v>
      </c>
      <c r="EI44" s="1134"/>
      <c r="EJ44" s="1134"/>
      <c r="EM44" s="1">
        <v>48</v>
      </c>
      <c r="EN44" s="2">
        <f t="shared" si="17"/>
        <v>0</v>
      </c>
      <c r="EO44" s="2">
        <f t="shared" si="18"/>
        <v>0</v>
      </c>
      <c r="EP44" s="2">
        <f t="shared" si="19"/>
        <v>0</v>
      </c>
      <c r="EQ44" s="2">
        <f t="shared" si="20"/>
        <v>0</v>
      </c>
      <c r="ER44" s="2">
        <f t="shared" si="21"/>
        <v>0</v>
      </c>
      <c r="ES44" s="2">
        <f t="shared" si="22"/>
        <v>0</v>
      </c>
      <c r="ET44" s="2">
        <f t="shared" si="23"/>
        <v>0</v>
      </c>
      <c r="EU44" s="2">
        <f t="shared" si="24"/>
        <v>0</v>
      </c>
      <c r="EV44" s="2">
        <f t="shared" si="25"/>
        <v>0</v>
      </c>
      <c r="EW44" s="2">
        <f t="shared" si="26"/>
        <v>0</v>
      </c>
      <c r="EX44" s="2">
        <f t="shared" si="27"/>
        <v>0</v>
      </c>
      <c r="EY44" s="2">
        <f t="shared" si="28"/>
        <v>0</v>
      </c>
      <c r="EZ44" s="2">
        <f t="shared" si="29"/>
        <v>13242.553738746146</v>
      </c>
      <c r="FA44" s="2">
        <f t="shared" si="30"/>
        <v>0</v>
      </c>
      <c r="FB44" s="2">
        <f t="shared" si="31"/>
        <v>0</v>
      </c>
      <c r="FE44" s="1256">
        <v>47</v>
      </c>
      <c r="FF44" s="1261"/>
      <c r="FG44" s="1261"/>
      <c r="FH44" s="1261"/>
      <c r="FI44" s="1261"/>
      <c r="FJ44" s="1261"/>
      <c r="FK44" s="1261"/>
      <c r="FL44" s="1261"/>
      <c r="FM44" s="1252"/>
      <c r="FN44" s="1252"/>
      <c r="FO44" s="1252"/>
      <c r="FP44" s="1252"/>
      <c r="FQ44" s="1252"/>
      <c r="FR44" s="1252"/>
      <c r="FS44" s="1252"/>
      <c r="FT44" s="1261"/>
      <c r="FU44" s="1265"/>
      <c r="FV44" s="1452"/>
      <c r="FX44" s="2">
        <v>501.26543009841328</v>
      </c>
      <c r="FY44" s="1256">
        <v>47</v>
      </c>
      <c r="FZ44" s="2">
        <f>FF44*$FX44/100</f>
        <v>0</v>
      </c>
      <c r="GA44" s="2">
        <f t="shared" si="37"/>
        <v>0</v>
      </c>
      <c r="GB44" s="2">
        <f t="shared" si="38"/>
        <v>0</v>
      </c>
      <c r="GC44" s="2">
        <f t="shared" si="39"/>
        <v>0</v>
      </c>
      <c r="GD44" s="2">
        <f t="shared" si="40"/>
        <v>0</v>
      </c>
      <c r="GE44" s="2">
        <f t="shared" si="41"/>
        <v>0</v>
      </c>
      <c r="GF44" s="2">
        <f t="shared" si="42"/>
        <v>0</v>
      </c>
      <c r="GG44" s="2">
        <f t="shared" si="43"/>
        <v>0</v>
      </c>
      <c r="GH44" s="2">
        <f t="shared" si="44"/>
        <v>0</v>
      </c>
      <c r="GI44" s="2">
        <f t="shared" si="45"/>
        <v>0</v>
      </c>
      <c r="GJ44" s="2">
        <f t="shared" si="46"/>
        <v>0</v>
      </c>
      <c r="GK44" s="2">
        <f t="shared" si="47"/>
        <v>0</v>
      </c>
      <c r="GL44" s="2">
        <f t="shared" si="48"/>
        <v>0</v>
      </c>
      <c r="GM44" s="2">
        <f t="shared" si="49"/>
        <v>0</v>
      </c>
      <c r="GN44" s="2">
        <f t="shared" si="50"/>
        <v>0</v>
      </c>
      <c r="GQ44" s="359" t="s">
        <v>680</v>
      </c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J44" s="1823">
        <v>47</v>
      </c>
    </row>
    <row r="45" spans="1:264">
      <c r="A45" s="1">
        <v>45</v>
      </c>
      <c r="B45" s="2"/>
      <c r="D45" s="1">
        <v>45</v>
      </c>
      <c r="E45" s="1119">
        <v>0</v>
      </c>
      <c r="F45" s="1119">
        <v>0</v>
      </c>
      <c r="G45" s="1119">
        <v>0</v>
      </c>
      <c r="H45" s="1119">
        <v>0</v>
      </c>
      <c r="I45" s="1119">
        <v>0</v>
      </c>
      <c r="J45" s="1119">
        <v>0</v>
      </c>
      <c r="K45" s="1119">
        <v>0</v>
      </c>
      <c r="L45" s="1119">
        <v>0</v>
      </c>
      <c r="M45" s="1119">
        <v>0</v>
      </c>
      <c r="N45" s="1119">
        <v>0</v>
      </c>
      <c r="O45" s="1119">
        <v>0</v>
      </c>
      <c r="Q45" s="1">
        <v>45</v>
      </c>
      <c r="R45" s="2">
        <f t="shared" si="98"/>
        <v>0</v>
      </c>
      <c r="S45" s="2">
        <f t="shared" si="99"/>
        <v>0</v>
      </c>
      <c r="T45" s="2">
        <f t="shared" si="100"/>
        <v>0</v>
      </c>
      <c r="U45" s="2">
        <f t="shared" si="101"/>
        <v>0</v>
      </c>
      <c r="V45" s="2">
        <f t="shared" si="102"/>
        <v>0</v>
      </c>
      <c r="W45" s="2">
        <f t="shared" si="103"/>
        <v>0</v>
      </c>
      <c r="X45" s="2">
        <f t="shared" si="104"/>
        <v>0</v>
      </c>
      <c r="Y45" s="2">
        <f t="shared" si="105"/>
        <v>0</v>
      </c>
      <c r="Z45" s="2">
        <f t="shared" si="106"/>
        <v>0</v>
      </c>
      <c r="AA45" s="2">
        <f t="shared" si="107"/>
        <v>0</v>
      </c>
      <c r="AB45" s="2">
        <f t="shared" si="108"/>
        <v>0</v>
      </c>
      <c r="AL45" s="2">
        <v>162155.65500614233</v>
      </c>
      <c r="AN45" s="1">
        <v>45</v>
      </c>
      <c r="AY45" s="1">
        <v>25</v>
      </c>
      <c r="AZ45" s="1">
        <v>25</v>
      </c>
      <c r="BA45" s="1">
        <v>25</v>
      </c>
      <c r="BB45" s="1">
        <v>25</v>
      </c>
      <c r="BG45" s="1">
        <v>45</v>
      </c>
      <c r="BH45" s="2">
        <f t="shared" si="81"/>
        <v>0</v>
      </c>
      <c r="BI45" s="2">
        <f t="shared" si="82"/>
        <v>0</v>
      </c>
      <c r="BJ45" s="2">
        <f t="shared" si="83"/>
        <v>0</v>
      </c>
      <c r="BK45" s="2">
        <f t="shared" si="84"/>
        <v>0</v>
      </c>
      <c r="BL45" s="2">
        <f t="shared" si="85"/>
        <v>0</v>
      </c>
      <c r="BM45" s="2">
        <f t="shared" si="86"/>
        <v>0</v>
      </c>
      <c r="BN45" s="2">
        <f t="shared" si="87"/>
        <v>0</v>
      </c>
      <c r="BO45" s="2">
        <f t="shared" si="88"/>
        <v>0</v>
      </c>
      <c r="BP45" s="2">
        <f t="shared" si="89"/>
        <v>0</v>
      </c>
      <c r="BQ45" s="2">
        <f t="shared" si="90"/>
        <v>40538.913751535583</v>
      </c>
      <c r="BR45" s="2">
        <f t="shared" si="91"/>
        <v>40538.913751535583</v>
      </c>
      <c r="BS45" s="2">
        <f t="shared" si="92"/>
        <v>40538.913751535583</v>
      </c>
      <c r="BT45" s="2">
        <f t="shared" si="93"/>
        <v>40538.913751535583</v>
      </c>
      <c r="BU45" s="2">
        <f t="shared" si="94"/>
        <v>0</v>
      </c>
      <c r="BV45" s="2">
        <f t="shared" si="95"/>
        <v>0</v>
      </c>
      <c r="CI45" s="1">
        <v>1307.7833283340126</v>
      </c>
      <c r="CJ45" s="1">
        <v>51</v>
      </c>
      <c r="CX45" s="2">
        <v>100</v>
      </c>
      <c r="CZ45" s="1">
        <v>100</v>
      </c>
      <c r="DC45" s="1">
        <v>51</v>
      </c>
      <c r="DD45" s="2">
        <f t="shared" si="2"/>
        <v>0</v>
      </c>
      <c r="DE45" s="2">
        <f t="shared" si="3"/>
        <v>0</v>
      </c>
      <c r="DF45" s="2">
        <f t="shared" si="4"/>
        <v>0</v>
      </c>
      <c r="DG45" s="2">
        <f t="shared" si="5"/>
        <v>0</v>
      </c>
      <c r="DH45" s="2">
        <f t="shared" si="6"/>
        <v>0</v>
      </c>
      <c r="DI45" s="2">
        <f t="shared" si="7"/>
        <v>0</v>
      </c>
      <c r="DJ45" s="2">
        <f t="shared" si="8"/>
        <v>0</v>
      </c>
      <c r="DK45" s="2">
        <f t="shared" si="9"/>
        <v>0</v>
      </c>
      <c r="DL45" s="2">
        <f t="shared" si="10"/>
        <v>0</v>
      </c>
      <c r="DM45" s="2">
        <f t="shared" si="11"/>
        <v>0</v>
      </c>
      <c r="DN45" s="2">
        <f t="shared" si="12"/>
        <v>0</v>
      </c>
      <c r="DO45" s="2">
        <f t="shared" si="13"/>
        <v>0</v>
      </c>
      <c r="DP45" s="2">
        <f t="shared" si="14"/>
        <v>0</v>
      </c>
      <c r="DQ45" s="2">
        <f t="shared" si="15"/>
        <v>1307.7833283340126</v>
      </c>
      <c r="DR45" s="2">
        <f t="shared" si="16"/>
        <v>0</v>
      </c>
      <c r="DT45" s="1">
        <v>49</v>
      </c>
      <c r="DU45" s="1">
        <v>32883.84568303702</v>
      </c>
      <c r="DV45" s="1261"/>
      <c r="DW45" s="1261"/>
      <c r="DX45" s="1261"/>
      <c r="DY45" s="1261"/>
      <c r="DZ45" s="1261"/>
      <c r="EA45" s="1261"/>
      <c r="EB45" s="1261"/>
      <c r="EC45" s="1261"/>
      <c r="ED45" s="1261"/>
      <c r="EE45" s="1261"/>
      <c r="EF45" s="1261"/>
      <c r="EG45" s="1261">
        <v>100</v>
      </c>
      <c r="EH45" s="1261"/>
      <c r="EI45" s="1134"/>
      <c r="EJ45" s="1134"/>
      <c r="EM45" s="1">
        <v>49</v>
      </c>
      <c r="EN45" s="2">
        <f t="shared" si="17"/>
        <v>0</v>
      </c>
      <c r="EO45" s="2">
        <f t="shared" si="18"/>
        <v>0</v>
      </c>
      <c r="EP45" s="2">
        <f t="shared" si="19"/>
        <v>0</v>
      </c>
      <c r="EQ45" s="2">
        <f t="shared" si="20"/>
        <v>0</v>
      </c>
      <c r="ER45" s="2">
        <f t="shared" si="21"/>
        <v>0</v>
      </c>
      <c r="ES45" s="2">
        <f t="shared" si="22"/>
        <v>0</v>
      </c>
      <c r="ET45" s="2">
        <f t="shared" si="23"/>
        <v>0</v>
      </c>
      <c r="EU45" s="2">
        <f t="shared" si="24"/>
        <v>0</v>
      </c>
      <c r="EV45" s="2">
        <f t="shared" si="25"/>
        <v>0</v>
      </c>
      <c r="EW45" s="2">
        <f t="shared" si="26"/>
        <v>0</v>
      </c>
      <c r="EX45" s="2">
        <f t="shared" si="27"/>
        <v>0</v>
      </c>
      <c r="EY45" s="2">
        <f t="shared" si="28"/>
        <v>32883.84568303702</v>
      </c>
      <c r="EZ45" s="2">
        <f t="shared" si="29"/>
        <v>0</v>
      </c>
      <c r="FA45" s="2">
        <f t="shared" si="30"/>
        <v>0</v>
      </c>
      <c r="FB45" s="2">
        <f t="shared" si="31"/>
        <v>0</v>
      </c>
      <c r="FE45" s="1256">
        <v>48</v>
      </c>
      <c r="FF45" s="1261"/>
      <c r="FG45" s="1261"/>
      <c r="FH45" s="1261"/>
      <c r="FI45" s="1261"/>
      <c r="FJ45" s="1261"/>
      <c r="FK45" s="1261"/>
      <c r="FL45" s="1261"/>
      <c r="FM45" s="1261"/>
      <c r="FN45" s="1261"/>
      <c r="FO45" s="1261"/>
      <c r="FP45" s="1261"/>
      <c r="FQ45" s="1261"/>
      <c r="FR45" s="1261"/>
      <c r="FS45" s="1261"/>
      <c r="FT45" s="1261"/>
      <c r="FU45" s="1266"/>
      <c r="FV45" s="1452"/>
      <c r="FX45" s="2">
        <v>0</v>
      </c>
      <c r="FY45" s="1256">
        <v>48</v>
      </c>
      <c r="FZ45" s="2">
        <f>FF45*$FX45/100</f>
        <v>0</v>
      </c>
      <c r="GA45" s="2">
        <f t="shared" ref="GA45:GN45" si="110">FG45*$FX45/100</f>
        <v>0</v>
      </c>
      <c r="GB45" s="2">
        <f t="shared" si="110"/>
        <v>0</v>
      </c>
      <c r="GC45" s="2">
        <f t="shared" si="110"/>
        <v>0</v>
      </c>
      <c r="GD45" s="2">
        <f t="shared" si="110"/>
        <v>0</v>
      </c>
      <c r="GE45" s="2">
        <f t="shared" si="110"/>
        <v>0</v>
      </c>
      <c r="GF45" s="2">
        <f t="shared" si="110"/>
        <v>0</v>
      </c>
      <c r="GG45" s="2">
        <f t="shared" si="110"/>
        <v>0</v>
      </c>
      <c r="GH45" s="2">
        <f t="shared" si="110"/>
        <v>0</v>
      </c>
      <c r="GI45" s="2">
        <f t="shared" si="110"/>
        <v>0</v>
      </c>
      <c r="GJ45" s="2">
        <f t="shared" si="110"/>
        <v>0</v>
      </c>
      <c r="GK45" s="2">
        <f t="shared" si="110"/>
        <v>0</v>
      </c>
      <c r="GL45" s="2">
        <f t="shared" si="110"/>
        <v>0</v>
      </c>
      <c r="GM45" s="2">
        <f t="shared" si="110"/>
        <v>0</v>
      </c>
      <c r="GN45" s="2">
        <f t="shared" si="110"/>
        <v>0</v>
      </c>
      <c r="HJ45" s="1823">
        <v>48</v>
      </c>
    </row>
    <row r="46" spans="1:264">
      <c r="A46" s="1">
        <v>46</v>
      </c>
      <c r="B46" s="2">
        <v>0</v>
      </c>
      <c r="D46" s="1">
        <v>46</v>
      </c>
      <c r="E46" s="1119">
        <v>0</v>
      </c>
      <c r="F46" s="1119">
        <v>0</v>
      </c>
      <c r="G46" s="1119">
        <v>0</v>
      </c>
      <c r="H46" s="1119">
        <v>0</v>
      </c>
      <c r="I46" s="1119">
        <v>0</v>
      </c>
      <c r="J46" s="1119">
        <v>0</v>
      </c>
      <c r="K46" s="1119">
        <v>0</v>
      </c>
      <c r="L46" s="1119">
        <v>0</v>
      </c>
      <c r="M46" s="1119">
        <v>0</v>
      </c>
      <c r="N46" s="1119">
        <v>0</v>
      </c>
      <c r="O46" s="1119">
        <v>0</v>
      </c>
      <c r="Q46" s="1">
        <v>46</v>
      </c>
      <c r="R46" s="2">
        <f t="shared" ref="R46:AB46" si="111">$B25121*E46</f>
        <v>0</v>
      </c>
      <c r="S46" s="2">
        <f t="shared" si="111"/>
        <v>0</v>
      </c>
      <c r="T46" s="2">
        <f t="shared" si="111"/>
        <v>0</v>
      </c>
      <c r="U46" s="2">
        <f t="shared" si="111"/>
        <v>0</v>
      </c>
      <c r="V46" s="2">
        <f t="shared" si="111"/>
        <v>0</v>
      </c>
      <c r="W46" s="2">
        <f t="shared" si="111"/>
        <v>0</v>
      </c>
      <c r="X46" s="2">
        <f t="shared" si="111"/>
        <v>0</v>
      </c>
      <c r="Y46" s="2">
        <f t="shared" si="111"/>
        <v>0</v>
      </c>
      <c r="Z46" s="2">
        <f t="shared" si="111"/>
        <v>0</v>
      </c>
      <c r="AA46" s="2">
        <f t="shared" si="111"/>
        <v>0</v>
      </c>
      <c r="AB46" s="2">
        <f t="shared" si="111"/>
        <v>0</v>
      </c>
      <c r="AL46" s="2">
        <v>0</v>
      </c>
      <c r="AN46" s="1">
        <v>46</v>
      </c>
      <c r="AY46" s="1">
        <v>20</v>
      </c>
      <c r="AZ46" s="1">
        <v>20</v>
      </c>
      <c r="BA46" s="1">
        <v>20</v>
      </c>
      <c r="BB46" s="1">
        <v>20</v>
      </c>
      <c r="BC46" s="1">
        <v>20</v>
      </c>
      <c r="BG46" s="1">
        <v>46</v>
      </c>
      <c r="BH46" s="2">
        <f t="shared" si="81"/>
        <v>0</v>
      </c>
      <c r="BI46" s="2">
        <f t="shared" si="82"/>
        <v>0</v>
      </c>
      <c r="BJ46" s="2">
        <f t="shared" si="83"/>
        <v>0</v>
      </c>
      <c r="BK46" s="2">
        <f t="shared" si="84"/>
        <v>0</v>
      </c>
      <c r="BL46" s="2">
        <f t="shared" si="85"/>
        <v>0</v>
      </c>
      <c r="BM46" s="2">
        <f t="shared" si="86"/>
        <v>0</v>
      </c>
      <c r="BN46" s="2">
        <f t="shared" si="87"/>
        <v>0</v>
      </c>
      <c r="BO46" s="2">
        <f t="shared" si="88"/>
        <v>0</v>
      </c>
      <c r="BP46" s="2">
        <f t="shared" si="89"/>
        <v>0</v>
      </c>
      <c r="BQ46" s="2">
        <f t="shared" si="90"/>
        <v>0</v>
      </c>
      <c r="BR46" s="2">
        <f t="shared" si="91"/>
        <v>0</v>
      </c>
      <c r="BS46" s="2">
        <f t="shared" si="92"/>
        <v>0</v>
      </c>
      <c r="BT46" s="2">
        <f t="shared" si="93"/>
        <v>0</v>
      </c>
      <c r="BU46" s="2">
        <f t="shared" si="94"/>
        <v>0</v>
      </c>
      <c r="BV46" s="2">
        <f t="shared" si="95"/>
        <v>0</v>
      </c>
      <c r="CI46" s="1">
        <v>665.2768438837652</v>
      </c>
      <c r="CJ46" s="1">
        <v>52</v>
      </c>
      <c r="CX46" s="2">
        <v>100</v>
      </c>
      <c r="CZ46" s="1">
        <v>100</v>
      </c>
      <c r="DC46" s="1">
        <v>52</v>
      </c>
      <c r="DD46" s="2">
        <f t="shared" si="2"/>
        <v>0</v>
      </c>
      <c r="DE46" s="2">
        <f t="shared" si="3"/>
        <v>0</v>
      </c>
      <c r="DF46" s="2">
        <f t="shared" si="4"/>
        <v>0</v>
      </c>
      <c r="DG46" s="2">
        <f t="shared" si="5"/>
        <v>0</v>
      </c>
      <c r="DH46" s="2">
        <f t="shared" si="6"/>
        <v>0</v>
      </c>
      <c r="DI46" s="2">
        <f t="shared" si="7"/>
        <v>0</v>
      </c>
      <c r="DJ46" s="2">
        <f t="shared" si="8"/>
        <v>0</v>
      </c>
      <c r="DK46" s="2">
        <f t="shared" si="9"/>
        <v>0</v>
      </c>
      <c r="DL46" s="2">
        <f t="shared" si="10"/>
        <v>0</v>
      </c>
      <c r="DM46" s="2">
        <f t="shared" si="11"/>
        <v>0</v>
      </c>
      <c r="DN46" s="2">
        <f t="shared" si="12"/>
        <v>0</v>
      </c>
      <c r="DO46" s="2">
        <f t="shared" si="13"/>
        <v>0</v>
      </c>
      <c r="DP46" s="2">
        <f t="shared" si="14"/>
        <v>0</v>
      </c>
      <c r="DQ46" s="2">
        <f t="shared" si="15"/>
        <v>665.2768438837652</v>
      </c>
      <c r="DR46" s="2">
        <f t="shared" si="16"/>
        <v>0</v>
      </c>
      <c r="DT46" s="1">
        <v>50</v>
      </c>
      <c r="DU46" s="1">
        <v>838.20000149874136</v>
      </c>
      <c r="DV46" s="1261"/>
      <c r="DW46" s="1261"/>
      <c r="DX46" s="1261"/>
      <c r="DY46" s="1261"/>
      <c r="DZ46" s="1261"/>
      <c r="EA46" s="1261"/>
      <c r="EB46" s="1261"/>
      <c r="EC46" s="1261"/>
      <c r="ED46" s="1261"/>
      <c r="EE46" s="1261"/>
      <c r="EF46" s="1261"/>
      <c r="EG46" s="1261"/>
      <c r="EH46" s="1261"/>
      <c r="EI46" s="1134">
        <v>100</v>
      </c>
      <c r="EJ46" s="1134"/>
      <c r="EM46" s="1">
        <v>50</v>
      </c>
      <c r="EN46" s="2">
        <f t="shared" si="17"/>
        <v>0</v>
      </c>
      <c r="EO46" s="2">
        <f t="shared" si="18"/>
        <v>0</v>
      </c>
      <c r="EP46" s="2">
        <f t="shared" si="19"/>
        <v>0</v>
      </c>
      <c r="EQ46" s="2">
        <f t="shared" si="20"/>
        <v>0</v>
      </c>
      <c r="ER46" s="2">
        <f t="shared" si="21"/>
        <v>0</v>
      </c>
      <c r="ES46" s="2">
        <f t="shared" si="22"/>
        <v>0</v>
      </c>
      <c r="ET46" s="2">
        <f t="shared" si="23"/>
        <v>0</v>
      </c>
      <c r="EU46" s="2">
        <f t="shared" si="24"/>
        <v>0</v>
      </c>
      <c r="EV46" s="2">
        <f t="shared" si="25"/>
        <v>0</v>
      </c>
      <c r="EW46" s="2">
        <f t="shared" si="26"/>
        <v>0</v>
      </c>
      <c r="EX46" s="2">
        <f t="shared" si="27"/>
        <v>0</v>
      </c>
      <c r="EY46" s="2">
        <f t="shared" si="28"/>
        <v>0</v>
      </c>
      <c r="EZ46" s="2">
        <f t="shared" si="29"/>
        <v>0</v>
      </c>
      <c r="FA46" s="2">
        <f t="shared" si="30"/>
        <v>838.20000149874136</v>
      </c>
      <c r="FB46" s="2">
        <f t="shared" si="31"/>
        <v>0</v>
      </c>
      <c r="FE46" s="1260">
        <v>49</v>
      </c>
      <c r="FF46" s="1261"/>
      <c r="FG46" s="1261"/>
      <c r="FH46" s="1261"/>
      <c r="FI46" s="1261"/>
      <c r="FJ46" s="1261"/>
      <c r="FK46" s="1261"/>
      <c r="FL46" s="1261"/>
      <c r="FM46" s="1261"/>
      <c r="FN46" s="1261"/>
      <c r="FO46" s="1261"/>
      <c r="FP46" s="1261"/>
      <c r="FQ46" s="1261"/>
      <c r="FR46" s="1261"/>
      <c r="FS46" s="1261"/>
      <c r="FT46" s="1261"/>
      <c r="FU46" s="1265"/>
      <c r="FV46" s="1452"/>
      <c r="FX46" s="2"/>
      <c r="FY46" s="1260">
        <v>49</v>
      </c>
      <c r="HJ46" s="1823">
        <v>49</v>
      </c>
    </row>
    <row r="47" spans="1:264">
      <c r="A47" s="1" t="s">
        <v>372</v>
      </c>
      <c r="B47" s="2">
        <f>SUM(B5:B46)</f>
        <v>1290180.3651614822</v>
      </c>
      <c r="G47" s="30"/>
      <c r="H47" s="30"/>
      <c r="I47" s="30"/>
      <c r="J47" s="30"/>
      <c r="K47" s="30"/>
      <c r="L47" s="30"/>
      <c r="M47" s="30"/>
      <c r="AL47" s="2">
        <v>49610.814869880698</v>
      </c>
      <c r="AN47" s="1">
        <v>47</v>
      </c>
      <c r="AZ47" s="1">
        <v>25</v>
      </c>
      <c r="BA47" s="1">
        <v>25</v>
      </c>
      <c r="BB47" s="1">
        <v>25</v>
      </c>
      <c r="BC47" s="1">
        <v>25</v>
      </c>
      <c r="BG47" s="1">
        <v>47</v>
      </c>
      <c r="BH47" s="2">
        <f t="shared" si="81"/>
        <v>0</v>
      </c>
      <c r="BI47" s="2">
        <f t="shared" si="82"/>
        <v>0</v>
      </c>
      <c r="BJ47" s="2">
        <f t="shared" si="83"/>
        <v>0</v>
      </c>
      <c r="BK47" s="2">
        <f t="shared" si="84"/>
        <v>0</v>
      </c>
      <c r="BL47" s="2">
        <f t="shared" si="85"/>
        <v>0</v>
      </c>
      <c r="BM47" s="2">
        <f t="shared" si="86"/>
        <v>0</v>
      </c>
      <c r="BN47" s="2">
        <f t="shared" si="87"/>
        <v>0</v>
      </c>
      <c r="BO47" s="2">
        <f t="shared" si="88"/>
        <v>0</v>
      </c>
      <c r="BP47" s="2">
        <f t="shared" si="89"/>
        <v>0</v>
      </c>
      <c r="BQ47" s="2">
        <f t="shared" si="90"/>
        <v>0</v>
      </c>
      <c r="BR47" s="2">
        <f t="shared" si="91"/>
        <v>12402.703717470175</v>
      </c>
      <c r="BS47" s="2">
        <f t="shared" si="92"/>
        <v>12402.703717470175</v>
      </c>
      <c r="BT47" s="2">
        <f t="shared" si="93"/>
        <v>12402.703717470175</v>
      </c>
      <c r="BU47" s="2">
        <f t="shared" si="94"/>
        <v>12402.703717470175</v>
      </c>
      <c r="BV47" s="2">
        <f t="shared" si="95"/>
        <v>0</v>
      </c>
      <c r="CI47" s="1">
        <v>2700.5806296198634</v>
      </c>
      <c r="CX47" s="2"/>
      <c r="DD47" s="2">
        <f>SUM(DD3:DD46)</f>
        <v>33038728.576426737</v>
      </c>
      <c r="DE47" s="2">
        <f t="shared" ref="DE47:DR47" si="112">SUM(DE3:DE46)</f>
        <v>167814434.35736299</v>
      </c>
      <c r="DF47" s="2">
        <f t="shared" si="112"/>
        <v>96759069.578740895</v>
      </c>
      <c r="DG47" s="2">
        <f t="shared" si="112"/>
        <v>216700624.39396742</v>
      </c>
      <c r="DH47" s="2">
        <f t="shared" si="112"/>
        <v>168262545.61905435</v>
      </c>
      <c r="DI47" s="2">
        <f t="shared" si="112"/>
        <v>98701138.300646052</v>
      </c>
      <c r="DJ47" s="2">
        <f t="shared" si="112"/>
        <v>27265181.628323827</v>
      </c>
      <c r="DK47" s="2">
        <f t="shared" si="112"/>
        <v>8467557.5291221775</v>
      </c>
      <c r="DL47" s="2">
        <f t="shared" si="112"/>
        <v>2100356.3497772338</v>
      </c>
      <c r="DM47" s="2">
        <f t="shared" si="112"/>
        <v>802271.53436476528</v>
      </c>
      <c r="DN47" s="2">
        <f t="shared" si="112"/>
        <v>329119.61321030365</v>
      </c>
      <c r="DO47" s="2">
        <f t="shared" si="112"/>
        <v>173208.174079933</v>
      </c>
      <c r="DP47" s="2">
        <f t="shared" si="112"/>
        <v>167597.42890197982</v>
      </c>
      <c r="DQ47" s="2">
        <f t="shared" si="112"/>
        <v>44468.629303659312</v>
      </c>
      <c r="DR47" s="2">
        <f t="shared" si="112"/>
        <v>0</v>
      </c>
      <c r="DT47" s="1">
        <v>51</v>
      </c>
      <c r="DV47" s="1261"/>
      <c r="DW47" s="1261"/>
      <c r="DX47" s="1261"/>
      <c r="DY47" s="1261"/>
      <c r="DZ47" s="1261"/>
      <c r="EA47" s="1261"/>
      <c r="EB47" s="1261"/>
      <c r="EC47" s="1261"/>
      <c r="ED47" s="1261"/>
      <c r="EE47" s="1261"/>
      <c r="EF47" s="1261"/>
      <c r="EG47" s="1261"/>
      <c r="EH47" s="1261"/>
      <c r="EI47" s="1134"/>
      <c r="EJ47" s="1134"/>
      <c r="EM47" s="1">
        <v>51</v>
      </c>
      <c r="EN47" s="2">
        <f t="shared" si="17"/>
        <v>0</v>
      </c>
      <c r="EO47" s="2">
        <f t="shared" si="18"/>
        <v>0</v>
      </c>
      <c r="EP47" s="2">
        <f t="shared" si="19"/>
        <v>0</v>
      </c>
      <c r="EQ47" s="2">
        <f t="shared" si="20"/>
        <v>0</v>
      </c>
      <c r="ER47" s="2">
        <f t="shared" si="21"/>
        <v>0</v>
      </c>
      <c r="ES47" s="2">
        <f t="shared" si="22"/>
        <v>0</v>
      </c>
      <c r="ET47" s="2">
        <f t="shared" si="23"/>
        <v>0</v>
      </c>
      <c r="EU47" s="2">
        <f t="shared" si="24"/>
        <v>0</v>
      </c>
      <c r="EV47" s="2">
        <f t="shared" si="25"/>
        <v>0</v>
      </c>
      <c r="EW47" s="2">
        <f t="shared" si="26"/>
        <v>0</v>
      </c>
      <c r="EX47" s="2">
        <f t="shared" si="27"/>
        <v>0</v>
      </c>
      <c r="EY47" s="2">
        <f t="shared" si="28"/>
        <v>0</v>
      </c>
      <c r="EZ47" s="2">
        <f t="shared" si="29"/>
        <v>0</v>
      </c>
      <c r="FA47" s="2">
        <f t="shared" si="30"/>
        <v>0</v>
      </c>
      <c r="FB47" s="2">
        <f t="shared" si="31"/>
        <v>0</v>
      </c>
      <c r="FE47" s="1256">
        <v>50</v>
      </c>
      <c r="FF47" s="1261"/>
      <c r="FG47" s="1261"/>
      <c r="FH47" s="1261"/>
      <c r="FI47" s="1261"/>
      <c r="FJ47" s="1261"/>
      <c r="FK47" s="1261"/>
      <c r="FL47" s="1261"/>
      <c r="FM47" s="1261"/>
      <c r="FN47" s="1261"/>
      <c r="FO47" s="1261"/>
      <c r="FP47" s="1261"/>
      <c r="FQ47" s="1261"/>
      <c r="FR47" s="1261"/>
      <c r="FS47" s="1261"/>
      <c r="FT47" s="1261"/>
      <c r="FU47" s="1266"/>
      <c r="FV47" s="1452"/>
      <c r="FX47" s="2"/>
      <c r="FY47" s="1256">
        <v>50</v>
      </c>
      <c r="HJ47" s="1823">
        <v>50</v>
      </c>
    </row>
    <row r="48" spans="1:264">
      <c r="A48" s="1" t="s">
        <v>375</v>
      </c>
      <c r="B48" s="1">
        <v>310</v>
      </c>
      <c r="R48" s="1">
        <f>SUM(R5:R47)</f>
        <v>0</v>
      </c>
      <c r="S48" s="1">
        <f t="shared" ref="S48:AB48" si="113">SUM(S5:S47)</f>
        <v>0</v>
      </c>
      <c r="T48" s="2">
        <f t="shared" si="113"/>
        <v>305283.24958997744</v>
      </c>
      <c r="U48" s="2">
        <f t="shared" si="113"/>
        <v>491991.11192844564</v>
      </c>
      <c r="V48" s="2">
        <f t="shared" si="113"/>
        <v>192556.19901639907</v>
      </c>
      <c r="W48" s="2">
        <f t="shared" si="113"/>
        <v>122177.35610758686</v>
      </c>
      <c r="X48" s="2">
        <f t="shared" si="113"/>
        <v>111860.66844514065</v>
      </c>
      <c r="Y48" s="2">
        <f t="shared" si="113"/>
        <v>60877.080088593175</v>
      </c>
      <c r="Z48" s="2">
        <f t="shared" si="113"/>
        <v>5434.6999853395773</v>
      </c>
      <c r="AA48" s="2">
        <f t="shared" si="113"/>
        <v>0</v>
      </c>
      <c r="AB48" s="1">
        <f t="shared" si="113"/>
        <v>0</v>
      </c>
      <c r="AL48" s="2">
        <v>54.492017416842813</v>
      </c>
      <c r="AN48" s="1">
        <v>48</v>
      </c>
      <c r="BA48" s="1">
        <v>33.340000000000003</v>
      </c>
      <c r="BB48" s="1">
        <v>33.33</v>
      </c>
      <c r="BC48" s="1">
        <v>33.33</v>
      </c>
      <c r="BG48" s="1">
        <v>48</v>
      </c>
      <c r="BH48" s="2">
        <f t="shared" si="81"/>
        <v>0</v>
      </c>
      <c r="BI48" s="2">
        <f t="shared" si="82"/>
        <v>0</v>
      </c>
      <c r="BJ48" s="2">
        <f t="shared" si="83"/>
        <v>0</v>
      </c>
      <c r="BK48" s="2">
        <f t="shared" si="84"/>
        <v>0</v>
      </c>
      <c r="BL48" s="2">
        <f t="shared" si="85"/>
        <v>0</v>
      </c>
      <c r="BM48" s="2">
        <f t="shared" si="86"/>
        <v>0</v>
      </c>
      <c r="BN48" s="2">
        <f t="shared" si="87"/>
        <v>0</v>
      </c>
      <c r="BO48" s="2">
        <f t="shared" si="88"/>
        <v>0</v>
      </c>
      <c r="BP48" s="2">
        <f t="shared" si="89"/>
        <v>0</v>
      </c>
      <c r="BQ48" s="2">
        <f t="shared" si="90"/>
        <v>0</v>
      </c>
      <c r="BR48" s="2">
        <f t="shared" si="91"/>
        <v>0</v>
      </c>
      <c r="BS48" s="2">
        <f t="shared" si="92"/>
        <v>18.167638606775395</v>
      </c>
      <c r="BT48" s="2">
        <f t="shared" si="93"/>
        <v>18.162189405033711</v>
      </c>
      <c r="BU48" s="2">
        <f t="shared" si="94"/>
        <v>18.162189405033711</v>
      </c>
      <c r="BV48" s="2">
        <f t="shared" si="95"/>
        <v>0</v>
      </c>
      <c r="CI48" s="1">
        <v>0</v>
      </c>
      <c r="CX48" s="2"/>
      <c r="DT48" s="1">
        <v>52</v>
      </c>
      <c r="DV48" s="1261"/>
      <c r="DW48" s="1261"/>
      <c r="DX48" s="1261"/>
      <c r="DY48" s="1261"/>
      <c r="DZ48" s="1261"/>
      <c r="EA48" s="1261"/>
      <c r="EB48" s="1261"/>
      <c r="EC48" s="1261"/>
      <c r="ED48" s="1261"/>
      <c r="EE48" s="1261"/>
      <c r="EF48" s="1261"/>
      <c r="EG48" s="1261"/>
      <c r="EH48" s="1261"/>
      <c r="EI48" s="1134"/>
      <c r="EJ48" s="1134"/>
      <c r="EM48" s="1">
        <v>52</v>
      </c>
      <c r="EN48" s="2">
        <f t="shared" si="17"/>
        <v>0</v>
      </c>
      <c r="EO48" s="2">
        <f t="shared" si="18"/>
        <v>0</v>
      </c>
      <c r="EP48" s="2">
        <f t="shared" si="19"/>
        <v>0</v>
      </c>
      <c r="EQ48" s="2">
        <f t="shared" si="20"/>
        <v>0</v>
      </c>
      <c r="ER48" s="2">
        <f t="shared" si="21"/>
        <v>0</v>
      </c>
      <c r="ES48" s="2">
        <f t="shared" si="22"/>
        <v>0</v>
      </c>
      <c r="ET48" s="2">
        <f t="shared" si="23"/>
        <v>0</v>
      </c>
      <c r="EU48" s="2">
        <f t="shared" si="24"/>
        <v>0</v>
      </c>
      <c r="EV48" s="2">
        <f t="shared" si="25"/>
        <v>0</v>
      </c>
      <c r="EW48" s="2">
        <f t="shared" si="26"/>
        <v>0</v>
      </c>
      <c r="EX48" s="2">
        <f t="shared" si="27"/>
        <v>0</v>
      </c>
      <c r="EY48" s="2">
        <f t="shared" si="28"/>
        <v>0</v>
      </c>
      <c r="EZ48" s="2">
        <f t="shared" si="29"/>
        <v>0</v>
      </c>
      <c r="FA48" s="2">
        <f t="shared" si="30"/>
        <v>0</v>
      </c>
      <c r="FB48" s="2">
        <f t="shared" si="31"/>
        <v>0</v>
      </c>
      <c r="FE48" s="1260">
        <v>51</v>
      </c>
      <c r="FF48" s="1261"/>
      <c r="FG48" s="1261"/>
      <c r="FH48" s="1261"/>
      <c r="FI48" s="1261"/>
      <c r="FJ48" s="1261"/>
      <c r="FK48" s="1261"/>
      <c r="FL48" s="1261"/>
      <c r="FM48" s="1261"/>
      <c r="FN48" s="1261"/>
      <c r="FO48" s="1261"/>
      <c r="FP48" s="1261"/>
      <c r="FQ48" s="1261"/>
      <c r="FR48" s="1261"/>
      <c r="FS48" s="1261"/>
      <c r="FT48" s="1261"/>
      <c r="FU48" s="1266"/>
      <c r="FV48" s="1452"/>
      <c r="FY48" s="1260">
        <v>51</v>
      </c>
      <c r="HJ48" s="1">
        <v>51</v>
      </c>
    </row>
    <row r="49" spans="1:264">
      <c r="A49" s="1" t="s">
        <v>681</v>
      </c>
      <c r="B49" s="92">
        <f>B48*1000/B47</f>
        <v>0.24027648255304182</v>
      </c>
      <c r="G49" s="35"/>
      <c r="H49" s="35"/>
      <c r="I49" s="35"/>
      <c r="J49" s="35"/>
      <c r="K49" s="35"/>
      <c r="L49" s="35"/>
      <c r="M49" s="819"/>
      <c r="R49" s="1">
        <f>R48*R50</f>
        <v>0</v>
      </c>
      <c r="S49" s="1">
        <f t="shared" ref="S49:AB49" si="114">S48*S50</f>
        <v>0</v>
      </c>
      <c r="T49" s="2">
        <f t="shared" si="114"/>
        <v>48796.909079592508</v>
      </c>
      <c r="U49" s="2">
        <f t="shared" si="114"/>
        <v>90859.311191446061</v>
      </c>
      <c r="V49" s="2">
        <f t="shared" si="114"/>
        <v>45332.367635334398</v>
      </c>
      <c r="W49" s="2">
        <f t="shared" si="114"/>
        <v>38319.269831890568</v>
      </c>
      <c r="X49" s="2">
        <f t="shared" si="114"/>
        <v>38087.578152806695</v>
      </c>
      <c r="Y49" s="2">
        <f t="shared" si="114"/>
        <v>21585.969812852964</v>
      </c>
      <c r="Z49" s="2">
        <f t="shared" si="114"/>
        <v>2111.9741495473859</v>
      </c>
      <c r="AA49" s="2">
        <f t="shared" si="114"/>
        <v>0</v>
      </c>
      <c r="AB49" s="1">
        <f t="shared" si="114"/>
        <v>0</v>
      </c>
      <c r="AL49" s="2">
        <v>27.246008708421407</v>
      </c>
      <c r="AN49" s="1">
        <v>49</v>
      </c>
      <c r="BA49" s="1">
        <v>33.340000000000003</v>
      </c>
      <c r="BB49" s="1">
        <v>33.33</v>
      </c>
      <c r="BC49" s="1">
        <v>33.33</v>
      </c>
      <c r="BG49" s="1">
        <v>49</v>
      </c>
      <c r="BH49" s="2">
        <f t="shared" si="81"/>
        <v>0</v>
      </c>
      <c r="BI49" s="2">
        <f t="shared" si="82"/>
        <v>0</v>
      </c>
      <c r="BJ49" s="2">
        <f t="shared" si="83"/>
        <v>0</v>
      </c>
      <c r="BK49" s="2">
        <f t="shared" si="84"/>
        <v>0</v>
      </c>
      <c r="BL49" s="2">
        <f t="shared" si="85"/>
        <v>0</v>
      </c>
      <c r="BM49" s="2">
        <f t="shared" si="86"/>
        <v>0</v>
      </c>
      <c r="BN49" s="2">
        <f t="shared" si="87"/>
        <v>0</v>
      </c>
      <c r="BO49" s="2">
        <f t="shared" si="88"/>
        <v>0</v>
      </c>
      <c r="BP49" s="2">
        <f t="shared" si="89"/>
        <v>0</v>
      </c>
      <c r="BQ49" s="2">
        <f t="shared" si="90"/>
        <v>0</v>
      </c>
      <c r="BR49" s="2">
        <f t="shared" si="91"/>
        <v>0</v>
      </c>
      <c r="BS49" s="2">
        <f t="shared" si="92"/>
        <v>9.0838193033876973</v>
      </c>
      <c r="BT49" s="2">
        <f t="shared" si="93"/>
        <v>9.0810947025168556</v>
      </c>
      <c r="BU49" s="2">
        <f t="shared" si="94"/>
        <v>9.0810947025168556</v>
      </c>
      <c r="BV49" s="2">
        <f t="shared" si="95"/>
        <v>0</v>
      </c>
      <c r="CI49" s="1">
        <v>0</v>
      </c>
      <c r="CX49" s="2"/>
      <c r="EH49" s="1">
        <v>100</v>
      </c>
      <c r="FE49" s="1260">
        <v>52</v>
      </c>
      <c r="FF49" s="1261"/>
      <c r="FG49" s="1261"/>
      <c r="FH49" s="1261"/>
      <c r="FI49" s="1261"/>
      <c r="FJ49" s="1261"/>
      <c r="FK49" s="1261"/>
      <c r="FL49" s="1261"/>
      <c r="FM49" s="1261"/>
      <c r="FN49" s="1261"/>
      <c r="FO49" s="1261"/>
      <c r="FP49" s="1261"/>
      <c r="FQ49" s="1261"/>
      <c r="FR49" s="1261"/>
      <c r="FS49" s="1261"/>
      <c r="FT49" s="1261"/>
      <c r="FU49" s="1266"/>
      <c r="FV49" s="1452"/>
      <c r="FY49" s="1260">
        <v>52</v>
      </c>
    </row>
    <row r="50" spans="1:264">
      <c r="A50" s="1" t="s">
        <v>18</v>
      </c>
      <c r="E50" s="1" t="e">
        <f>#REF!*E51^#REF!</f>
        <v>#REF!</v>
      </c>
      <c r="R50" s="818">
        <v>0</v>
      </c>
      <c r="S50" s="818">
        <v>0</v>
      </c>
      <c r="T50" s="818">
        <v>0.15984142315417271</v>
      </c>
      <c r="U50" s="818">
        <v>0.18467673295012793</v>
      </c>
      <c r="V50" s="818">
        <v>0.23542408848376603</v>
      </c>
      <c r="W50" s="818">
        <v>0.31363643029030197</v>
      </c>
      <c r="X50" s="818">
        <v>0.34049124399328817</v>
      </c>
      <c r="Y50" s="818">
        <v>0.3545828706212476</v>
      </c>
      <c r="Z50" s="818">
        <v>0.38860915142410074</v>
      </c>
      <c r="AA50" s="818">
        <v>0</v>
      </c>
      <c r="AB50" s="818">
        <v>0</v>
      </c>
      <c r="AL50" s="2">
        <v>0</v>
      </c>
      <c r="AN50" s="1">
        <v>50</v>
      </c>
      <c r="BB50" s="1">
        <v>33.33</v>
      </c>
      <c r="BC50" s="1">
        <v>66.67</v>
      </c>
      <c r="BG50" s="1">
        <v>50</v>
      </c>
      <c r="BH50" s="2">
        <f t="shared" si="81"/>
        <v>0</v>
      </c>
      <c r="BI50" s="2">
        <f t="shared" si="82"/>
        <v>0</v>
      </c>
      <c r="BJ50" s="2">
        <f t="shared" si="83"/>
        <v>0</v>
      </c>
      <c r="BK50" s="2">
        <f t="shared" si="84"/>
        <v>0</v>
      </c>
      <c r="BL50" s="2">
        <f t="shared" si="85"/>
        <v>0</v>
      </c>
      <c r="BM50" s="2">
        <f t="shared" si="86"/>
        <v>0</v>
      </c>
      <c r="BN50" s="2">
        <f t="shared" si="87"/>
        <v>0</v>
      </c>
      <c r="BO50" s="2">
        <f t="shared" si="88"/>
        <v>0</v>
      </c>
      <c r="BP50" s="2">
        <f t="shared" si="89"/>
        <v>0</v>
      </c>
      <c r="BQ50" s="2">
        <f t="shared" si="90"/>
        <v>0</v>
      </c>
      <c r="BR50" s="2">
        <f t="shared" si="91"/>
        <v>0</v>
      </c>
      <c r="BS50" s="2">
        <f t="shared" si="92"/>
        <v>0</v>
      </c>
      <c r="BT50" s="2">
        <f t="shared" si="93"/>
        <v>0</v>
      </c>
      <c r="BU50" s="2">
        <f t="shared" si="94"/>
        <v>0</v>
      </c>
      <c r="BV50" s="2">
        <f t="shared" si="95"/>
        <v>0</v>
      </c>
      <c r="CI50" s="1">
        <v>2700.5806296198634</v>
      </c>
      <c r="CX50" s="2"/>
      <c r="FE50" s="1260">
        <v>53</v>
      </c>
      <c r="FF50" s="1261"/>
      <c r="FG50" s="1261"/>
      <c r="FH50" s="1261"/>
      <c r="FI50" s="1261"/>
      <c r="FJ50" s="1261"/>
      <c r="FK50" s="1261"/>
      <c r="FL50" s="1261"/>
      <c r="FM50" s="1261"/>
      <c r="FN50" s="1261"/>
      <c r="FO50" s="1261"/>
      <c r="FP50" s="1261"/>
      <c r="FQ50" s="1261"/>
      <c r="FR50" s="1261"/>
      <c r="FS50" s="1261"/>
      <c r="FT50" s="1261"/>
      <c r="FU50" s="1265"/>
      <c r="FV50" s="1452"/>
      <c r="FY50" s="1260">
        <v>53</v>
      </c>
    </row>
    <row r="51" spans="1:264">
      <c r="AN51" s="1">
        <v>51</v>
      </c>
      <c r="BB51" s="1">
        <v>66.67</v>
      </c>
      <c r="BC51" s="1">
        <v>33.33</v>
      </c>
      <c r="BG51" s="1">
        <v>51</v>
      </c>
      <c r="BH51" s="2">
        <f t="shared" si="81"/>
        <v>0</v>
      </c>
      <c r="BI51" s="2">
        <f t="shared" si="82"/>
        <v>0</v>
      </c>
      <c r="BJ51" s="2">
        <f t="shared" si="83"/>
        <v>0</v>
      </c>
      <c r="BK51" s="2">
        <f t="shared" si="84"/>
        <v>0</v>
      </c>
      <c r="BL51" s="2">
        <f t="shared" si="85"/>
        <v>0</v>
      </c>
      <c r="BM51" s="2">
        <f t="shared" si="86"/>
        <v>0</v>
      </c>
      <c r="BN51" s="2">
        <f t="shared" si="87"/>
        <v>0</v>
      </c>
      <c r="BO51" s="2">
        <f t="shared" si="88"/>
        <v>0</v>
      </c>
      <c r="BP51" s="2">
        <f t="shared" si="89"/>
        <v>0</v>
      </c>
      <c r="BQ51" s="2">
        <f t="shared" si="90"/>
        <v>0</v>
      </c>
      <c r="BR51" s="2">
        <f t="shared" si="91"/>
        <v>0</v>
      </c>
      <c r="BS51" s="2">
        <f t="shared" si="92"/>
        <v>0</v>
      </c>
      <c r="BT51" s="2">
        <f t="shared" si="93"/>
        <v>0</v>
      </c>
      <c r="BU51" s="2">
        <f t="shared" si="94"/>
        <v>0</v>
      </c>
      <c r="BV51" s="2">
        <f t="shared" si="95"/>
        <v>0</v>
      </c>
      <c r="CJ51" s="1" t="s">
        <v>372</v>
      </c>
      <c r="CL51" s="1" t="s">
        <v>18</v>
      </c>
      <c r="CM51" s="1" t="s">
        <v>18</v>
      </c>
      <c r="CN51" s="1" t="s">
        <v>18</v>
      </c>
      <c r="CO51" s="1" t="s">
        <v>18</v>
      </c>
      <c r="CP51" s="1" t="s">
        <v>18</v>
      </c>
      <c r="CQ51" s="1" t="s">
        <v>18</v>
      </c>
      <c r="CR51" s="1" t="s">
        <v>18</v>
      </c>
      <c r="CS51" s="1" t="s">
        <v>18</v>
      </c>
      <c r="CT51" s="1" t="s">
        <v>18</v>
      </c>
      <c r="CU51" s="1" t="s">
        <v>18</v>
      </c>
      <c r="CV51" s="1" t="s">
        <v>18</v>
      </c>
      <c r="CW51" s="1" t="s">
        <v>18</v>
      </c>
      <c r="CX51" s="2" t="s">
        <v>18</v>
      </c>
      <c r="CY51" s="1" t="s">
        <v>18</v>
      </c>
      <c r="CZ51" s="1" t="s">
        <v>18</v>
      </c>
      <c r="DA51" s="1" t="s">
        <v>18</v>
      </c>
      <c r="EM51" s="1" t="s">
        <v>372</v>
      </c>
      <c r="EN51" s="2">
        <f>SUM(EN3:EN50)</f>
        <v>84990220.710790604</v>
      </c>
      <c r="EO51" s="2">
        <f t="shared" ref="EO51:FB51" si="115">SUM(EO3:EO50)</f>
        <v>643700399.33860528</v>
      </c>
      <c r="EP51" s="2">
        <f t="shared" si="115"/>
        <v>206895648.48493075</v>
      </c>
      <c r="EQ51" s="2">
        <f t="shared" si="115"/>
        <v>103391137.80861843</v>
      </c>
      <c r="ER51" s="2">
        <f t="shared" si="115"/>
        <v>109658946.79084589</v>
      </c>
      <c r="ES51" s="2">
        <f t="shared" si="115"/>
        <v>74210861.703445479</v>
      </c>
      <c r="ET51" s="2">
        <f t="shared" si="115"/>
        <v>26106053.151539341</v>
      </c>
      <c r="EU51" s="2">
        <f t="shared" si="115"/>
        <v>7194517.3194106091</v>
      </c>
      <c r="EV51" s="2">
        <f t="shared" si="115"/>
        <v>2044212.5869733163</v>
      </c>
      <c r="EW51" s="2">
        <f t="shared" si="115"/>
        <v>981890.69621333806</v>
      </c>
      <c r="EX51" s="2">
        <f t="shared" si="115"/>
        <v>287595.37589276535</v>
      </c>
      <c r="EY51" s="2">
        <f t="shared" si="115"/>
        <v>261369.90506965434</v>
      </c>
      <c r="EZ51" s="2">
        <f t="shared" si="115"/>
        <v>50685.696999531479</v>
      </c>
      <c r="FA51" s="2">
        <f t="shared" si="115"/>
        <v>2202.1333500713999</v>
      </c>
      <c r="FB51" s="2">
        <f t="shared" si="115"/>
        <v>0</v>
      </c>
      <c r="FC51" s="74">
        <f>SUM(EV51:FB51)</f>
        <v>3627956.3944986775</v>
      </c>
      <c r="FX51" s="2">
        <f>SUM(FX3:FX49)/1000</f>
        <v>980923.37663561013</v>
      </c>
      <c r="FY51" s="2"/>
      <c r="FZ51" s="2">
        <f t="shared" ref="FZ51:GN51" si="116">SUM(FZ3:FZ49)/1000</f>
        <v>59159.975503333968</v>
      </c>
      <c r="GA51" s="2">
        <f t="shared" si="116"/>
        <v>351959.43576095178</v>
      </c>
      <c r="GB51" s="2">
        <f t="shared" si="116"/>
        <v>314136.41458788625</v>
      </c>
      <c r="GC51" s="2">
        <f t="shared" si="116"/>
        <v>129234.98025876186</v>
      </c>
      <c r="GD51" s="2">
        <f t="shared" si="116"/>
        <v>82279.801285097885</v>
      </c>
      <c r="GE51" s="2">
        <f t="shared" si="116"/>
        <v>25117.14140140836</v>
      </c>
      <c r="GF51" s="2">
        <f t="shared" si="116"/>
        <v>12743.574218350112</v>
      </c>
      <c r="GG51" s="2">
        <f>SUM(GG3:GG49)/1000</f>
        <v>4444.444752233645</v>
      </c>
      <c r="GH51" s="2">
        <f t="shared" si="116"/>
        <v>1412.9460641176502</v>
      </c>
      <c r="GI51" s="2">
        <f t="shared" si="116"/>
        <v>326.87330654532633</v>
      </c>
      <c r="GJ51" s="2">
        <f>SUM(GJ3:GJ49)/1000</f>
        <v>107.28823149348351</v>
      </c>
      <c r="GK51" s="2">
        <f t="shared" si="116"/>
        <v>0</v>
      </c>
      <c r="GL51" s="2">
        <f t="shared" si="116"/>
        <v>0</v>
      </c>
      <c r="GM51" s="2">
        <f t="shared" si="116"/>
        <v>0</v>
      </c>
      <c r="GN51" s="2">
        <f t="shared" si="116"/>
        <v>0</v>
      </c>
      <c r="GO51" s="2">
        <f>SUM(GH51:GN51)</f>
        <v>1847.10760215646</v>
      </c>
      <c r="HK51" s="2">
        <f>SUM(HK3:HK49)/1000</f>
        <v>41564.656451683295</v>
      </c>
      <c r="HL51" s="2">
        <f t="shared" ref="HL51:HY51" si="117">SUM(HL3:HL49)/1000</f>
        <v>239962.26178962545</v>
      </c>
      <c r="HM51" s="2">
        <f t="shared" si="117"/>
        <v>790577.41787095403</v>
      </c>
      <c r="HN51" s="2">
        <f t="shared" si="117"/>
        <v>986834.71478378575</v>
      </c>
      <c r="HO51" s="2">
        <f t="shared" si="117"/>
        <v>539511.37330067449</v>
      </c>
      <c r="HP51" s="2">
        <f t="shared" si="117"/>
        <v>189537.91599799559</v>
      </c>
      <c r="HQ51" s="2">
        <f t="shared" si="117"/>
        <v>31661.599970393465</v>
      </c>
      <c r="HR51" s="2">
        <f t="shared" si="117"/>
        <v>8408.8841382674182</v>
      </c>
      <c r="HS51" s="2">
        <f t="shared" si="117"/>
        <v>4249.8530457186271</v>
      </c>
      <c r="HT51" s="2">
        <f t="shared" si="117"/>
        <v>908.38741140751449</v>
      </c>
      <c r="HU51" s="2">
        <f t="shared" si="117"/>
        <v>0</v>
      </c>
      <c r="HV51" s="2">
        <f t="shared" si="117"/>
        <v>0</v>
      </c>
      <c r="HW51" s="2">
        <f t="shared" si="117"/>
        <v>0</v>
      </c>
      <c r="HX51" s="2">
        <f t="shared" si="117"/>
        <v>0</v>
      </c>
      <c r="HY51" s="2">
        <f t="shared" si="117"/>
        <v>0</v>
      </c>
      <c r="HZ51" s="74">
        <f>SUM(HS51:HY51)</f>
        <v>5158.2404571261413</v>
      </c>
      <c r="IS51" s="2">
        <f>SUM(IS3:IS49)/1000</f>
        <v>191984.6488759956</v>
      </c>
      <c r="JA51" s="2">
        <f t="shared" ref="JA51:JD51" si="118">SUM(JA3:JA49)/1000</f>
        <v>228.6272235949572</v>
      </c>
      <c r="JB51" s="2">
        <f t="shared" si="118"/>
        <v>296.20215810793275</v>
      </c>
      <c r="JC51" s="2">
        <f t="shared" si="118"/>
        <v>0</v>
      </c>
      <c r="JD51" s="2">
        <f t="shared" si="118"/>
        <v>0</v>
      </c>
    </row>
    <row r="52" spans="1:264">
      <c r="AN52" s="1">
        <v>52</v>
      </c>
      <c r="BC52" s="1">
        <v>100</v>
      </c>
      <c r="BG52" s="1">
        <v>52</v>
      </c>
      <c r="BH52" s="2">
        <f>$AL52*AP52/100</f>
        <v>0</v>
      </c>
      <c r="BI52" s="2">
        <f t="shared" si="82"/>
        <v>0</v>
      </c>
      <c r="BJ52" s="2">
        <f t="shared" si="83"/>
        <v>0</v>
      </c>
      <c r="BK52" s="2">
        <f t="shared" si="84"/>
        <v>0</v>
      </c>
      <c r="BL52" s="2">
        <f t="shared" si="85"/>
        <v>0</v>
      </c>
      <c r="BM52" s="2">
        <f t="shared" si="86"/>
        <v>0</v>
      </c>
      <c r="BN52" s="2">
        <f t="shared" si="87"/>
        <v>0</v>
      </c>
      <c r="BO52" s="2">
        <f t="shared" si="88"/>
        <v>0</v>
      </c>
      <c r="BP52" s="2">
        <f t="shared" si="89"/>
        <v>0</v>
      </c>
      <c r="BQ52" s="2">
        <f t="shared" si="90"/>
        <v>0</v>
      </c>
      <c r="BR52" s="2">
        <f t="shared" si="91"/>
        <v>0</v>
      </c>
      <c r="BS52" s="2">
        <f t="shared" si="92"/>
        <v>0</v>
      </c>
      <c r="BT52" s="2">
        <f t="shared" si="93"/>
        <v>0</v>
      </c>
      <c r="BU52" s="2">
        <f t="shared" si="94"/>
        <v>0</v>
      </c>
      <c r="BV52" s="2">
        <f t="shared" si="95"/>
        <v>0</v>
      </c>
      <c r="CJ52" s="1" t="s">
        <v>682</v>
      </c>
      <c r="EN52" s="1">
        <v>84990220.710790604</v>
      </c>
      <c r="IS52" s="2">
        <f>SUM(IT3:IT49)/1000</f>
        <v>361306.70186594629</v>
      </c>
    </row>
    <row r="53" spans="1:264" s="75" customFormat="1">
      <c r="BH53" s="74">
        <f>SUM(BH19:BH52)</f>
        <v>33116437.251894929</v>
      </c>
      <c r="BI53" s="74">
        <f t="shared" ref="BI53:BV53" si="119">SUM(BI19:BI52)</f>
        <v>72405492.244108617</v>
      </c>
      <c r="BJ53" s="74">
        <f t="shared" si="119"/>
        <v>87354645.955422133</v>
      </c>
      <c r="BK53" s="74">
        <f t="shared" si="119"/>
        <v>117080782.93565348</v>
      </c>
      <c r="BL53" s="74">
        <f t="shared" si="119"/>
        <v>170521064.26200569</v>
      </c>
      <c r="BM53" s="74">
        <f t="shared" si="119"/>
        <v>156915055.98478568</v>
      </c>
      <c r="BN53" s="74">
        <f t="shared" si="119"/>
        <v>93449041.985379905</v>
      </c>
      <c r="BO53" s="74">
        <f t="shared" si="119"/>
        <v>37962100.103051677</v>
      </c>
      <c r="BP53" s="74">
        <f t="shared" si="119"/>
        <v>6979576.8625300955</v>
      </c>
      <c r="BQ53" s="74">
        <f t="shared" si="119"/>
        <v>605825.04769960034</v>
      </c>
      <c r="BR53" s="74">
        <f t="shared" si="119"/>
        <v>126192.90192834649</v>
      </c>
      <c r="BS53" s="74">
        <f t="shared" si="119"/>
        <v>98242.29766553748</v>
      </c>
      <c r="BT53" s="74">
        <f t="shared" si="119"/>
        <v>52968.860753113309</v>
      </c>
      <c r="BU53" s="74">
        <f t="shared" si="119"/>
        <v>12429.947001577724</v>
      </c>
      <c r="BV53" s="74">
        <f t="shared" si="119"/>
        <v>0</v>
      </c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EN53" s="1">
        <v>643700399.33860528</v>
      </c>
      <c r="FV53" s="1"/>
      <c r="FW53" s="1"/>
      <c r="GQ53" s="1"/>
      <c r="GR53" s="1"/>
      <c r="IS53" s="2">
        <f>SUM(IU3:IU49)/1000</f>
        <v>795040.77638647577</v>
      </c>
    </row>
    <row r="54" spans="1:264" s="75" customFormat="1">
      <c r="CJ54" s="1" t="s">
        <v>621</v>
      </c>
      <c r="EN54" s="1">
        <v>206895648.48493075</v>
      </c>
      <c r="FV54" s="1"/>
      <c r="FW54" s="1"/>
      <c r="GQ54" s="1"/>
      <c r="GR54" s="1"/>
      <c r="IS54" s="2">
        <f>SUM(IV3:IV49)/1000</f>
        <v>644800.23294732627</v>
      </c>
    </row>
    <row r="55" spans="1:264" s="75" customFormat="1">
      <c r="EN55" s="1">
        <v>103391137.80861843</v>
      </c>
      <c r="FV55" s="1"/>
      <c r="FW55" s="1"/>
      <c r="GQ55" s="1"/>
      <c r="GR55" s="1"/>
      <c r="IS55" s="2">
        <f>SUM(IW3:IW49)/1000</f>
        <v>343397.92087404843</v>
      </c>
    </row>
    <row r="56" spans="1:264" s="75" customFormat="1">
      <c r="EN56" s="1">
        <v>109658946.79084589</v>
      </c>
      <c r="FV56" s="1"/>
      <c r="FW56" s="1"/>
      <c r="GQ56" s="1"/>
      <c r="GR56" s="1"/>
      <c r="IS56" s="2">
        <f>SUM(IX3:IX49)/1000</f>
        <v>117498.55208349769</v>
      </c>
    </row>
    <row r="57" spans="1:264" s="75" customFormat="1">
      <c r="EN57" s="1">
        <v>74210861.703445479</v>
      </c>
      <c r="FV57" s="1"/>
      <c r="FW57" s="1"/>
      <c r="GQ57" s="1"/>
      <c r="GR57" s="1"/>
      <c r="IS57" s="2">
        <f>SUM(IY3:IY49)/1000</f>
        <v>26868.964166074849</v>
      </c>
    </row>
    <row r="58" spans="1:264">
      <c r="EN58" s="1">
        <v>26106053.151539341</v>
      </c>
      <c r="FZ58" s="2">
        <v>59159.975503333968</v>
      </c>
      <c r="IS58" s="2">
        <f>SUM(IZ3:IZ49)/1000</f>
        <v>4001.525737039161</v>
      </c>
    </row>
    <row r="59" spans="1:264">
      <c r="EN59" s="1">
        <v>7194517.3194106091</v>
      </c>
      <c r="FZ59" s="2">
        <v>351959.43576095178</v>
      </c>
      <c r="HK59" s="2">
        <v>41564.656451683295</v>
      </c>
      <c r="HU59" s="2">
        <v>0</v>
      </c>
      <c r="HV59" s="2">
        <v>0</v>
      </c>
      <c r="HW59" s="2">
        <v>0</v>
      </c>
      <c r="HX59" s="2">
        <v>0</v>
      </c>
      <c r="HY59" s="2">
        <v>0</v>
      </c>
      <c r="IS59" s="2">
        <f>SUM(JA51:JD51)</f>
        <v>524.82938170288992</v>
      </c>
    </row>
    <row r="60" spans="1:264">
      <c r="EN60" s="1">
        <v>3627956.3944986775</v>
      </c>
      <c r="FZ60" s="2">
        <v>314136.41458788625</v>
      </c>
      <c r="HK60" s="2">
        <v>239962.26178962545</v>
      </c>
    </row>
    <row r="61" spans="1:264">
      <c r="FZ61" s="2">
        <v>129234.98025876186</v>
      </c>
      <c r="HK61" s="2">
        <v>790577.41787095403</v>
      </c>
    </row>
    <row r="62" spans="1:264">
      <c r="FZ62" s="2">
        <v>82279.801285097885</v>
      </c>
      <c r="HK62" s="2">
        <v>986834.71478378575</v>
      </c>
    </row>
    <row r="63" spans="1:264">
      <c r="FZ63" s="2">
        <v>25117.14140140836</v>
      </c>
      <c r="HK63" s="2">
        <v>539511.37330067449</v>
      </c>
    </row>
    <row r="64" spans="1:264">
      <c r="FZ64" s="2">
        <v>12743.574218350112</v>
      </c>
      <c r="HK64" s="2">
        <v>189537.91599799559</v>
      </c>
    </row>
    <row r="65" spans="182:219">
      <c r="FZ65" s="2">
        <v>4444.444752233645</v>
      </c>
      <c r="HK65" s="2">
        <v>31661.599970393465</v>
      </c>
    </row>
    <row r="66" spans="182:219">
      <c r="FZ66" s="1">
        <v>1847.10760215646</v>
      </c>
      <c r="HK66" s="2">
        <v>8408.8841382674182</v>
      </c>
    </row>
    <row r="67" spans="182:219">
      <c r="HK67" s="2">
        <v>5158.2404571261413</v>
      </c>
    </row>
    <row r="68" spans="182:219">
      <c r="HK68" s="2" t="s">
        <v>18</v>
      </c>
    </row>
    <row r="171" ht="13.5" customHeight="1"/>
  </sheetData>
  <phoneticPr fontId="4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workbookViewId="0"/>
  </sheetViews>
  <sheetFormatPr defaultColWidth="11.44140625" defaultRowHeight="13.2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/>
  </sheetViews>
  <sheetFormatPr defaultColWidth="11.44140625" defaultRowHeight="13.2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19"/>
  <dimension ref="A1:BI83"/>
  <sheetViews>
    <sheetView topLeftCell="A69" zoomScale="110" zoomScaleNormal="110" workbookViewId="0">
      <selection activeCell="H17" sqref="H17"/>
    </sheetView>
  </sheetViews>
  <sheetFormatPr defaultColWidth="9.109375" defaultRowHeight="13.2"/>
  <cols>
    <col min="1" max="1" width="0.6640625" style="37" customWidth="1"/>
    <col min="2" max="2" width="7.109375" style="37" customWidth="1"/>
    <col min="3" max="3" width="6.44140625" style="37" customWidth="1"/>
    <col min="4" max="4" width="5.88671875" style="37" customWidth="1"/>
    <col min="5" max="5" width="7.33203125" style="37" customWidth="1"/>
    <col min="6" max="6" width="6.109375" style="37" customWidth="1"/>
    <col min="7" max="7" width="5.88671875" style="37" customWidth="1"/>
    <col min="8" max="8" width="6.6640625" style="37" customWidth="1"/>
    <col min="9" max="9" width="6.44140625" style="37" customWidth="1"/>
    <col min="10" max="10" width="6.33203125" style="37" customWidth="1"/>
    <col min="11" max="11" width="6.44140625" style="37" customWidth="1"/>
    <col min="12" max="13" width="7.44140625" style="37" customWidth="1"/>
    <col min="14" max="14" width="6.44140625" style="37" customWidth="1"/>
    <col min="15" max="15" width="9.88671875" style="37" customWidth="1"/>
    <col min="16" max="16" width="7.44140625" style="37" customWidth="1"/>
    <col min="17" max="17" width="8" style="37" customWidth="1"/>
    <col min="18" max="18" width="8.5546875" style="37" bestFit="1" customWidth="1"/>
    <col min="19" max="19" width="7.109375" style="37" customWidth="1"/>
    <col min="20" max="20" width="8.5546875" style="37" bestFit="1" customWidth="1"/>
    <col min="21" max="21" width="8" style="37" customWidth="1"/>
    <col min="22" max="22" width="9.109375" style="37" customWidth="1"/>
    <col min="23" max="23" width="7.33203125" style="37" customWidth="1"/>
    <col min="24" max="24" width="8.44140625" style="37" customWidth="1"/>
    <col min="25" max="25" width="9.33203125" style="37" customWidth="1"/>
    <col min="26" max="26" width="7.109375" style="37" customWidth="1"/>
    <col min="27" max="27" width="12" style="37" bestFit="1" customWidth="1"/>
    <col min="28" max="30" width="7.33203125" style="37" bestFit="1" customWidth="1"/>
    <col min="31" max="31" width="8.109375" style="37" customWidth="1"/>
    <col min="32" max="34" width="9.33203125" style="37" customWidth="1"/>
    <col min="35" max="35" width="10.44140625" style="37" bestFit="1" customWidth="1"/>
    <col min="36" max="39" width="9.33203125" style="37" customWidth="1"/>
    <col min="40" max="40" width="6.5546875" style="37" customWidth="1"/>
    <col min="41" max="41" width="9.33203125" style="37" bestFit="1" customWidth="1"/>
    <col min="42" max="45" width="9.109375" style="37"/>
    <col min="46" max="46" width="15.109375" style="37" customWidth="1"/>
    <col min="47" max="16384" width="9.109375" style="37"/>
  </cols>
  <sheetData>
    <row r="1" spans="1:61" ht="20.399999999999999">
      <c r="B1" s="1913" t="s">
        <v>683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44"/>
      <c r="R1"/>
      <c r="S1"/>
      <c r="T1" s="82"/>
    </row>
    <row r="2" spans="1:61" ht="13.8" thickBot="1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/>
      <c r="S2"/>
      <c r="T2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</row>
    <row r="3" spans="1:61" s="1883" customFormat="1" ht="10.8" thickTop="1">
      <c r="A3" s="1985"/>
      <c r="B3" s="1986" t="s">
        <v>640</v>
      </c>
      <c r="C3" s="1986">
        <v>1990</v>
      </c>
      <c r="D3" s="1986">
        <v>1991</v>
      </c>
      <c r="E3" s="1986">
        <v>1992</v>
      </c>
      <c r="F3" s="1986">
        <v>1993</v>
      </c>
      <c r="G3" s="1986">
        <v>1994</v>
      </c>
      <c r="H3" s="1986">
        <v>1995</v>
      </c>
      <c r="I3" s="1986">
        <v>1996</v>
      </c>
      <c r="J3" s="1986">
        <v>1997</v>
      </c>
      <c r="K3" s="1986">
        <v>1998</v>
      </c>
      <c r="L3" s="1986">
        <v>1999</v>
      </c>
      <c r="M3" s="1986">
        <v>2000</v>
      </c>
      <c r="N3" s="1986">
        <v>2001</v>
      </c>
      <c r="O3" s="1986">
        <v>2002</v>
      </c>
      <c r="P3" s="1986">
        <v>2003</v>
      </c>
      <c r="Q3" s="1986">
        <v>2004</v>
      </c>
      <c r="R3" s="1986">
        <v>2005</v>
      </c>
      <c r="S3" s="1986">
        <v>2006</v>
      </c>
      <c r="T3" s="1986">
        <v>2007</v>
      </c>
      <c r="U3" s="1986">
        <v>2008</v>
      </c>
      <c r="V3" s="1986">
        <v>2009</v>
      </c>
      <c r="W3" s="1986">
        <v>2010</v>
      </c>
      <c r="X3" s="1986">
        <v>2011</v>
      </c>
      <c r="Y3" s="1986">
        <v>2012</v>
      </c>
      <c r="Z3" s="1987">
        <v>2013</v>
      </c>
      <c r="AA3" s="1986">
        <v>2014</v>
      </c>
      <c r="AB3" s="1986">
        <v>2015</v>
      </c>
      <c r="AC3" s="1988">
        <v>2016</v>
      </c>
      <c r="AD3" s="1987">
        <v>2017</v>
      </c>
      <c r="AE3" s="1987">
        <v>2018</v>
      </c>
      <c r="AF3" s="1987">
        <v>2019</v>
      </c>
      <c r="AG3" s="1987">
        <v>2020</v>
      </c>
      <c r="AH3" s="1987">
        <v>2021</v>
      </c>
      <c r="AI3" s="1987">
        <v>2022</v>
      </c>
      <c r="AJ3" s="1987">
        <v>2023</v>
      </c>
      <c r="AK3" s="1987">
        <v>2024</v>
      </c>
      <c r="AL3" s="1906">
        <v>2025</v>
      </c>
      <c r="AM3" s="1989"/>
      <c r="AN3" s="128" t="s">
        <v>684</v>
      </c>
      <c r="AO3" s="1911" t="s">
        <v>685</v>
      </c>
      <c r="AP3" s="1990"/>
      <c r="AQ3" s="1990"/>
      <c r="AR3" s="1990"/>
      <c r="AS3" s="1990"/>
      <c r="AT3" s="1990"/>
      <c r="AU3" s="1990"/>
      <c r="AV3" s="1990"/>
      <c r="AW3" s="1990"/>
      <c r="AX3" s="1990"/>
      <c r="AY3" s="1990"/>
      <c r="AZ3" s="1990"/>
      <c r="BA3" s="1990"/>
      <c r="BB3" s="1990"/>
      <c r="BC3" s="1990"/>
      <c r="BD3" s="1990"/>
      <c r="BE3" s="1990"/>
      <c r="BF3" s="1990"/>
      <c r="BG3" s="1990"/>
      <c r="BH3" s="1990"/>
      <c r="BI3" s="1990"/>
    </row>
    <row r="4" spans="1:61" s="1883" customFormat="1" ht="10.199999999999999">
      <c r="A4" s="1991"/>
      <c r="B4" s="1992">
        <v>0</v>
      </c>
      <c r="C4" s="1992"/>
      <c r="D4" s="1992"/>
      <c r="E4" s="1992"/>
      <c r="F4" s="1992"/>
      <c r="G4" s="1992"/>
      <c r="H4" s="1992"/>
      <c r="I4" s="1992"/>
      <c r="J4" s="1992"/>
      <c r="K4" s="1992"/>
      <c r="L4" s="1992"/>
      <c r="M4" s="1992"/>
      <c r="N4" s="1992"/>
      <c r="O4" s="1992"/>
      <c r="P4" s="1992"/>
      <c r="Q4" s="1992"/>
      <c r="R4" s="1992"/>
      <c r="S4" s="1992"/>
      <c r="T4" s="1993">
        <v>110318.4912378641</v>
      </c>
      <c r="U4" s="1993">
        <v>242590.21030519513</v>
      </c>
      <c r="V4" s="1994">
        <v>68301.897743391426</v>
      </c>
      <c r="W4" s="1994">
        <v>6742.6597765140896</v>
      </c>
      <c r="X4" s="1994">
        <v>28819.460498286451</v>
      </c>
      <c r="Y4" s="1994">
        <v>59344.215741009568</v>
      </c>
      <c r="Z4" s="1995">
        <v>1383.4241908977729</v>
      </c>
      <c r="AA4" s="1995"/>
      <c r="AB4" s="1995"/>
      <c r="AC4" s="1995">
        <v>2341.8178804439867</v>
      </c>
      <c r="AD4" s="1995">
        <v>656.10871138606058</v>
      </c>
      <c r="AE4" s="1995">
        <v>26476.674523387472</v>
      </c>
      <c r="AF4" s="1995">
        <v>33116.437251894931</v>
      </c>
      <c r="AG4" s="1995">
        <v>16921.113441270394</v>
      </c>
      <c r="AH4" s="1995">
        <v>33038.728576426736</v>
      </c>
      <c r="AI4" s="1995">
        <v>84990.2207107906</v>
      </c>
      <c r="AJ4" s="1995">
        <v>59159.975503333968</v>
      </c>
      <c r="AK4" s="1995">
        <v>41564.656451683295</v>
      </c>
      <c r="AL4" s="1907">
        <v>191984.6488759956</v>
      </c>
      <c r="AM4" s="1996"/>
      <c r="AN4" s="1997">
        <f>LN(AK4)</f>
        <v>10.635005480604031</v>
      </c>
      <c r="AO4" s="1998">
        <f>LN(AL4)</f>
        <v>12.165170694042589</v>
      </c>
      <c r="AP4" s="1990"/>
      <c r="AQ4" s="1990" t="s">
        <v>18</v>
      </c>
      <c r="AR4" s="1990"/>
      <c r="AS4" s="1990" t="s">
        <v>18</v>
      </c>
      <c r="AT4" s="1990" t="s">
        <v>18</v>
      </c>
      <c r="AU4" s="1990" t="s">
        <v>18</v>
      </c>
      <c r="AV4" s="1990"/>
      <c r="AW4" s="1990"/>
      <c r="AX4" s="1990"/>
      <c r="AY4" s="1990"/>
      <c r="AZ4" s="1990"/>
      <c r="BA4" s="1990"/>
      <c r="BB4" s="1990"/>
      <c r="BC4" s="1990"/>
      <c r="BD4" s="1990"/>
      <c r="BE4" s="1990"/>
      <c r="BF4" s="1990"/>
      <c r="BG4" s="1990"/>
      <c r="BH4" s="1990"/>
      <c r="BI4" s="1990"/>
    </row>
    <row r="5" spans="1:61" s="1883" customFormat="1" ht="10.199999999999999">
      <c r="A5" s="1991"/>
      <c r="B5" s="1999">
        <v>1</v>
      </c>
      <c r="C5" s="2000">
        <v>38</v>
      </c>
      <c r="D5" s="2000">
        <v>12677</v>
      </c>
      <c r="E5" s="2000">
        <v>54654</v>
      </c>
      <c r="F5" s="2000">
        <v>44199</v>
      </c>
      <c r="G5" s="2000">
        <v>56387</v>
      </c>
      <c r="H5" s="2000">
        <v>3025</v>
      </c>
      <c r="I5" s="2000">
        <v>13503</v>
      </c>
      <c r="J5" s="2000">
        <v>2492</v>
      </c>
      <c r="K5" s="2000">
        <v>3616</v>
      </c>
      <c r="L5" s="2000">
        <v>1075</v>
      </c>
      <c r="M5" s="2000">
        <v>11672</v>
      </c>
      <c r="N5" s="2000">
        <v>4962</v>
      </c>
      <c r="O5" s="2000">
        <v>87</v>
      </c>
      <c r="P5" s="2000">
        <v>9846.4227413285098</v>
      </c>
      <c r="Q5" s="2000">
        <v>64240.377399492718</v>
      </c>
      <c r="R5" s="2000">
        <v>19694.31706542521</v>
      </c>
      <c r="S5" s="1994">
        <v>346053.51506823988</v>
      </c>
      <c r="T5" s="1994">
        <v>1611663.5009997529</v>
      </c>
      <c r="U5" s="1994">
        <v>349490.14026280219</v>
      </c>
      <c r="V5" s="1994">
        <v>267066.59110748203</v>
      </c>
      <c r="W5" s="1994">
        <v>49944.632613170608</v>
      </c>
      <c r="X5" s="1994">
        <v>307932.33213853661</v>
      </c>
      <c r="Y5" s="1994">
        <v>57668.669595141168</v>
      </c>
      <c r="Z5" s="1995">
        <v>89486.058826717068</v>
      </c>
      <c r="AA5" s="1995">
        <v>89321.723360805583</v>
      </c>
      <c r="AB5" s="1995">
        <v>22565.886764498995</v>
      </c>
      <c r="AC5" s="1995">
        <v>5454.0121258581476</v>
      </c>
      <c r="AD5" s="1995">
        <v>69415.96794003954</v>
      </c>
      <c r="AE5" s="1995">
        <v>67089.624037475282</v>
      </c>
      <c r="AF5" s="1995">
        <v>72405.492244108624</v>
      </c>
      <c r="AG5" s="1995">
        <v>248799.20568545736</v>
      </c>
      <c r="AH5" s="1995">
        <v>167814.43435736297</v>
      </c>
      <c r="AI5" s="1995">
        <v>643700.39933860523</v>
      </c>
      <c r="AJ5" s="1995">
        <v>351959.43576095178</v>
      </c>
      <c r="AK5" s="1995">
        <v>239962.26178962545</v>
      </c>
      <c r="AL5" s="1907">
        <v>361306.70186594629</v>
      </c>
      <c r="AM5" s="1996"/>
      <c r="AN5" s="1997">
        <f t="shared" ref="AN5:AN12" si="0">LN(AK5)</f>
        <v>12.388236947416996</v>
      </c>
      <c r="AO5" s="1998">
        <f t="shared" ref="AO5:AO12" si="1">LN(AL5)</f>
        <v>12.797482466274369</v>
      </c>
      <c r="AP5" s="1990"/>
      <c r="AQ5" s="1990" t="s">
        <v>18</v>
      </c>
      <c r="AR5" s="1990"/>
      <c r="AS5" s="1990" t="s">
        <v>18</v>
      </c>
      <c r="AT5" s="1990" t="s">
        <v>18</v>
      </c>
      <c r="AU5" s="1990" t="s">
        <v>18</v>
      </c>
      <c r="AV5" s="1990"/>
      <c r="AW5" s="1990"/>
      <c r="AX5" s="1990"/>
      <c r="AY5" s="1990"/>
      <c r="AZ5" s="1990"/>
      <c r="BA5" s="1990"/>
      <c r="BB5" s="1990"/>
      <c r="BC5" s="1990"/>
      <c r="BD5" s="1990"/>
      <c r="BE5" s="1990"/>
      <c r="BF5" s="1990"/>
      <c r="BG5" s="1990"/>
      <c r="BH5" s="1990"/>
      <c r="BI5" s="1990"/>
    </row>
    <row r="6" spans="1:61" s="1883" customFormat="1" ht="10.199999999999999">
      <c r="A6" s="1991"/>
      <c r="B6" s="1999">
        <v>2</v>
      </c>
      <c r="C6" s="2000">
        <v>1313</v>
      </c>
      <c r="D6" s="2000">
        <v>54198</v>
      </c>
      <c r="E6" s="2000">
        <v>248592</v>
      </c>
      <c r="F6" s="2000">
        <v>188981</v>
      </c>
      <c r="G6" s="2000">
        <v>127537</v>
      </c>
      <c r="H6" s="2000">
        <v>10938</v>
      </c>
      <c r="I6" s="2000">
        <v>5974</v>
      </c>
      <c r="J6" s="2000">
        <v>29124</v>
      </c>
      <c r="K6" s="2000">
        <v>4175</v>
      </c>
      <c r="L6" s="2000">
        <v>12010</v>
      </c>
      <c r="M6" s="2000">
        <v>38323</v>
      </c>
      <c r="N6" s="2000">
        <v>161508</v>
      </c>
      <c r="O6" s="2000">
        <v>9895</v>
      </c>
      <c r="P6" s="2000">
        <v>11870.300801109575</v>
      </c>
      <c r="Q6" s="2000">
        <v>495571.78428552038</v>
      </c>
      <c r="R6" s="2000">
        <v>172352.81810304328</v>
      </c>
      <c r="S6" s="1994">
        <v>366131.02893124265</v>
      </c>
      <c r="T6" s="1994">
        <v>1692360.4287375186</v>
      </c>
      <c r="U6" s="1994">
        <v>370274.9729041793</v>
      </c>
      <c r="V6" s="1994">
        <v>386734.95227513497</v>
      </c>
      <c r="W6" s="1994">
        <v>106559.58234061398</v>
      </c>
      <c r="X6" s="1994">
        <v>369673.39451601851</v>
      </c>
      <c r="Y6" s="1994">
        <v>58025.08609790534</v>
      </c>
      <c r="Z6" s="1995">
        <v>165024.58357768023</v>
      </c>
      <c r="AA6" s="1995">
        <v>164390.5042665138</v>
      </c>
      <c r="AB6" s="1995">
        <v>53740.483762427764</v>
      </c>
      <c r="AC6" s="1995">
        <v>10175.918170141329</v>
      </c>
      <c r="AD6" s="1995">
        <v>53918.175420143263</v>
      </c>
      <c r="AE6" s="1995">
        <v>77435.543726382835</v>
      </c>
      <c r="AF6" s="1995">
        <v>87659.929205012115</v>
      </c>
      <c r="AG6" s="1995">
        <v>314205.61370403087</v>
      </c>
      <c r="AH6" s="1995">
        <v>96759.069578740891</v>
      </c>
      <c r="AI6" s="1995">
        <v>206895.64848493075</v>
      </c>
      <c r="AJ6" s="1995">
        <v>314136.41458788625</v>
      </c>
      <c r="AK6" s="1995">
        <v>790577.41787095403</v>
      </c>
      <c r="AL6" s="1907">
        <v>795040.77638647577</v>
      </c>
      <c r="AM6" s="1996"/>
      <c r="AN6" s="1997">
        <f t="shared" si="0"/>
        <v>13.580518866156938</v>
      </c>
      <c r="AO6" s="1998">
        <f t="shared" si="1"/>
        <v>13.586148683373299</v>
      </c>
      <c r="AP6" s="1990"/>
      <c r="AQ6" s="1990" t="s">
        <v>18</v>
      </c>
      <c r="AR6" s="1990"/>
      <c r="AS6" s="1990" t="s">
        <v>18</v>
      </c>
      <c r="AT6" s="1990" t="s">
        <v>18</v>
      </c>
      <c r="AU6" s="1990" t="s">
        <v>18</v>
      </c>
      <c r="AV6" s="1990"/>
      <c r="AW6" s="1990"/>
      <c r="AX6" s="1990"/>
      <c r="AY6" s="1990"/>
      <c r="AZ6" s="1990"/>
      <c r="BA6" s="1990"/>
      <c r="BB6" s="1990"/>
      <c r="BC6" s="1990"/>
      <c r="BD6" s="1990"/>
      <c r="BE6" s="1990"/>
      <c r="BF6" s="1990"/>
      <c r="BG6" s="1990"/>
      <c r="BH6" s="1990"/>
      <c r="BI6" s="1990"/>
    </row>
    <row r="7" spans="1:61" s="1883" customFormat="1" ht="10.199999999999999">
      <c r="A7" s="1991"/>
      <c r="B7" s="1999">
        <v>3</v>
      </c>
      <c r="C7" s="2000">
        <v>41906</v>
      </c>
      <c r="D7" s="2000">
        <v>93601</v>
      </c>
      <c r="E7" s="2000">
        <v>85537</v>
      </c>
      <c r="F7" s="2000">
        <v>96421</v>
      </c>
      <c r="G7" s="2000">
        <v>64950</v>
      </c>
      <c r="H7" s="2000">
        <v>94808</v>
      </c>
      <c r="I7" s="2000">
        <v>8138</v>
      </c>
      <c r="J7" s="2000">
        <v>31855</v>
      </c>
      <c r="K7" s="2000">
        <v>24753</v>
      </c>
      <c r="L7" s="2000">
        <v>20126</v>
      </c>
      <c r="M7" s="2000">
        <v>74209</v>
      </c>
      <c r="N7" s="2000">
        <v>199627</v>
      </c>
      <c r="O7" s="2000">
        <v>136052</v>
      </c>
      <c r="P7" s="2000">
        <v>32852.032030060502</v>
      </c>
      <c r="Q7" s="2000">
        <v>246183.10858789997</v>
      </c>
      <c r="R7" s="2000">
        <v>179968.25478977503</v>
      </c>
      <c r="S7" s="1994">
        <v>408270.10085139441</v>
      </c>
      <c r="T7" s="1994">
        <v>962662.91139736748</v>
      </c>
      <c r="U7" s="1994">
        <v>382290.34321017761</v>
      </c>
      <c r="V7" s="1994">
        <v>200781.37548093009</v>
      </c>
      <c r="W7" s="1994">
        <v>174025.30057717202</v>
      </c>
      <c r="X7" s="1994">
        <v>228214.06486731497</v>
      </c>
      <c r="Y7" s="1994">
        <v>128036.21598631739</v>
      </c>
      <c r="Z7" s="1995">
        <v>168540.66924646622</v>
      </c>
      <c r="AA7" s="1995">
        <v>167711.41274037142</v>
      </c>
      <c r="AB7" s="1995">
        <v>98561.804554432907</v>
      </c>
      <c r="AC7" s="1995">
        <v>105311.3078262621</v>
      </c>
      <c r="AD7" s="1995">
        <v>28805.673372869605</v>
      </c>
      <c r="AE7" s="1995">
        <v>194699.07925516262</v>
      </c>
      <c r="AF7" s="1995">
        <v>117572.77404758193</v>
      </c>
      <c r="AG7" s="1995">
        <v>92167.213805415508</v>
      </c>
      <c r="AH7" s="1995">
        <v>216700.62439396742</v>
      </c>
      <c r="AI7" s="1995">
        <v>103391.13780861843</v>
      </c>
      <c r="AJ7" s="1995">
        <v>129234.98025876186</v>
      </c>
      <c r="AK7" s="1995">
        <v>986834.71478378575</v>
      </c>
      <c r="AL7" s="1907">
        <v>644800.23294732627</v>
      </c>
      <c r="AM7" s="1996"/>
      <c r="AN7" s="1997">
        <f t="shared" si="0"/>
        <v>13.802257842167114</v>
      </c>
      <c r="AO7" s="1998">
        <f t="shared" si="1"/>
        <v>13.376695831445158</v>
      </c>
      <c r="AP7" s="1990"/>
      <c r="AQ7" s="1990" t="s">
        <v>18</v>
      </c>
      <c r="AR7" s="1990"/>
      <c r="AS7" s="1990" t="s">
        <v>18</v>
      </c>
      <c r="AT7" s="1990" t="s">
        <v>18</v>
      </c>
      <c r="AU7" s="1990" t="s">
        <v>18</v>
      </c>
      <c r="AV7" s="1990"/>
      <c r="AW7" s="1990"/>
      <c r="AX7" s="1990"/>
      <c r="AY7" s="1990"/>
      <c r="AZ7" s="1990"/>
      <c r="BA7" s="1990"/>
      <c r="BB7" s="1990"/>
      <c r="BC7" s="1990"/>
      <c r="BD7" s="1990"/>
      <c r="BE7" s="1990"/>
      <c r="BF7" s="1990"/>
      <c r="BG7" s="1990"/>
      <c r="BH7" s="1990"/>
      <c r="BI7" s="1990"/>
    </row>
    <row r="8" spans="1:61" s="1883" customFormat="1" ht="10.199999999999999">
      <c r="A8" s="1991"/>
      <c r="B8" s="1999">
        <v>4</v>
      </c>
      <c r="C8" s="2000">
        <v>60131</v>
      </c>
      <c r="D8" s="2000">
        <v>99139</v>
      </c>
      <c r="E8" s="2000">
        <v>45507</v>
      </c>
      <c r="F8" s="2000">
        <v>40423</v>
      </c>
      <c r="G8" s="2000">
        <v>27161</v>
      </c>
      <c r="H8" s="2000">
        <v>111123</v>
      </c>
      <c r="I8" s="2000">
        <v>14507</v>
      </c>
      <c r="J8" s="2000">
        <v>19509</v>
      </c>
      <c r="K8" s="2000">
        <v>24555</v>
      </c>
      <c r="L8" s="2000">
        <v>19473</v>
      </c>
      <c r="M8" s="2000">
        <v>71320</v>
      </c>
      <c r="N8" s="2000">
        <v>159871</v>
      </c>
      <c r="O8" s="2000">
        <v>130940</v>
      </c>
      <c r="P8" s="2000">
        <v>57701.494909863693</v>
      </c>
      <c r="Q8" s="2000">
        <v>233177.00116704695</v>
      </c>
      <c r="R8" s="2000">
        <v>123763.3449149511</v>
      </c>
      <c r="S8" s="1994">
        <v>283962.19974381482</v>
      </c>
      <c r="T8" s="1994">
        <v>272460.37701785867</v>
      </c>
      <c r="U8" s="1994">
        <v>271834.83999223541</v>
      </c>
      <c r="V8" s="1994">
        <v>180753.65272192907</v>
      </c>
      <c r="W8" s="1994">
        <v>200058.41516945674</v>
      </c>
      <c r="X8" s="1994">
        <v>126017.32752931077</v>
      </c>
      <c r="Y8" s="1994">
        <v>183532.44357984405</v>
      </c>
      <c r="Z8" s="1995">
        <v>101769.5837581533</v>
      </c>
      <c r="AA8" s="1995">
        <v>101722.11381075524</v>
      </c>
      <c r="AB8" s="1995">
        <v>132541.25538721011</v>
      </c>
      <c r="AC8" s="1995">
        <v>173526.84251077755</v>
      </c>
      <c r="AD8" s="1995">
        <v>101155.55933231053</v>
      </c>
      <c r="AE8" s="1995">
        <v>207273.50069399414</v>
      </c>
      <c r="AF8" s="1995">
        <v>170713.62046102207</v>
      </c>
      <c r="AG8" s="1995">
        <v>99515.897920418938</v>
      </c>
      <c r="AH8" s="1995">
        <v>168262.54561905435</v>
      </c>
      <c r="AI8" s="1995">
        <v>109658.94679084589</v>
      </c>
      <c r="AJ8" s="1995">
        <v>82279.801285097885</v>
      </c>
      <c r="AK8" s="1995">
        <v>539511.37330067449</v>
      </c>
      <c r="AL8" s="1907">
        <v>343397.92087404843</v>
      </c>
      <c r="AM8" s="1996"/>
      <c r="AN8" s="1997">
        <f t="shared" si="0"/>
        <v>13.198419144645655</v>
      </c>
      <c r="AO8" s="1998">
        <f t="shared" si="1"/>
        <v>12.746645172896166</v>
      </c>
      <c r="AP8" s="1990"/>
      <c r="AQ8" s="1990" t="s">
        <v>18</v>
      </c>
      <c r="AR8" s="1990"/>
      <c r="AS8" s="1990" t="s">
        <v>18</v>
      </c>
      <c r="AT8" s="1990" t="s">
        <v>18</v>
      </c>
      <c r="AU8" s="1990" t="s">
        <v>18</v>
      </c>
      <c r="AV8" s="1990" t="s">
        <v>18</v>
      </c>
      <c r="AW8" s="1990" t="s">
        <v>18</v>
      </c>
      <c r="AX8" s="1990" t="s">
        <v>18</v>
      </c>
      <c r="AY8" s="1990" t="s">
        <v>18</v>
      </c>
      <c r="AZ8" s="1990" t="s">
        <v>18</v>
      </c>
      <c r="BA8" s="1990" t="s">
        <v>18</v>
      </c>
      <c r="BB8" s="1990" t="s">
        <v>18</v>
      </c>
      <c r="BC8" s="1990" t="s">
        <v>18</v>
      </c>
      <c r="BD8" s="1990" t="s">
        <v>18</v>
      </c>
      <c r="BE8" s="1990" t="s">
        <v>18</v>
      </c>
      <c r="BF8" s="1990" t="s">
        <v>18</v>
      </c>
      <c r="BG8" s="1990" t="s">
        <v>18</v>
      </c>
      <c r="BH8" s="1990"/>
      <c r="BI8" s="1990"/>
    </row>
    <row r="9" spans="1:61" s="1883" customFormat="1" ht="10.199999999999999">
      <c r="A9" s="1991"/>
      <c r="B9" s="1999">
        <v>5</v>
      </c>
      <c r="C9" s="2000">
        <v>41011</v>
      </c>
      <c r="D9" s="2000">
        <v>45512</v>
      </c>
      <c r="E9" s="2000">
        <v>44714</v>
      </c>
      <c r="F9" s="2000">
        <v>38346</v>
      </c>
      <c r="G9" s="2000">
        <v>25979</v>
      </c>
      <c r="H9" s="2000">
        <v>56587</v>
      </c>
      <c r="I9" s="2000">
        <v>32892</v>
      </c>
      <c r="J9" s="2000">
        <v>51305</v>
      </c>
      <c r="K9" s="2000">
        <v>3812</v>
      </c>
      <c r="L9" s="2000">
        <v>26416</v>
      </c>
      <c r="M9" s="2000">
        <v>102520</v>
      </c>
      <c r="N9" s="2000">
        <v>103886</v>
      </c>
      <c r="O9" s="2000">
        <v>79390</v>
      </c>
      <c r="P9" s="2000">
        <v>50233.124536217118</v>
      </c>
      <c r="Q9" s="2000">
        <v>94663.204516656668</v>
      </c>
      <c r="R9" s="2000">
        <v>93817.466093145558</v>
      </c>
      <c r="S9" s="1994">
        <v>145689.97523052312</v>
      </c>
      <c r="T9" s="1994">
        <v>280118.7374680342</v>
      </c>
      <c r="U9" s="1994">
        <v>235793.15306829137</v>
      </c>
      <c r="V9" s="1994">
        <v>142871.43178119036</v>
      </c>
      <c r="W9" s="1994">
        <v>274409.91073272354</v>
      </c>
      <c r="X9" s="1994">
        <v>157298.08509825033</v>
      </c>
      <c r="Y9" s="1994">
        <v>142909.36504955633</v>
      </c>
      <c r="Z9" s="1995">
        <v>58576.496774130013</v>
      </c>
      <c r="AA9" s="1995">
        <v>58688.554274617578</v>
      </c>
      <c r="AB9" s="1995">
        <v>158919.27904061961</v>
      </c>
      <c r="AC9" s="1995">
        <v>114845.63398472019</v>
      </c>
      <c r="AD9" s="1995">
        <v>133914.81301374803</v>
      </c>
      <c r="AE9" s="1995">
        <v>105492.63426583048</v>
      </c>
      <c r="AF9" s="1995">
        <v>157037.23334089326</v>
      </c>
      <c r="AG9" s="1995">
        <v>111682.83360675185</v>
      </c>
      <c r="AH9" s="1995">
        <v>98701.138300646053</v>
      </c>
      <c r="AI9" s="1995">
        <v>74210.86170344548</v>
      </c>
      <c r="AJ9" s="1995">
        <v>25117.14140140836</v>
      </c>
      <c r="AK9" s="1995">
        <v>189537.91599799559</v>
      </c>
      <c r="AL9" s="1907">
        <v>117498.55208349769</v>
      </c>
      <c r="AM9" s="1996"/>
      <c r="AN9" s="1997">
        <f t="shared" si="0"/>
        <v>12.152344367912541</v>
      </c>
      <c r="AO9" s="1998">
        <f t="shared" si="1"/>
        <v>11.674181289796788</v>
      </c>
      <c r="AP9" s="1990"/>
      <c r="AQ9" s="1990" t="s">
        <v>18</v>
      </c>
      <c r="AR9" s="1990"/>
      <c r="AS9" s="1990" t="s">
        <v>18</v>
      </c>
      <c r="AT9" s="1990" t="s">
        <v>18</v>
      </c>
      <c r="AU9" s="1990" t="s">
        <v>18</v>
      </c>
      <c r="AV9" s="1990"/>
      <c r="AW9" s="1990"/>
      <c r="AX9" s="1990"/>
      <c r="AY9" s="1990"/>
      <c r="AZ9" s="1990"/>
      <c r="BA9" s="1990" t="s">
        <v>18</v>
      </c>
      <c r="BB9" s="1990" t="s">
        <v>18</v>
      </c>
      <c r="BC9" s="1990" t="s">
        <v>18</v>
      </c>
      <c r="BD9" s="1990" t="s">
        <v>18</v>
      </c>
      <c r="BE9" s="1990" t="s">
        <v>18</v>
      </c>
      <c r="BF9" s="1990" t="s">
        <v>18</v>
      </c>
      <c r="BG9" s="1990" t="s">
        <v>18</v>
      </c>
      <c r="BH9" s="1990" t="s">
        <v>18</v>
      </c>
      <c r="BI9" s="1990" t="s">
        <v>18</v>
      </c>
    </row>
    <row r="10" spans="1:61" s="1883" customFormat="1" ht="10.199999999999999">
      <c r="A10" s="1991"/>
      <c r="B10" s="1999">
        <v>6</v>
      </c>
      <c r="C10" s="2000">
        <v>14893</v>
      </c>
      <c r="D10" s="2000">
        <v>15279</v>
      </c>
      <c r="E10" s="2000">
        <v>21722</v>
      </c>
      <c r="F10" s="2000">
        <v>18504</v>
      </c>
      <c r="G10" s="2000">
        <v>12400</v>
      </c>
      <c r="H10" s="2000">
        <v>24002</v>
      </c>
      <c r="I10" s="2000">
        <v>113357</v>
      </c>
      <c r="J10" s="2000">
        <v>41444</v>
      </c>
      <c r="K10" s="2000">
        <v>1783</v>
      </c>
      <c r="L10" s="2000">
        <v>64113</v>
      </c>
      <c r="M10" s="2000">
        <v>107894</v>
      </c>
      <c r="N10" s="2000">
        <v>72646</v>
      </c>
      <c r="O10" s="2000">
        <v>55764</v>
      </c>
      <c r="P10" s="2000">
        <v>34345.742476164196</v>
      </c>
      <c r="Q10" s="2000">
        <v>25198.590388132194</v>
      </c>
      <c r="R10" s="2000">
        <v>72454.699315875594</v>
      </c>
      <c r="S10" s="1994">
        <v>35657.526884588347</v>
      </c>
      <c r="T10" s="1994">
        <v>153909.29471071577</v>
      </c>
      <c r="U10" s="1994">
        <v>127839.5160941369</v>
      </c>
      <c r="V10" s="1994">
        <v>93724.483406905769</v>
      </c>
      <c r="W10" s="1994">
        <v>178621.82299540003</v>
      </c>
      <c r="X10" s="1994">
        <v>81765.880889446664</v>
      </c>
      <c r="Y10" s="1994">
        <v>90743.546054017599</v>
      </c>
      <c r="Z10" s="1995">
        <v>38014.339835893727</v>
      </c>
      <c r="AA10" s="1995">
        <v>38177.438311801721</v>
      </c>
      <c r="AB10" s="1995">
        <v>112714.9831535212</v>
      </c>
      <c r="AC10" s="1995">
        <v>94476.489579365254</v>
      </c>
      <c r="AD10" s="1995">
        <v>130529.2654651659</v>
      </c>
      <c r="AE10" s="1995">
        <v>64020.379136919866</v>
      </c>
      <c r="AF10" s="1995">
        <v>93560.902653825047</v>
      </c>
      <c r="AG10" s="1995">
        <v>101700.17052995737</v>
      </c>
      <c r="AH10" s="1995">
        <v>27265.181628323826</v>
      </c>
      <c r="AI10" s="1995">
        <v>26106.053151539341</v>
      </c>
      <c r="AJ10" s="1995">
        <v>12743.574218350112</v>
      </c>
      <c r="AK10" s="1995">
        <v>31661.599970393465</v>
      </c>
      <c r="AL10" s="1907">
        <v>26868.964166074849</v>
      </c>
      <c r="AM10" s="1996"/>
      <c r="AN10" s="1997">
        <f t="shared" si="0"/>
        <v>10.362859868178109</v>
      </c>
      <c r="AO10" s="1998">
        <f t="shared" si="1"/>
        <v>10.198727151036731</v>
      </c>
      <c r="AP10" s="1990"/>
      <c r="AQ10" s="1990" t="s">
        <v>18</v>
      </c>
      <c r="AR10" s="1990"/>
      <c r="AS10" s="1990" t="s">
        <v>18</v>
      </c>
      <c r="AT10" s="1990" t="s">
        <v>18</v>
      </c>
      <c r="AU10" s="1990" t="s">
        <v>18</v>
      </c>
      <c r="AV10" s="1990"/>
      <c r="AW10" s="1990"/>
      <c r="AX10" s="1990"/>
      <c r="AY10" s="1990"/>
      <c r="AZ10" s="1990"/>
      <c r="BA10" s="1990"/>
      <c r="BB10" s="1990"/>
      <c r="BC10" s="1990"/>
      <c r="BD10" s="1990"/>
      <c r="BE10" s="1990"/>
      <c r="BF10" s="1990"/>
      <c r="BG10" s="1990"/>
      <c r="BH10" s="1990"/>
      <c r="BI10" s="1990"/>
    </row>
    <row r="11" spans="1:61" s="1883" customFormat="1" ht="10.199999999999999">
      <c r="A11" s="1991"/>
      <c r="B11" s="1999">
        <v>7</v>
      </c>
      <c r="C11" s="2000">
        <v>1492</v>
      </c>
      <c r="D11" s="2000">
        <v>3692</v>
      </c>
      <c r="E11" s="2000">
        <v>7599</v>
      </c>
      <c r="F11" s="2000">
        <v>6611</v>
      </c>
      <c r="G11" s="2000">
        <v>4429</v>
      </c>
      <c r="H11" s="2000">
        <v>11916</v>
      </c>
      <c r="I11" s="2000">
        <v>65982</v>
      </c>
      <c r="J11" s="2000">
        <v>27841</v>
      </c>
      <c r="K11" s="2000">
        <v>1528</v>
      </c>
      <c r="L11" s="2000">
        <v>42040</v>
      </c>
      <c r="M11" s="2000">
        <v>55660</v>
      </c>
      <c r="N11" s="2000">
        <v>56142</v>
      </c>
      <c r="O11" s="2000">
        <v>34046</v>
      </c>
      <c r="P11" s="2000">
        <v>28749.774601939553</v>
      </c>
      <c r="Q11" s="2000">
        <v>5577.5604479845515</v>
      </c>
      <c r="R11" s="2000">
        <v>32995.501223958468</v>
      </c>
      <c r="S11" s="1994">
        <v>4107.1294284661517</v>
      </c>
      <c r="T11" s="1994">
        <v>33878.758443608342</v>
      </c>
      <c r="U11" s="1994">
        <v>54752.608157786213</v>
      </c>
      <c r="V11" s="1994">
        <v>30715.726262561242</v>
      </c>
      <c r="W11" s="1994">
        <v>107463.71871175933</v>
      </c>
      <c r="X11" s="1994">
        <v>48302.365804580892</v>
      </c>
      <c r="Y11" s="1994">
        <v>31452.444214457959</v>
      </c>
      <c r="Z11" s="1995">
        <v>17557.299776350716</v>
      </c>
      <c r="AA11" s="1995">
        <v>17500.767218364235</v>
      </c>
      <c r="AB11" s="1995">
        <v>75487.97929782416</v>
      </c>
      <c r="AC11" s="1995">
        <v>69916.75449253431</v>
      </c>
      <c r="AD11" s="1995">
        <v>78193.887109536779</v>
      </c>
      <c r="AE11" s="1995">
        <v>29729.619129193983</v>
      </c>
      <c r="AF11" s="1995">
        <v>38022.977183140269</v>
      </c>
      <c r="AG11" s="1995">
        <v>40058.016749385941</v>
      </c>
      <c r="AH11" s="1995">
        <v>8467.5575291221776</v>
      </c>
      <c r="AI11" s="1995">
        <v>7194.5173194106092</v>
      </c>
      <c r="AJ11" s="1995">
        <v>4444.444752233645</v>
      </c>
      <c r="AK11" s="1995">
        <v>8408.8841382674182</v>
      </c>
      <c r="AL11" s="1907">
        <v>4001.525737039161</v>
      </c>
      <c r="AM11" s="1996"/>
      <c r="AN11" s="1997">
        <f t="shared" si="0"/>
        <v>9.0370440614370384</v>
      </c>
      <c r="AO11" s="1998">
        <f t="shared" si="1"/>
        <v>8.2944310016342637</v>
      </c>
      <c r="AP11" s="1990"/>
      <c r="AQ11" s="1990" t="s">
        <v>18</v>
      </c>
      <c r="AR11" s="1990"/>
      <c r="AS11" s="1990" t="s">
        <v>18</v>
      </c>
      <c r="AT11" s="1990" t="s">
        <v>18</v>
      </c>
      <c r="AU11" s="1990" t="s">
        <v>18</v>
      </c>
      <c r="AV11" s="1990"/>
      <c r="AW11" s="1990"/>
      <c r="AX11" s="1990"/>
      <c r="AY11" s="1990"/>
      <c r="AZ11" s="1990"/>
      <c r="BA11" s="1990"/>
      <c r="BB11" s="1990"/>
      <c r="BC11" s="1990"/>
      <c r="BD11" s="1990"/>
      <c r="BE11" s="1990"/>
      <c r="BF11" s="1990"/>
      <c r="BG11" s="1990"/>
      <c r="BH11" s="1990"/>
      <c r="BI11" s="1990"/>
    </row>
    <row r="12" spans="1:61" s="1883" customFormat="1" ht="10.199999999999999">
      <c r="A12" s="1991"/>
      <c r="B12" s="1999" t="s">
        <v>686</v>
      </c>
      <c r="C12" s="2000">
        <v>254</v>
      </c>
      <c r="D12" s="2000">
        <v>694</v>
      </c>
      <c r="E12" s="2000">
        <v>4210</v>
      </c>
      <c r="F12" s="2000">
        <v>4427</v>
      </c>
      <c r="G12" s="2000">
        <v>2952</v>
      </c>
      <c r="H12" s="2000">
        <v>7575</v>
      </c>
      <c r="I12" s="2000">
        <v>11228</v>
      </c>
      <c r="J12" s="2000">
        <v>11527</v>
      </c>
      <c r="K12" s="2000">
        <v>1769</v>
      </c>
      <c r="L12" s="2000">
        <v>26494</v>
      </c>
      <c r="M12" s="2000">
        <v>59365</v>
      </c>
      <c r="N12" s="2000">
        <v>48022</v>
      </c>
      <c r="O12" s="2000">
        <v>39578</v>
      </c>
      <c r="P12" s="2000">
        <v>47200.564790361386</v>
      </c>
      <c r="Q12" s="2000">
        <v>12743.861973974837</v>
      </c>
      <c r="R12" s="2000">
        <v>33824.141401134599</v>
      </c>
      <c r="S12" s="1994">
        <v>329.81471387055683</v>
      </c>
      <c r="T12" s="1994">
        <v>5597.321375794917</v>
      </c>
      <c r="U12" s="1994">
        <v>12451.769329838253</v>
      </c>
      <c r="V12" s="1994">
        <v>7543.3769378292636</v>
      </c>
      <c r="W12" s="1994">
        <v>61412.389109769814</v>
      </c>
      <c r="X12" s="1994">
        <v>13760.657266474222</v>
      </c>
      <c r="Y12" s="1994">
        <v>8421.0824548627443</v>
      </c>
      <c r="Z12" s="1995">
        <v>6893.4479495404812</v>
      </c>
      <c r="AA12" s="1995">
        <v>6904.9926403552963</v>
      </c>
      <c r="AB12" s="1995">
        <v>22953.146931994434</v>
      </c>
      <c r="AC12" s="1995">
        <v>35781.663493444023</v>
      </c>
      <c r="AD12" s="1995">
        <v>59918.090648075755</v>
      </c>
      <c r="AE12" s="1995">
        <v>24672.759094754765</v>
      </c>
      <c r="AF12" s="1995">
        <v>7880.67061756361</v>
      </c>
      <c r="AG12" s="1995">
        <v>66737.726518628988</v>
      </c>
      <c r="AH12" s="1995">
        <v>3617.0217296378751</v>
      </c>
      <c r="AI12" s="1995">
        <v>3627.9563944986776</v>
      </c>
      <c r="AJ12" s="1995">
        <v>1847.10760215646</v>
      </c>
      <c r="AK12" s="1995">
        <v>5158.2404571261413</v>
      </c>
      <c r="AL12" s="1907">
        <v>524.82938170288992</v>
      </c>
      <c r="AM12" s="1996"/>
      <c r="AN12" s="1997">
        <f t="shared" si="0"/>
        <v>8.5483508036420393</v>
      </c>
      <c r="AO12" s="1998">
        <f t="shared" si="1"/>
        <v>6.263073222539238</v>
      </c>
      <c r="AP12" s="1990"/>
      <c r="AQ12" s="1990" t="s">
        <v>18</v>
      </c>
      <c r="AR12" s="1990"/>
      <c r="AS12" s="1990" t="s">
        <v>18</v>
      </c>
      <c r="AT12" s="1990" t="s">
        <v>18</v>
      </c>
      <c r="AU12" s="1990" t="s">
        <v>18</v>
      </c>
      <c r="AV12" s="1990"/>
      <c r="AW12" s="1990"/>
      <c r="AX12" s="1990"/>
      <c r="AY12" s="1990"/>
      <c r="AZ12" s="1990"/>
      <c r="BA12" s="1990"/>
      <c r="BB12" s="1990"/>
      <c r="BC12" s="1990"/>
      <c r="BD12" s="1990"/>
      <c r="BE12" s="1990"/>
      <c r="BF12" s="1990"/>
      <c r="BG12" s="1990"/>
      <c r="BH12" s="1990"/>
      <c r="BI12" s="1990"/>
    </row>
    <row r="13" spans="1:61" s="1883" customFormat="1" ht="10.199999999999999">
      <c r="A13" s="1991"/>
      <c r="B13" s="1999" t="s">
        <v>643</v>
      </c>
      <c r="C13" s="2000">
        <v>161037</v>
      </c>
      <c r="D13" s="2000">
        <v>324793</v>
      </c>
      <c r="E13" s="2000">
        <v>512535</v>
      </c>
      <c r="F13" s="2000">
        <v>437912</v>
      </c>
      <c r="G13" s="2000">
        <v>321795</v>
      </c>
      <c r="H13" s="2000">
        <v>319976</v>
      </c>
      <c r="I13" s="2000">
        <v>265581</v>
      </c>
      <c r="J13" s="2000">
        <v>215097</v>
      </c>
      <c r="K13" s="2000">
        <v>65992</v>
      </c>
      <c r="L13" s="2000">
        <v>211747</v>
      </c>
      <c r="M13" s="2000">
        <v>520963</v>
      </c>
      <c r="N13" s="2000">
        <v>806665</v>
      </c>
      <c r="O13" s="2000">
        <v>485752</v>
      </c>
      <c r="P13" s="2000">
        <f>SUM(P5:P12)</f>
        <v>272799.45688704454</v>
      </c>
      <c r="Q13" s="2000">
        <f t="shared" ref="Q13:X13" si="2">SUM(Q4:Q12)</f>
        <v>1177355.4887667084</v>
      </c>
      <c r="R13" s="2000">
        <f>SUM(R4:R12)</f>
        <v>728870.54290730879</v>
      </c>
      <c r="S13" s="2000">
        <v>832667</v>
      </c>
      <c r="T13" s="2000">
        <v>65992</v>
      </c>
      <c r="U13" s="2000">
        <v>211747</v>
      </c>
      <c r="V13" s="1994">
        <f t="shared" si="2"/>
        <v>1378493.4877173542</v>
      </c>
      <c r="W13" s="1994">
        <f t="shared" si="2"/>
        <v>1159238.4320265802</v>
      </c>
      <c r="X13" s="1994">
        <f t="shared" si="2"/>
        <v>1361783.5686082197</v>
      </c>
      <c r="Y13" s="1994">
        <v>762145.06877311226</v>
      </c>
      <c r="Z13" s="2001">
        <v>647245.90393582953</v>
      </c>
      <c r="AA13" s="2001">
        <v>644417.50662358501</v>
      </c>
      <c r="AB13" s="2001">
        <v>677484.81889252923</v>
      </c>
      <c r="AC13" s="2001">
        <v>611830.44006354688</v>
      </c>
      <c r="AD13" s="2001">
        <f t="shared" ref="AD13:AL13" si="3">SUM(AD4:AD12)</f>
        <v>656507.54101327551</v>
      </c>
      <c r="AE13" s="2001">
        <f t="shared" si="3"/>
        <v>796889.81386310142</v>
      </c>
      <c r="AF13" s="2001">
        <f t="shared" si="3"/>
        <v>777970.03700504184</v>
      </c>
      <c r="AG13" s="2001">
        <f t="shared" si="3"/>
        <v>1091787.7919613172</v>
      </c>
      <c r="AH13" s="2001">
        <f t="shared" si="3"/>
        <v>820626.30171328248</v>
      </c>
      <c r="AI13" s="2001">
        <f t="shared" si="3"/>
        <v>1259775.7417026849</v>
      </c>
      <c r="AJ13" s="2001">
        <f t="shared" si="3"/>
        <v>980922.87537018035</v>
      </c>
      <c r="AK13" s="2001">
        <f t="shared" si="3"/>
        <v>2833217.0647605052</v>
      </c>
      <c r="AL13" s="2001">
        <f t="shared" si="3"/>
        <v>2485424.1523181074</v>
      </c>
      <c r="AM13" s="1996"/>
      <c r="AN13" s="1997" t="s">
        <v>18</v>
      </c>
      <c r="AO13" s="2002" t="s">
        <v>18</v>
      </c>
      <c r="AP13" s="1990"/>
      <c r="AQ13" s="1990"/>
      <c r="AR13" s="1990"/>
      <c r="AS13" s="1990"/>
      <c r="AT13" s="1990"/>
      <c r="AU13" s="1990" t="s">
        <v>18</v>
      </c>
      <c r="AV13" s="1990"/>
      <c r="AW13" s="1990" t="s">
        <v>18</v>
      </c>
      <c r="AX13" s="1990"/>
      <c r="AY13" s="1990"/>
      <c r="AZ13" s="1990"/>
      <c r="BA13" s="1990"/>
      <c r="BB13" s="1990"/>
      <c r="BC13" s="1990"/>
      <c r="BD13" s="1990"/>
      <c r="BE13" s="1990"/>
      <c r="BF13" s="1990"/>
      <c r="BG13" s="1990"/>
      <c r="BH13" s="1990"/>
      <c r="BI13" s="1990"/>
    </row>
    <row r="14" spans="1:61" s="1883" customFormat="1" ht="10.199999999999999">
      <c r="A14" s="2003"/>
      <c r="B14" s="1999" t="s">
        <v>383</v>
      </c>
      <c r="C14" s="2000">
        <v>59040</v>
      </c>
      <c r="D14" s="2000">
        <v>99396</v>
      </c>
      <c r="E14" s="2000">
        <v>120130</v>
      </c>
      <c r="F14" s="2000">
        <v>105902</v>
      </c>
      <c r="G14" s="2000">
        <v>73291</v>
      </c>
      <c r="H14" s="2000">
        <v>121697</v>
      </c>
      <c r="I14" s="2000">
        <v>90619</v>
      </c>
      <c r="J14" s="2004">
        <v>72737</v>
      </c>
      <c r="K14" s="2004">
        <v>122720</v>
      </c>
      <c r="L14" s="2004">
        <v>84145</v>
      </c>
      <c r="M14" s="2004">
        <v>171906</v>
      </c>
      <c r="N14" s="2004">
        <v>210043</v>
      </c>
      <c r="O14" s="2004">
        <v>168339</v>
      </c>
      <c r="P14" s="2004">
        <v>100624.0815439751</v>
      </c>
      <c r="Q14" s="2004">
        <v>178950.7518672554</v>
      </c>
      <c r="R14" s="2004">
        <v>190300</v>
      </c>
      <c r="S14" s="1994">
        <v>256698.18287326588</v>
      </c>
      <c r="T14" s="1994">
        <v>307041.5</v>
      </c>
      <c r="U14" s="1994">
        <v>401397.02</v>
      </c>
      <c r="V14" s="1994">
        <v>346996</v>
      </c>
      <c r="W14" s="1994">
        <v>352344</v>
      </c>
      <c r="X14" s="1994">
        <v>257200</v>
      </c>
      <c r="Y14" s="1994">
        <v>173484.08404699809</v>
      </c>
      <c r="Z14" s="1994">
        <v>139663.5</v>
      </c>
      <c r="AA14" s="2005">
        <v>222067</v>
      </c>
      <c r="AB14" s="1994">
        <v>207364.69373852111</v>
      </c>
      <c r="AC14" s="1994">
        <v>235845.42578400002</v>
      </c>
      <c r="AD14" s="2006">
        <v>231562.92250039999</v>
      </c>
      <c r="AE14" s="2007">
        <v>167913.84722000003</v>
      </c>
      <c r="AF14" s="2001">
        <v>245224.37228000001</v>
      </c>
      <c r="AG14" s="2001">
        <v>226458.89181257371</v>
      </c>
      <c r="AH14" s="2001">
        <v>155859.96599070966</v>
      </c>
      <c r="AI14" s="2006">
        <v>167646.2809704651</v>
      </c>
      <c r="AJ14" s="2007">
        <v>136570.68899456397</v>
      </c>
      <c r="AK14" s="2006">
        <v>317012.26123695599</v>
      </c>
      <c r="AL14" s="1908">
        <v>357359.69416174496</v>
      </c>
      <c r="AM14" s="1996"/>
      <c r="AN14" s="1990"/>
      <c r="AO14" s="1990" t="s">
        <v>18</v>
      </c>
      <c r="AP14" s="1990"/>
      <c r="AQ14" s="1990"/>
      <c r="AR14" s="1990"/>
      <c r="AS14" s="1990"/>
      <c r="AT14" s="1990"/>
      <c r="AU14" s="1990" t="s">
        <v>18</v>
      </c>
      <c r="AV14" s="1990"/>
      <c r="AW14" s="1990"/>
      <c r="AX14" s="1990"/>
      <c r="AY14" s="1990"/>
      <c r="AZ14" s="1990"/>
      <c r="BA14" s="1990"/>
      <c r="BB14" s="1990"/>
      <c r="BC14" s="1990"/>
      <c r="BD14" s="1990"/>
      <c r="BE14" s="1990"/>
      <c r="BF14" s="1990"/>
      <c r="BG14" s="1990"/>
      <c r="BH14" s="1990"/>
      <c r="BI14" s="1990"/>
    </row>
    <row r="15" spans="1:61" s="1883" customFormat="1" ht="10.199999999999999">
      <c r="A15" s="1990"/>
      <c r="B15" s="1911" t="s">
        <v>687</v>
      </c>
      <c r="C15" s="2008">
        <v>59040</v>
      </c>
      <c r="D15" s="2008">
        <v>99396</v>
      </c>
      <c r="E15" s="2008">
        <v>120131</v>
      </c>
      <c r="F15" s="2008">
        <v>105902</v>
      </c>
      <c r="G15" s="2008">
        <v>73291</v>
      </c>
      <c r="H15" s="2008">
        <v>121697</v>
      </c>
      <c r="I15" s="2008">
        <v>90619</v>
      </c>
      <c r="J15" s="2009">
        <v>72813</v>
      </c>
      <c r="K15" s="2009">
        <v>122632</v>
      </c>
      <c r="L15" s="2009">
        <v>83845</v>
      </c>
      <c r="M15" s="2009">
        <v>172113</v>
      </c>
      <c r="N15" s="2009">
        <v>211983</v>
      </c>
      <c r="O15" s="2009">
        <v>153849</v>
      </c>
      <c r="P15" s="2009">
        <v>101375.25757759484</v>
      </c>
      <c r="Q15" s="2009">
        <v>181620.68434518093</v>
      </c>
      <c r="R15" s="2009">
        <v>272334.31854736165</v>
      </c>
      <c r="S15" s="2008">
        <v>256698.18287326588</v>
      </c>
      <c r="T15" s="2008">
        <v>307041.5</v>
      </c>
      <c r="U15" s="2008">
        <v>401397.02</v>
      </c>
      <c r="V15" s="2008">
        <v>346996</v>
      </c>
      <c r="W15" s="2008">
        <v>352344</v>
      </c>
      <c r="X15" s="2008">
        <v>257200</v>
      </c>
      <c r="Y15" s="2008">
        <v>173484.08404699809</v>
      </c>
      <c r="Z15" s="2008">
        <v>139663.5</v>
      </c>
      <c r="AA15" s="2009">
        <v>223014.43212262643</v>
      </c>
      <c r="AB15" s="2008">
        <v>207364.69373852108</v>
      </c>
      <c r="AC15" s="2008">
        <v>235845.42578400002</v>
      </c>
      <c r="AD15" s="2009">
        <v>234736.76780159998</v>
      </c>
      <c r="AE15" s="2009">
        <v>204882.50534000003</v>
      </c>
      <c r="AF15" s="2008">
        <v>245224.37228000001</v>
      </c>
      <c r="AG15" s="2008">
        <v>226458.89181257371</v>
      </c>
      <c r="AH15" s="2008">
        <v>155859.96599070966</v>
      </c>
      <c r="AI15" s="1909">
        <v>197669.52289788151</v>
      </c>
      <c r="AJ15" s="1909">
        <v>152978.74915935253</v>
      </c>
      <c r="AK15" s="1909">
        <v>348116.21024871984</v>
      </c>
      <c r="AL15" s="1909"/>
      <c r="AM15" s="1910"/>
      <c r="AN15" s="1990"/>
      <c r="AO15" s="1990"/>
      <c r="AP15" s="1990"/>
      <c r="AQ15" s="1990"/>
      <c r="AR15" s="1990"/>
      <c r="AS15" s="1990"/>
      <c r="AT15" s="1990"/>
      <c r="AU15" s="1990" t="s">
        <v>18</v>
      </c>
      <c r="AV15" s="1990"/>
      <c r="AW15" s="1990"/>
      <c r="AX15" s="1990"/>
      <c r="AY15" s="1990"/>
      <c r="AZ15" s="1990"/>
      <c r="BA15" s="1990"/>
      <c r="BB15" s="1990"/>
      <c r="BC15" s="1990"/>
      <c r="BD15" s="1990"/>
      <c r="BE15" s="1990"/>
      <c r="BF15" s="1990"/>
      <c r="BG15" s="1990"/>
      <c r="BH15" s="1990"/>
      <c r="BI15" s="1990"/>
    </row>
    <row r="16" spans="1:61" s="1886" customFormat="1" ht="10.199999999999999">
      <c r="C16" s="1884">
        <f>C14-C15</f>
        <v>0</v>
      </c>
      <c r="D16" s="1884">
        <f t="shared" ref="D16:AK16" si="4">D14-D15</f>
        <v>0</v>
      </c>
      <c r="E16" s="1884">
        <f t="shared" si="4"/>
        <v>-1</v>
      </c>
      <c r="F16" s="1884">
        <f t="shared" si="4"/>
        <v>0</v>
      </c>
      <c r="G16" s="1884">
        <f t="shared" si="4"/>
        <v>0</v>
      </c>
      <c r="H16" s="1884">
        <f t="shared" si="4"/>
        <v>0</v>
      </c>
      <c r="I16" s="1884">
        <f t="shared" si="4"/>
        <v>0</v>
      </c>
      <c r="J16" s="1885">
        <f t="shared" si="4"/>
        <v>-76</v>
      </c>
      <c r="K16" s="1885">
        <f t="shared" si="4"/>
        <v>88</v>
      </c>
      <c r="L16" s="1885">
        <f t="shared" si="4"/>
        <v>300</v>
      </c>
      <c r="M16" s="1885">
        <f t="shared" si="4"/>
        <v>-207</v>
      </c>
      <c r="N16" s="1885">
        <f t="shared" si="4"/>
        <v>-1940</v>
      </c>
      <c r="O16" s="1885">
        <f t="shared" si="4"/>
        <v>14490</v>
      </c>
      <c r="P16" s="1885">
        <f t="shared" si="4"/>
        <v>-751.17603361973306</v>
      </c>
      <c r="Q16" s="1885">
        <f t="shared" si="4"/>
        <v>-2669.9324779255257</v>
      </c>
      <c r="R16" s="1885">
        <f t="shared" si="4"/>
        <v>-82034.318547361647</v>
      </c>
      <c r="S16" s="1884">
        <f t="shared" si="4"/>
        <v>0</v>
      </c>
      <c r="T16" s="1884">
        <f t="shared" si="4"/>
        <v>0</v>
      </c>
      <c r="U16" s="1884">
        <f t="shared" si="4"/>
        <v>0</v>
      </c>
      <c r="V16" s="1884">
        <f t="shared" si="4"/>
        <v>0</v>
      </c>
      <c r="W16" s="1884">
        <f t="shared" si="4"/>
        <v>0</v>
      </c>
      <c r="X16" s="1884">
        <f t="shared" si="4"/>
        <v>0</v>
      </c>
      <c r="Y16" s="1884">
        <f t="shared" si="4"/>
        <v>0</v>
      </c>
      <c r="Z16" s="1884">
        <f t="shared" si="4"/>
        <v>0</v>
      </c>
      <c r="AA16" s="1885">
        <f t="shared" si="4"/>
        <v>-947.43212262642919</v>
      </c>
      <c r="AB16" s="1884">
        <f t="shared" si="4"/>
        <v>0</v>
      </c>
      <c r="AC16" s="1884">
        <f t="shared" si="4"/>
        <v>0</v>
      </c>
      <c r="AD16" s="1885">
        <f t="shared" si="4"/>
        <v>-3173.8453011999954</v>
      </c>
      <c r="AE16" s="1885">
        <f t="shared" si="4"/>
        <v>-36968.658120000007</v>
      </c>
      <c r="AF16" s="1884">
        <f t="shared" si="4"/>
        <v>0</v>
      </c>
      <c r="AG16" s="1884">
        <f t="shared" si="4"/>
        <v>0</v>
      </c>
      <c r="AH16" s="1884">
        <f t="shared" si="4"/>
        <v>0</v>
      </c>
      <c r="AI16" s="1885">
        <f t="shared" si="4"/>
        <v>-30023.241927416413</v>
      </c>
      <c r="AJ16" s="1885">
        <f t="shared" si="4"/>
        <v>-16408.060164788563</v>
      </c>
      <c r="AK16" s="1885">
        <f t="shared" si="4"/>
        <v>-31103.949011763849</v>
      </c>
      <c r="AL16" s="1885">
        <f t="shared" ref="AL16" si="5">AL14-AL15</f>
        <v>357359.69416174496</v>
      </c>
      <c r="AM16" s="1884"/>
    </row>
    <row r="17" spans="3:54" s="1883" customFormat="1" ht="10.199999999999999">
      <c r="C17" s="1996">
        <f>C14*1000/C13</f>
        <v>366.62381937070364</v>
      </c>
      <c r="D17" s="1996">
        <f t="shared" ref="D17:AI17" si="6">D14*1000/D13</f>
        <v>306.02876293516181</v>
      </c>
      <c r="E17" s="1996">
        <f t="shared" si="6"/>
        <v>234.38399328826324</v>
      </c>
      <c r="F17" s="1996">
        <f t="shared" si="6"/>
        <v>241.833975775955</v>
      </c>
      <c r="G17" s="1996">
        <f t="shared" si="6"/>
        <v>227.75680169051725</v>
      </c>
      <c r="H17" s="1996">
        <f t="shared" si="6"/>
        <v>380.3316498737405</v>
      </c>
      <c r="I17" s="1996">
        <f t="shared" si="6"/>
        <v>341.2104028526137</v>
      </c>
      <c r="J17" s="1996">
        <f t="shared" si="6"/>
        <v>338.15906312035963</v>
      </c>
      <c r="K17" s="1996">
        <v>268</v>
      </c>
      <c r="L17" s="1996">
        <f t="shared" si="6"/>
        <v>397.38461465805892</v>
      </c>
      <c r="M17" s="1996">
        <f t="shared" si="6"/>
        <v>329.977368834255</v>
      </c>
      <c r="N17" s="1996">
        <f t="shared" si="6"/>
        <v>260.3844222818642</v>
      </c>
      <c r="O17" s="1996">
        <f t="shared" si="6"/>
        <v>346.55338526655578</v>
      </c>
      <c r="P17" s="1996">
        <f t="shared" si="6"/>
        <v>368.85733825210491</v>
      </c>
      <c r="Q17" s="1996">
        <f t="shared" si="6"/>
        <v>151.99381459095935</v>
      </c>
      <c r="R17" s="1996">
        <f t="shared" si="6"/>
        <v>261.08888862613924</v>
      </c>
      <c r="S17" s="1996">
        <f t="shared" si="6"/>
        <v>308.28432359306407</v>
      </c>
      <c r="T17" s="1996">
        <v>277</v>
      </c>
      <c r="U17" s="1996">
        <v>277</v>
      </c>
      <c r="V17" s="1996">
        <f t="shared" si="6"/>
        <v>251.72117466770936</v>
      </c>
      <c r="W17" s="1996">
        <f t="shared" si="6"/>
        <v>303.94437439762271</v>
      </c>
      <c r="X17" s="1996">
        <f t="shared" si="6"/>
        <v>188.86995402864602</v>
      </c>
      <c r="Y17" s="1996">
        <f t="shared" si="6"/>
        <v>227.62606642101576</v>
      </c>
      <c r="Z17" s="1996">
        <f t="shared" si="6"/>
        <v>215.78120332739377</v>
      </c>
      <c r="AA17" s="1996">
        <f t="shared" si="6"/>
        <v>344.60112848813873</v>
      </c>
      <c r="AB17" s="1996">
        <f t="shared" si="6"/>
        <v>306.08020719563279</v>
      </c>
      <c r="AC17" s="1996">
        <f t="shared" si="6"/>
        <v>385.47514203363971</v>
      </c>
      <c r="AD17" s="1996">
        <f t="shared" si="6"/>
        <v>352.71936426350578</v>
      </c>
      <c r="AE17" s="1996">
        <f t="shared" si="6"/>
        <v>210.71149900385868</v>
      </c>
      <c r="AF17" s="1996">
        <f t="shared" si="6"/>
        <v>315.21056160985637</v>
      </c>
      <c r="AG17" s="1996">
        <f t="shared" si="6"/>
        <v>207.42024547257193</v>
      </c>
      <c r="AH17" s="1996">
        <f t="shared" si="6"/>
        <v>189.92806550961043</v>
      </c>
      <c r="AI17" s="1996">
        <f t="shared" si="6"/>
        <v>133.07628923214389</v>
      </c>
      <c r="AJ17" s="1996">
        <f>AJ14*1000/AJ13</f>
        <v>139.22673476548803</v>
      </c>
      <c r="AK17" s="1996">
        <f>AK14*1000/AK13</f>
        <v>111.89127200310485</v>
      </c>
      <c r="AL17" s="1910">
        <f>AL14*1000/AL13</f>
        <v>143.782176506349</v>
      </c>
      <c r="AM17" s="1996"/>
      <c r="AN17" s="1996"/>
      <c r="AO17" s="1990"/>
      <c r="AP17" s="1990"/>
      <c r="AQ17" s="1990"/>
      <c r="AR17" s="1990"/>
      <c r="AS17" s="1990"/>
      <c r="AT17" s="1990"/>
      <c r="AU17" s="1990" t="s">
        <v>18</v>
      </c>
      <c r="AV17" s="1990"/>
      <c r="AW17" s="1990"/>
      <c r="AX17" s="1990"/>
      <c r="AY17" s="1990"/>
      <c r="AZ17" s="1990"/>
      <c r="BA17" s="1990"/>
      <c r="BB17" s="1990"/>
    </row>
    <row r="18" spans="3:54" s="1883" customFormat="1" ht="10.199999999999999">
      <c r="C18" s="1996">
        <f>AVERAGE(C17:AN17)</f>
        <v>269.74772455379457</v>
      </c>
      <c r="D18" s="1996">
        <f>$C$18</f>
        <v>269.74772455379457</v>
      </c>
      <c r="E18" s="1996">
        <f t="shared" ref="E18:AL18" si="7">$C$18</f>
        <v>269.74772455379457</v>
      </c>
      <c r="F18" s="1996">
        <f t="shared" si="7"/>
        <v>269.74772455379457</v>
      </c>
      <c r="G18" s="1996">
        <f t="shared" si="7"/>
        <v>269.74772455379457</v>
      </c>
      <c r="H18" s="1996">
        <f t="shared" si="7"/>
        <v>269.74772455379457</v>
      </c>
      <c r="I18" s="1996">
        <f t="shared" si="7"/>
        <v>269.74772455379457</v>
      </c>
      <c r="J18" s="1996">
        <f t="shared" si="7"/>
        <v>269.74772455379457</v>
      </c>
      <c r="K18" s="1996">
        <f t="shared" si="7"/>
        <v>269.74772455379457</v>
      </c>
      <c r="L18" s="1996">
        <f t="shared" si="7"/>
        <v>269.74772455379457</v>
      </c>
      <c r="M18" s="1996">
        <f t="shared" si="7"/>
        <v>269.74772455379457</v>
      </c>
      <c r="N18" s="1996">
        <f t="shared" si="7"/>
        <v>269.74772455379457</v>
      </c>
      <c r="O18" s="1996">
        <f t="shared" si="7"/>
        <v>269.74772455379457</v>
      </c>
      <c r="P18" s="1996">
        <f t="shared" si="7"/>
        <v>269.74772455379457</v>
      </c>
      <c r="Q18" s="1996">
        <f t="shared" si="7"/>
        <v>269.74772455379457</v>
      </c>
      <c r="R18" s="1996">
        <f t="shared" si="7"/>
        <v>269.74772455379457</v>
      </c>
      <c r="S18" s="1996">
        <f>$C$18</f>
        <v>269.74772455379457</v>
      </c>
      <c r="T18" s="1996">
        <f t="shared" si="7"/>
        <v>269.74772455379457</v>
      </c>
      <c r="U18" s="1996">
        <f t="shared" si="7"/>
        <v>269.74772455379457</v>
      </c>
      <c r="V18" s="1996">
        <f t="shared" si="7"/>
        <v>269.74772455379457</v>
      </c>
      <c r="W18" s="1996">
        <f t="shared" si="7"/>
        <v>269.74772455379457</v>
      </c>
      <c r="X18" s="1996">
        <f t="shared" si="7"/>
        <v>269.74772455379457</v>
      </c>
      <c r="Y18" s="1996">
        <f t="shared" si="7"/>
        <v>269.74772455379457</v>
      </c>
      <c r="Z18" s="1996">
        <f t="shared" si="7"/>
        <v>269.74772455379457</v>
      </c>
      <c r="AA18" s="1996">
        <f t="shared" si="7"/>
        <v>269.74772455379457</v>
      </c>
      <c r="AB18" s="1996">
        <f t="shared" si="7"/>
        <v>269.74772455379457</v>
      </c>
      <c r="AC18" s="1996">
        <f>$C$18</f>
        <v>269.74772455379457</v>
      </c>
      <c r="AD18" s="1996">
        <f t="shared" si="7"/>
        <v>269.74772455379457</v>
      </c>
      <c r="AE18" s="1996">
        <f t="shared" si="7"/>
        <v>269.74772455379457</v>
      </c>
      <c r="AF18" s="1996">
        <f t="shared" si="7"/>
        <v>269.74772455379457</v>
      </c>
      <c r="AG18" s="1996">
        <f t="shared" si="7"/>
        <v>269.74772455379457</v>
      </c>
      <c r="AH18" s="1996">
        <f t="shared" si="7"/>
        <v>269.74772455379457</v>
      </c>
      <c r="AI18" s="1996">
        <f t="shared" si="7"/>
        <v>269.74772455379457</v>
      </c>
      <c r="AJ18" s="1996">
        <f t="shared" si="7"/>
        <v>269.74772455379457</v>
      </c>
      <c r="AK18" s="1996">
        <f t="shared" si="7"/>
        <v>269.74772455379457</v>
      </c>
      <c r="AL18" s="1910">
        <f t="shared" si="7"/>
        <v>269.74772455379457</v>
      </c>
      <c r="AM18" s="1996"/>
      <c r="AN18" s="1996"/>
      <c r="AO18" s="1990"/>
      <c r="AP18" s="1990"/>
      <c r="AQ18" s="1990"/>
      <c r="AR18" s="1990"/>
      <c r="AS18" s="1990"/>
      <c r="AT18" s="1990"/>
      <c r="AU18" s="1990" t="s">
        <v>18</v>
      </c>
      <c r="AV18" s="1990"/>
      <c r="AW18" s="1990"/>
      <c r="AX18" s="1990"/>
      <c r="AY18" s="1990"/>
      <c r="AZ18" s="1990"/>
      <c r="BA18" s="1990"/>
      <c r="BB18" s="1990"/>
    </row>
    <row r="19" spans="3:54">
      <c r="D19" s="36" t="s">
        <v>688</v>
      </c>
      <c r="P19" s="37" t="s">
        <v>689</v>
      </c>
      <c r="W19" s="36"/>
      <c r="X19" s="66"/>
      <c r="Y19" s="66"/>
      <c r="AN19" s="687"/>
      <c r="AU19" s="37" t="s">
        <v>18</v>
      </c>
    </row>
    <row r="20" spans="3:54">
      <c r="P20" s="36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37" t="s">
        <v>18</v>
      </c>
      <c r="AN20" s="687"/>
      <c r="AU20" s="37" t="s">
        <v>18</v>
      </c>
    </row>
    <row r="21" spans="3:54" ht="13.8">
      <c r="O21" s="31"/>
      <c r="P21" s="1458" t="s">
        <v>572</v>
      </c>
      <c r="Q21" s="1458" t="s">
        <v>573</v>
      </c>
      <c r="R21" s="1458" t="s">
        <v>574</v>
      </c>
      <c r="S21" s="1458" t="s">
        <v>575</v>
      </c>
      <c r="T21" s="1458" t="s">
        <v>576</v>
      </c>
      <c r="U21" s="1458" t="s">
        <v>577</v>
      </c>
      <c r="V21" s="1458" t="s">
        <v>578</v>
      </c>
      <c r="W21" s="1458" t="s">
        <v>579</v>
      </c>
      <c r="Y21" s="125"/>
      <c r="Z21" s="126"/>
      <c r="AA21" s="126"/>
      <c r="AB21" s="126"/>
      <c r="AC21" s="126"/>
      <c r="AD21" s="126"/>
      <c r="AE21" s="126"/>
      <c r="AF21" s="126"/>
      <c r="AG21" s="126"/>
      <c r="AH21" s="126"/>
      <c r="AN21" s="687"/>
      <c r="AU21" s="37" t="s">
        <v>18</v>
      </c>
    </row>
    <row r="22" spans="3:54" ht="18">
      <c r="C22" s="146"/>
      <c r="O22" s="1470">
        <v>1990</v>
      </c>
      <c r="P22" s="1462">
        <v>3.6375861597263901</v>
      </c>
      <c r="Q22" s="1463">
        <v>10.900399286377899</v>
      </c>
      <c r="R22" s="1463">
        <v>11.356704309854219</v>
      </c>
      <c r="S22" s="1463">
        <v>10.607154208886223</v>
      </c>
      <c r="T22" s="1463">
        <v>10.16504379833675</v>
      </c>
      <c r="U22" s="1463">
        <v>10.085892439191387</v>
      </c>
      <c r="V22" s="1463">
        <v>11.097137256538989</v>
      </c>
      <c r="W22" s="1464">
        <v>9.3524473886010124</v>
      </c>
      <c r="Y22" s="125"/>
      <c r="Z22" s="126"/>
      <c r="AA22" s="126"/>
      <c r="AB22" s="126"/>
      <c r="AC22" s="126"/>
      <c r="AD22" s="126"/>
      <c r="AE22" s="126"/>
      <c r="AF22" s="126"/>
      <c r="AG22" s="126"/>
      <c r="AH22" s="126"/>
      <c r="AN22" s="687"/>
      <c r="AU22" s="37" t="s">
        <v>18</v>
      </c>
    </row>
    <row r="23" spans="3:54" ht="13.8">
      <c r="O23" s="1470">
        <v>1991</v>
      </c>
      <c r="P23" s="1462">
        <v>9.4475446069387274</v>
      </c>
      <c r="Q23" s="1463">
        <v>12.423568277331782</v>
      </c>
      <c r="R23" s="1463">
        <v>11.476479299198095</v>
      </c>
      <c r="S23" s="1463">
        <v>10.209537399846088</v>
      </c>
      <c r="T23" s="1463">
        <v>10.94353455583153</v>
      </c>
      <c r="U23" s="1463">
        <v>11.638297409653047</v>
      </c>
      <c r="V23" s="1463">
        <v>10.234265033343494</v>
      </c>
      <c r="W23" s="1464">
        <v>7.4781696941597851</v>
      </c>
      <c r="Y23" s="125"/>
      <c r="Z23" s="126"/>
      <c r="AA23" s="126"/>
      <c r="AB23" s="126"/>
      <c r="AC23" s="126"/>
      <c r="AD23" s="126"/>
      <c r="AE23" s="126"/>
      <c r="AF23" s="126"/>
      <c r="AG23" s="126"/>
      <c r="AH23" s="126"/>
      <c r="AN23" s="687"/>
    </row>
    <row r="24" spans="3:54" ht="13.8">
      <c r="O24" s="1470">
        <v>1992</v>
      </c>
      <c r="P24" s="1462">
        <v>10.908777683972865</v>
      </c>
      <c r="Q24" s="1463">
        <v>12.149401759887862</v>
      </c>
      <c r="R24" s="1463">
        <v>11.081373022098745</v>
      </c>
      <c r="S24" s="1463">
        <v>11.618392974903964</v>
      </c>
      <c r="T24" s="1463">
        <v>10.400984746090787</v>
      </c>
      <c r="U24" s="1463">
        <v>10.632098397371642</v>
      </c>
      <c r="V24" s="1463">
        <v>7.3317149697264661</v>
      </c>
      <c r="W24" s="1464">
        <v>10.184673571244208</v>
      </c>
      <c r="Y24" s="125"/>
      <c r="Z24" s="126"/>
      <c r="AA24" s="126"/>
      <c r="AB24" s="126"/>
      <c r="AC24" s="126"/>
      <c r="AD24" s="126"/>
      <c r="AE24" s="126"/>
      <c r="AF24" s="126"/>
      <c r="AG24" s="126"/>
      <c r="AH24" s="126"/>
      <c r="AN24" s="687"/>
    </row>
    <row r="25" spans="3:54" ht="13.8">
      <c r="O25" s="1470">
        <v>1993</v>
      </c>
      <c r="P25" s="1462">
        <v>10.696457443375463</v>
      </c>
      <c r="Q25" s="1463">
        <v>11.756161797560312</v>
      </c>
      <c r="R25" s="1463">
        <v>11.459609072868284</v>
      </c>
      <c r="S25" s="1463">
        <v>9.5823865705389029</v>
      </c>
      <c r="T25" s="1463">
        <v>10.84554349229631</v>
      </c>
      <c r="U25" s="1463">
        <v>7.4860526178631401</v>
      </c>
      <c r="V25" s="1463">
        <v>10.646376824990888</v>
      </c>
      <c r="W25" s="1464">
        <v>10.991460106099893</v>
      </c>
      <c r="Y25" s="125"/>
      <c r="Z25" s="126"/>
      <c r="AA25" s="126"/>
      <c r="AB25" s="126"/>
      <c r="AC25" s="126"/>
      <c r="AD25" s="126"/>
      <c r="AE25" s="126"/>
      <c r="AF25" s="126"/>
      <c r="AG25" s="126"/>
      <c r="AH25" s="126"/>
      <c r="AN25" s="687"/>
    </row>
    <row r="26" spans="3:54" ht="13.8">
      <c r="O26" s="1470">
        <v>1994</v>
      </c>
      <c r="P26" s="1462">
        <v>10.939993914463859</v>
      </c>
      <c r="Q26" s="1463">
        <v>9.2999982439067175</v>
      </c>
      <c r="R26" s="1463">
        <v>9.0042997285616355</v>
      </c>
      <c r="S26" s="1463">
        <v>9.8786311765372616</v>
      </c>
      <c r="T26" s="1463">
        <v>8.2459092647740935</v>
      </c>
      <c r="U26" s="1463">
        <v>11.068402430458301</v>
      </c>
      <c r="V26" s="1463">
        <v>10.927017035079881</v>
      </c>
      <c r="W26" s="1464">
        <v>10.779414518220722</v>
      </c>
      <c r="Y26" s="125"/>
      <c r="Z26" s="126"/>
      <c r="AA26" s="126"/>
      <c r="AB26" s="126"/>
      <c r="AC26" s="126"/>
      <c r="AD26" s="126"/>
      <c r="AE26" s="126"/>
      <c r="AF26" s="126"/>
      <c r="AG26" s="126"/>
      <c r="AH26" s="126"/>
    </row>
    <row r="27" spans="3:54" ht="13.8">
      <c r="O27" s="1470">
        <v>1995</v>
      </c>
      <c r="P27" s="1462">
        <v>8.0146663704649423</v>
      </c>
      <c r="Q27" s="1463">
        <v>8.6951719987760558</v>
      </c>
      <c r="R27" s="1463">
        <v>10.368949634550589</v>
      </c>
      <c r="S27" s="1463">
        <v>10.108670778473344</v>
      </c>
      <c r="T27" s="1463">
        <v>10.181725166159909</v>
      </c>
      <c r="U27" s="1463">
        <v>11.588904542656538</v>
      </c>
      <c r="V27" s="1463">
        <v>10.935639474503969</v>
      </c>
      <c r="W27" s="1464">
        <v>10.586028687308849</v>
      </c>
      <c r="Y27" s="125"/>
      <c r="Z27" s="126"/>
      <c r="AA27" s="126"/>
      <c r="AB27" s="126"/>
      <c r="AC27" s="126"/>
      <c r="AD27" s="126"/>
      <c r="AE27" s="126"/>
      <c r="AF27" s="126"/>
      <c r="AG27" s="126"/>
      <c r="AH27" s="126"/>
    </row>
    <row r="28" spans="3:54" ht="13.8">
      <c r="O28" s="1470">
        <v>1996</v>
      </c>
      <c r="P28" s="1462">
        <v>9.5106671619610417</v>
      </c>
      <c r="Q28" s="1463">
        <v>10.279317855514602</v>
      </c>
      <c r="R28" s="1463">
        <v>10.116701972772454</v>
      </c>
      <c r="S28" s="1463">
        <v>9.8767841697015779</v>
      </c>
      <c r="T28" s="1463">
        <v>11.537813180478008</v>
      </c>
      <c r="U28" s="1463">
        <v>11.193353608982997</v>
      </c>
      <c r="V28" s="1463">
        <v>10.435467830374515</v>
      </c>
      <c r="W28" s="1464">
        <v>10.762161137399543</v>
      </c>
      <c r="Y28" s="125"/>
      <c r="Z28" s="126"/>
      <c r="AA28" s="126"/>
      <c r="AB28" s="126"/>
      <c r="AC28" s="126"/>
      <c r="AD28" s="126"/>
      <c r="AE28" s="126"/>
      <c r="AF28" s="126"/>
      <c r="AG28" s="126"/>
      <c r="AH28" s="126"/>
    </row>
    <row r="29" spans="3:54" ht="13.8">
      <c r="O29" s="1470">
        <v>1997</v>
      </c>
      <c r="P29" s="1462">
        <v>7.8208408799073439</v>
      </c>
      <c r="Q29" s="1463">
        <v>8.3368696372849556</v>
      </c>
      <c r="R29" s="1463">
        <v>9.9097677904932784</v>
      </c>
      <c r="S29" s="1463">
        <v>11.174932071977077</v>
      </c>
      <c r="T29" s="1463">
        <v>11.551049423061338</v>
      </c>
      <c r="U29" s="1463">
        <v>10.928883778872979</v>
      </c>
      <c r="V29" s="1463">
        <v>10.266385206262227</v>
      </c>
      <c r="W29" s="1464">
        <v>9.4528050208638472</v>
      </c>
      <c r="Y29" s="125"/>
      <c r="Z29" s="126"/>
      <c r="AA29" s="126"/>
      <c r="AB29" s="126"/>
      <c r="AC29" s="126"/>
      <c r="AD29" s="126"/>
      <c r="AE29" s="126"/>
      <c r="AF29" s="126"/>
      <c r="AG29" s="128"/>
      <c r="AH29" s="126"/>
    </row>
    <row r="30" spans="3:54" ht="13.8">
      <c r="O30" s="1470">
        <v>1998</v>
      </c>
      <c r="P30" s="1462">
        <v>8.1931237215120678</v>
      </c>
      <c r="Q30" s="1463">
        <v>9.3934949150740294</v>
      </c>
      <c r="R30" s="1463">
        <v>11.214640715600513</v>
      </c>
      <c r="S30" s="1463">
        <v>11.98212251902163</v>
      </c>
      <c r="T30" s="1463">
        <v>11.28212769471916</v>
      </c>
      <c r="U30" s="1463">
        <v>10.444233344587676</v>
      </c>
      <c r="V30" s="1463">
        <v>8.6265067640757582</v>
      </c>
      <c r="W30" s="1464">
        <v>10.428930069158346</v>
      </c>
      <c r="Y30" s="125"/>
      <c r="Z30" s="126"/>
      <c r="AA30" s="126"/>
      <c r="AB30" s="126"/>
      <c r="AC30" s="126"/>
      <c r="AD30" s="126"/>
      <c r="AE30" s="126"/>
      <c r="AF30" s="128"/>
      <c r="AG30" s="128"/>
      <c r="AH30" s="128" t="s">
        <v>18</v>
      </c>
      <c r="AI30" s="37" t="s">
        <v>18</v>
      </c>
      <c r="AO30" s="37" t="s">
        <v>18</v>
      </c>
      <c r="AP30" s="37" t="s">
        <v>18</v>
      </c>
      <c r="AQ30" s="37" t="s">
        <v>18</v>
      </c>
      <c r="AR30" s="37" t="s">
        <v>18</v>
      </c>
      <c r="AS30" s="37" t="s">
        <v>18</v>
      </c>
      <c r="AT30" s="37" t="s">
        <v>18</v>
      </c>
      <c r="AU30" s="37" t="s">
        <v>18</v>
      </c>
      <c r="AV30" s="37" t="s">
        <v>117</v>
      </c>
      <c r="AW30" s="37" t="s">
        <v>18</v>
      </c>
      <c r="AX30" s="37" t="s">
        <v>18</v>
      </c>
      <c r="AY30" s="37" t="s">
        <v>18</v>
      </c>
      <c r="AZ30" s="37" t="s">
        <v>18</v>
      </c>
    </row>
    <row r="31" spans="3:54" ht="13.8">
      <c r="L31" s="36"/>
      <c r="O31" s="1470">
        <v>1999</v>
      </c>
      <c r="P31" s="1462">
        <v>6.9800759405617629</v>
      </c>
      <c r="Q31" s="1463">
        <v>10.553805517120653</v>
      </c>
      <c r="R31" s="1463">
        <v>12.204205904252348</v>
      </c>
      <c r="S31" s="1463">
        <v>11.782494481995082</v>
      </c>
      <c r="T31" s="1463">
        <v>10.824429939392726</v>
      </c>
      <c r="U31" s="1463">
        <v>10.134543334956103</v>
      </c>
      <c r="V31" s="1463">
        <v>10.404126504608596</v>
      </c>
      <c r="W31" s="1465">
        <v>5.7985310236559426</v>
      </c>
      <c r="Y31" s="125"/>
      <c r="Z31" s="126"/>
      <c r="AA31" s="126"/>
      <c r="AB31" s="126"/>
      <c r="AC31" s="126"/>
      <c r="AD31" s="126"/>
      <c r="AE31" s="128"/>
      <c r="AF31" s="128"/>
      <c r="AG31" s="128"/>
      <c r="AS31" s="37" t="s">
        <v>18</v>
      </c>
      <c r="AT31" s="128" t="s">
        <v>18</v>
      </c>
      <c r="AU31" s="128" t="s">
        <v>18</v>
      </c>
      <c r="AV31" s="128" t="s">
        <v>18</v>
      </c>
      <c r="AW31" s="128" t="s">
        <v>18</v>
      </c>
      <c r="AX31" s="128" t="s">
        <v>18</v>
      </c>
      <c r="AY31" s="128" t="s">
        <v>18</v>
      </c>
      <c r="AZ31" s="128" t="s">
        <v>18</v>
      </c>
      <c r="BA31" s="145" t="s">
        <v>18</v>
      </c>
      <c r="BB31" s="37" t="s">
        <v>18</v>
      </c>
    </row>
    <row r="32" spans="3:54" ht="13.8">
      <c r="O32" s="1470">
        <v>2000</v>
      </c>
      <c r="P32" s="1462">
        <v>9.3649480902026223</v>
      </c>
      <c r="Q32" s="1463">
        <v>11.992309956021716</v>
      </c>
      <c r="R32" s="1463">
        <v>11.820792444581107</v>
      </c>
      <c r="S32" s="1463">
        <v>10.963038360477105</v>
      </c>
      <c r="T32" s="1463">
        <v>11.458080655799314</v>
      </c>
      <c r="U32" s="1463">
        <v>11.190716808528354</v>
      </c>
      <c r="V32" s="1466">
        <v>8.3204796275739881</v>
      </c>
      <c r="W32" s="1465">
        <v>8.6300434365380774</v>
      </c>
      <c r="Y32" s="125"/>
      <c r="Z32" s="126"/>
      <c r="AA32" s="126"/>
      <c r="AB32" s="126"/>
      <c r="AC32" s="126"/>
      <c r="AD32" s="128"/>
      <c r="AE32" s="128"/>
      <c r="AF32" s="128"/>
      <c r="AG32" s="128"/>
      <c r="AH32" s="128"/>
    </row>
    <row r="33" spans="14:40" ht="13.8">
      <c r="O33" s="1470">
        <v>2001</v>
      </c>
      <c r="P33" s="1462">
        <v>8.5095641642517457</v>
      </c>
      <c r="Q33" s="1462">
        <v>9.1997848580366668</v>
      </c>
      <c r="R33" s="1462">
        <v>10.399768879840142</v>
      </c>
      <c r="S33" s="1462">
        <v>12.359553105812111</v>
      </c>
      <c r="T33" s="1462">
        <v>11.449106323344044</v>
      </c>
      <c r="U33" s="1462">
        <v>10.481715536364575</v>
      </c>
      <c r="V33" s="1462">
        <v>10.430543502392288</v>
      </c>
      <c r="W33" s="1462">
        <v>9.4296180066419417</v>
      </c>
      <c r="X33" s="66"/>
      <c r="Y33" s="125"/>
      <c r="Z33" s="126"/>
      <c r="AA33" s="126"/>
      <c r="AB33" s="126"/>
      <c r="AC33" s="128"/>
      <c r="AD33" s="128"/>
      <c r="AE33" s="128"/>
      <c r="AF33" s="128"/>
      <c r="AG33" s="127"/>
      <c r="AH33" s="128"/>
    </row>
    <row r="34" spans="14:40" ht="13.8">
      <c r="O34" s="1470">
        <v>2002</v>
      </c>
      <c r="P34" s="1462">
        <v>4.4659081186545837</v>
      </c>
      <c r="Q34" s="1462">
        <v>9.3817948285723993</v>
      </c>
      <c r="R34" s="1462">
        <v>12.413830881881257</v>
      </c>
      <c r="S34" s="1462">
        <v>11.726126512313446</v>
      </c>
      <c r="T34" s="1462">
        <v>11.889236185633084</v>
      </c>
      <c r="U34" s="1462">
        <v>11.944118712484881</v>
      </c>
      <c r="V34" s="1462">
        <v>10.910580284129249</v>
      </c>
      <c r="W34" s="1462">
        <v>8.9284252304769147</v>
      </c>
      <c r="Y34" s="125"/>
      <c r="Z34" s="126"/>
      <c r="AA34" s="126"/>
      <c r="AB34" s="128"/>
      <c r="AC34" s="128"/>
      <c r="AD34" s="128"/>
      <c r="AE34" s="128"/>
      <c r="AF34" s="127"/>
      <c r="AG34" s="128"/>
      <c r="AH34" s="127"/>
    </row>
    <row r="35" spans="14:40" ht="13.8">
      <c r="O35" s="1470">
        <v>2003</v>
      </c>
      <c r="P35" s="1462">
        <v>9.1948634947334913</v>
      </c>
      <c r="Q35" s="1462">
        <v>13.11346749468203</v>
      </c>
      <c r="R35" s="1462">
        <v>12.100535752039665</v>
      </c>
      <c r="S35" s="1462">
        <v>12.55659640879121</v>
      </c>
      <c r="T35" s="1462">
        <v>12.542968854648182</v>
      </c>
      <c r="U35" s="1462">
        <v>11.758530975746824</v>
      </c>
      <c r="V35" s="1462">
        <v>10.332530058526403</v>
      </c>
      <c r="W35" s="1462">
        <v>11.025366870813068</v>
      </c>
      <c r="Y35" s="125"/>
      <c r="Z35" s="126"/>
      <c r="AA35" s="128"/>
      <c r="AB35" s="128"/>
      <c r="AC35" s="128"/>
      <c r="AD35" s="128"/>
      <c r="AE35" s="127"/>
      <c r="AF35" s="128"/>
      <c r="AG35" s="128"/>
      <c r="AH35" s="128"/>
    </row>
    <row r="36" spans="14:40" ht="13.8">
      <c r="O36" s="1470">
        <v>2004</v>
      </c>
      <c r="P36" s="1462">
        <v>11.070387223439823</v>
      </c>
      <c r="Q36" s="1462">
        <v>12.057298922858873</v>
      </c>
      <c r="R36" s="1462">
        <v>12.919684246243763</v>
      </c>
      <c r="S36" s="1462">
        <v>12.515248477073989</v>
      </c>
      <c r="T36" s="1462">
        <v>12.370710229633678</v>
      </c>
      <c r="U36" s="1462">
        <v>11.448114729792772</v>
      </c>
      <c r="V36" s="1462">
        <v>11.584908569228064</v>
      </c>
      <c r="W36" s="1462">
        <v>9.5295688768054365</v>
      </c>
      <c r="Y36" s="125"/>
      <c r="Z36" s="126"/>
      <c r="AA36" s="128"/>
      <c r="AB36" s="128"/>
      <c r="AC36" s="128"/>
      <c r="AD36" s="127"/>
      <c r="AE36" s="128"/>
      <c r="AF36" s="128"/>
      <c r="AG36" s="128"/>
      <c r="AH36" s="128"/>
      <c r="AI36" s="30"/>
      <c r="AJ36" s="30"/>
      <c r="AK36" s="30"/>
      <c r="AL36" s="30"/>
      <c r="AM36" s="30"/>
    </row>
    <row r="37" spans="14:40" ht="13.8">
      <c r="O37" s="1470">
        <v>2005</v>
      </c>
      <c r="P37" s="1462">
        <v>9.8880853992732156</v>
      </c>
      <c r="Q37" s="1462">
        <v>12.810746550860262</v>
      </c>
      <c r="R37" s="1462">
        <v>13.777458589416124</v>
      </c>
      <c r="S37" s="1462">
        <v>12.512949954943066</v>
      </c>
      <c r="T37" s="1462">
        <v>11.869700426375379</v>
      </c>
      <c r="U37" s="1462">
        <v>12.093026129184004</v>
      </c>
      <c r="V37" s="1462">
        <v>10.785235819902413</v>
      </c>
      <c r="W37" s="1467">
        <f>LN(Y11)</f>
        <v>10.356231976579581</v>
      </c>
      <c r="Y37" s="125"/>
      <c r="Z37" s="126"/>
      <c r="AA37" s="128"/>
      <c r="AB37" s="128"/>
      <c r="AC37" s="127"/>
      <c r="AD37" s="128"/>
      <c r="AE37" s="128"/>
      <c r="AF37" s="128"/>
      <c r="AG37" s="128"/>
      <c r="AH37" s="128"/>
      <c r="AI37" s="30"/>
      <c r="AJ37" s="30"/>
      <c r="AK37" s="30"/>
      <c r="AL37" s="30"/>
      <c r="AM37" s="30"/>
      <c r="AN37" s="30"/>
    </row>
    <row r="38" spans="14:40" ht="13.8">
      <c r="O38" s="1470">
        <v>2006</v>
      </c>
      <c r="P38" s="1462">
        <v>12.754348709907308</v>
      </c>
      <c r="Q38" s="1462">
        <v>14.341634815811322</v>
      </c>
      <c r="R38" s="1462">
        <v>12.853935659648437</v>
      </c>
      <c r="S38" s="1462">
        <v>12.104890348513521</v>
      </c>
      <c r="T38" s="1462">
        <v>12.522378292012259</v>
      </c>
      <c r="U38" s="1462">
        <v>11.311615331537757</v>
      </c>
      <c r="V38" s="1467">
        <f>LN(Y10)</f>
        <v>11.415792631736037</v>
      </c>
      <c r="W38" s="1467">
        <v>8.84</v>
      </c>
      <c r="Y38" s="125"/>
      <c r="Z38" s="126"/>
      <c r="AA38" s="128"/>
      <c r="AB38" s="127"/>
      <c r="AC38" s="128"/>
      <c r="AD38" s="128"/>
    </row>
    <row r="39" spans="14:40" ht="13.8">
      <c r="O39" s="1470">
        <v>2007</v>
      </c>
      <c r="P39" s="1462">
        <v>14.292777433980104</v>
      </c>
      <c r="Q39" s="1462">
        <v>12.822001178617612</v>
      </c>
      <c r="R39" s="1462">
        <v>12.209971910909022</v>
      </c>
      <c r="S39" s="1462">
        <v>12.20636467873161</v>
      </c>
      <c r="T39" s="1462">
        <v>11.965897915407428</v>
      </c>
      <c r="U39" s="1467">
        <f>LN(Y9)</f>
        <v>11.869965897456778</v>
      </c>
      <c r="V39" s="1467">
        <v>9.77</v>
      </c>
      <c r="W39" s="1467">
        <v>10.041210327308237</v>
      </c>
      <c r="Y39" s="125"/>
      <c r="Z39" s="126"/>
      <c r="AA39" s="127"/>
      <c r="AB39" s="128"/>
      <c r="AC39" s="128"/>
    </row>
    <row r="40" spans="14:40" ht="13.8">
      <c r="O40" s="1470">
        <v>2008</v>
      </c>
      <c r="P40" s="1462">
        <v>12.764230629279</v>
      </c>
      <c r="Q40" s="1462">
        <v>12.865494859533923</v>
      </c>
      <c r="R40" s="1462">
        <v>12.066955973242225</v>
      </c>
      <c r="S40" s="1462">
        <v>11.744174696552491</v>
      </c>
      <c r="T40" s="1467">
        <f>LN(Y8)</f>
        <v>12.120146735098563</v>
      </c>
      <c r="U40" s="1467">
        <v>10.55</v>
      </c>
      <c r="V40" s="1467">
        <v>11.231728707962771</v>
      </c>
      <c r="W40" s="1467">
        <v>10.485190848252632</v>
      </c>
      <c r="Y40" s="125"/>
      <c r="Z40" s="127"/>
      <c r="AA40" s="128"/>
      <c r="AB40" s="128"/>
    </row>
    <row r="41" spans="14:40" ht="13.8">
      <c r="O41" s="1470">
        <v>2009</v>
      </c>
      <c r="P41" s="1462">
        <v>12.495253311183092</v>
      </c>
      <c r="Q41" s="1462">
        <v>11.576459566290314</v>
      </c>
      <c r="R41" s="1462">
        <v>12.338039348460489</v>
      </c>
      <c r="S41" s="1467">
        <f>LN(Y7)</f>
        <v>11.760068440275623</v>
      </c>
      <c r="T41" s="1462">
        <v>10.98</v>
      </c>
      <c r="U41" s="1467">
        <v>11.63261763842738</v>
      </c>
      <c r="V41" s="1467">
        <v>11.155060591811223</v>
      </c>
      <c r="W41" s="1467">
        <v>11.000733752664638</v>
      </c>
      <c r="Y41" s="1457"/>
      <c r="Z41" s="128"/>
      <c r="AA41" s="128"/>
    </row>
    <row r="42" spans="14:40" ht="13.8">
      <c r="O42" s="1470">
        <v>2010</v>
      </c>
      <c r="P42" s="1462">
        <v>10.818670323111197</v>
      </c>
      <c r="Q42" s="1462">
        <v>12.820375177271599</v>
      </c>
      <c r="R42" s="1467">
        <f>LN(Y6)</f>
        <v>10.968630714948608</v>
      </c>
      <c r="S42" s="1467">
        <v>11.53</v>
      </c>
      <c r="T42" s="1467">
        <v>11.976151673299944</v>
      </c>
      <c r="U42" s="1467">
        <v>11.456106295009141</v>
      </c>
      <c r="V42" s="1467">
        <v>11.2669467535232</v>
      </c>
      <c r="W42" s="1467">
        <v>10.113455043349003</v>
      </c>
      <c r="Z42" s="128"/>
    </row>
    <row r="43" spans="14:40" ht="13.8">
      <c r="O43" s="1471">
        <v>2011</v>
      </c>
      <c r="P43" s="1462">
        <v>12.637635336969037</v>
      </c>
      <c r="Q43" s="1467">
        <f>LN(Y5)</f>
        <v>10.962469317072355</v>
      </c>
      <c r="R43" s="1462">
        <v>12.03</v>
      </c>
      <c r="S43" s="1467">
        <v>11.794649237358415</v>
      </c>
      <c r="T43" s="1467">
        <v>11.651344192459701</v>
      </c>
      <c r="U43" s="1467">
        <v>11.779352737041222</v>
      </c>
      <c r="V43" s="1467">
        <v>10.299899104917616</v>
      </c>
      <c r="W43" s="1467">
        <v>8.9721682829825333</v>
      </c>
      <c r="Y43" s="145"/>
      <c r="AB43" s="66"/>
      <c r="AC43" s="66"/>
      <c r="AD43" s="66"/>
      <c r="AE43" s="66"/>
      <c r="AF43" s="66"/>
      <c r="AG43" s="66"/>
      <c r="AH43" s="66"/>
    </row>
    <row r="44" spans="14:40" ht="13.8">
      <c r="N44" s="66"/>
      <c r="O44" s="1472">
        <v>2012</v>
      </c>
      <c r="P44" s="1467">
        <v>10.991109935153634</v>
      </c>
      <c r="Q44" s="1467">
        <v>12.01</v>
      </c>
      <c r="R44" s="1467">
        <v>11.498439087796498</v>
      </c>
      <c r="S44" s="1467">
        <v>12.064087578280082</v>
      </c>
      <c r="T44" s="1467">
        <v>11.804959152997005</v>
      </c>
      <c r="U44" s="1467">
        <v>11.066956735670015</v>
      </c>
      <c r="V44" s="1467">
        <v>10.545945918687901</v>
      </c>
      <c r="W44" s="1467">
        <v>10.598084100989453</v>
      </c>
      <c r="Z44" s="66"/>
      <c r="AA44" s="66"/>
      <c r="AB44" s="66"/>
      <c r="AC44" s="66"/>
    </row>
    <row r="45" spans="14:40" ht="13.8">
      <c r="O45" s="1471">
        <v>2013</v>
      </c>
      <c r="P45" s="1467">
        <v>11.4</v>
      </c>
      <c r="Q45" s="1467">
        <v>10.891921884034952</v>
      </c>
      <c r="R45" s="1467">
        <v>11.564676079120643</v>
      </c>
      <c r="S45" s="1467">
        <v>11.524414802354094</v>
      </c>
      <c r="T45" s="1467">
        <v>11.566396412075418</v>
      </c>
      <c r="U45" s="1467">
        <v>11.44636786851204</v>
      </c>
      <c r="V45" s="1467">
        <v>11.52978425882932</v>
      </c>
      <c r="W45" s="1468">
        <f>LN(AH11)</f>
        <v>9.0439973787783448</v>
      </c>
      <c r="Z45" s="66"/>
      <c r="AA45" s="66"/>
      <c r="AB45" s="66"/>
      <c r="AC45" s="66"/>
    </row>
    <row r="46" spans="14:40" ht="13.8">
      <c r="N46" s="66"/>
      <c r="O46" s="1472">
        <v>2014</v>
      </c>
      <c r="P46" s="1467">
        <v>10.024194609716245</v>
      </c>
      <c r="Q46" s="1467">
        <v>9.2277792440913338</v>
      </c>
      <c r="R46" s="1467">
        <v>10.268327638837167</v>
      </c>
      <c r="S46" s="1462">
        <v>12.241794459543684</v>
      </c>
      <c r="T46" s="1467">
        <v>11.964238211251171</v>
      </c>
      <c r="U46" s="1467">
        <v>11.623418290227615</v>
      </c>
      <c r="V46" s="1468">
        <f>LN(AH10)</f>
        <v>10.213365768930633</v>
      </c>
      <c r="W46" s="1467">
        <v>8.8810745315131889</v>
      </c>
      <c r="Z46" s="66"/>
      <c r="AA46" s="66"/>
      <c r="AB46" s="66"/>
      <c r="AC46" s="66"/>
    </row>
    <row r="47" spans="14:40" ht="13.8">
      <c r="N47" s="66"/>
      <c r="O47" s="1471">
        <v>2015</v>
      </c>
      <c r="P47" s="1467">
        <v>8.6041067866993863</v>
      </c>
      <c r="Q47" s="1467">
        <v>10.895222906366454</v>
      </c>
      <c r="R47" s="1467">
        <v>12.17921046230526</v>
      </c>
      <c r="S47" s="1467">
        <v>12.0477426974038</v>
      </c>
      <c r="T47" s="1467">
        <v>11.508072688478187</v>
      </c>
      <c r="U47" s="1468">
        <f>LN(AH9)</f>
        <v>11.49985175828968</v>
      </c>
      <c r="V47" s="1467">
        <v>10.169922487936065</v>
      </c>
      <c r="W47" s="1467">
        <v>8.3994102250124225</v>
      </c>
      <c r="Z47" s="66"/>
      <c r="AA47" s="66"/>
      <c r="AB47" s="66"/>
      <c r="AC47" s="66"/>
    </row>
    <row r="48" spans="14:40" ht="13.8">
      <c r="N48" s="66"/>
      <c r="O48" s="1471">
        <v>2016</v>
      </c>
      <c r="P48" s="1467">
        <v>11.147872205620613</v>
      </c>
      <c r="Q48" s="1467">
        <v>11.257201175439096</v>
      </c>
      <c r="R48" s="1467">
        <v>11.674812774442511</v>
      </c>
      <c r="S48" s="1469">
        <v>11.431359747664752</v>
      </c>
      <c r="T48" s="1468">
        <f>LN(AH8)</f>
        <v>12.03328081007068</v>
      </c>
      <c r="U48" s="1467">
        <v>11.214665802585829</v>
      </c>
      <c r="V48" s="1467">
        <v>9.4527824406700152</v>
      </c>
      <c r="W48" s="1461">
        <v>9.0370440614370384</v>
      </c>
      <c r="Z48" s="66"/>
      <c r="AA48" s="66"/>
      <c r="AB48" s="66"/>
      <c r="AC48" s="66"/>
    </row>
    <row r="49" spans="2:29" ht="13.8">
      <c r="N49" s="66"/>
      <c r="O49" s="1471">
        <v>2017</v>
      </c>
      <c r="P49" s="1467">
        <v>11.11378467668783</v>
      </c>
      <c r="Q49" s="1467">
        <v>11.381220166363669</v>
      </c>
      <c r="R49" s="1467">
        <v>12.657802871302328</v>
      </c>
      <c r="S49" s="1468">
        <f>LN(AH7)</f>
        <v>12.286272068895322</v>
      </c>
      <c r="T49" s="1467">
        <v>11.60513034459718</v>
      </c>
      <c r="U49" s="1467">
        <v>10.131305816392048</v>
      </c>
      <c r="V49" s="1461">
        <v>10.362859868178109</v>
      </c>
      <c r="W49" s="66">
        <v>8.2944310016342637</v>
      </c>
      <c r="Z49" s="66"/>
      <c r="AA49" s="66"/>
      <c r="AB49" s="66"/>
      <c r="AC49" s="66"/>
    </row>
    <row r="50" spans="2:29" ht="13.8">
      <c r="N50" s="66"/>
      <c r="O50" s="1471">
        <v>2018</v>
      </c>
      <c r="P50" s="1467">
        <v>11.190037435221862</v>
      </c>
      <c r="Q50" s="1467">
        <v>12.424401447259498</v>
      </c>
      <c r="R50" s="1468">
        <f>LN(AH6)</f>
        <v>11.479979348914409</v>
      </c>
      <c r="S50" s="1467">
        <v>11.546274529536321</v>
      </c>
      <c r="T50" s="1467">
        <v>11.317880928658214</v>
      </c>
      <c r="U50" s="1461">
        <v>12.152344367912541</v>
      </c>
      <c r="V50" s="66">
        <v>10.198727151036731</v>
      </c>
      <c r="W50" s="1467"/>
      <c r="Y50" s="66"/>
      <c r="Z50" s="66"/>
      <c r="AA50" s="66"/>
      <c r="AB50" s="66"/>
      <c r="AC50" s="66"/>
    </row>
    <row r="51" spans="2:29" ht="13.8">
      <c r="N51" s="66"/>
      <c r="O51" s="1471">
        <v>2019</v>
      </c>
      <c r="P51" s="1467">
        <v>9.7363174372167336</v>
      </c>
      <c r="Q51" s="1468">
        <f>LN(AH5)</f>
        <v>12.03061409051565</v>
      </c>
      <c r="R51" s="1467">
        <v>12.239969831540158</v>
      </c>
      <c r="S51" s="1467">
        <v>11.769387578722672</v>
      </c>
      <c r="T51" s="1461">
        <v>13.198419144645655</v>
      </c>
      <c r="U51" s="66">
        <v>11.674181289796788</v>
      </c>
      <c r="V51" s="1469"/>
      <c r="W51" s="1469"/>
      <c r="Y51" s="822"/>
      <c r="Z51" s="822"/>
      <c r="AA51" s="822"/>
      <c r="AB51" s="822"/>
      <c r="AC51" s="66"/>
    </row>
    <row r="52" spans="2:29" ht="13.8">
      <c r="N52" s="66"/>
      <c r="O52" s="1471">
        <v>2020</v>
      </c>
      <c r="P52" s="1468">
        <f>LN(AH4)</f>
        <v>10.405435745551472</v>
      </c>
      <c r="Q52" s="1467">
        <v>13.374988678420513</v>
      </c>
      <c r="R52" s="1467">
        <v>12.65758261191076</v>
      </c>
      <c r="S52" s="1461">
        <v>13.802257842167114</v>
      </c>
      <c r="T52" s="66">
        <v>12.746645172896166</v>
      </c>
      <c r="U52" s="1467"/>
      <c r="V52" s="1467"/>
      <c r="W52" s="1467"/>
      <c r="Y52" s="66"/>
      <c r="AA52" s="66"/>
      <c r="AB52" s="66"/>
      <c r="AC52" s="66"/>
    </row>
    <row r="53" spans="2:29" ht="13.8">
      <c r="N53" s="66"/>
      <c r="O53" s="1473">
        <v>2021</v>
      </c>
      <c r="P53" s="1467">
        <v>11.350291478392354</v>
      </c>
      <c r="Q53" s="1467">
        <v>12.771271208624196</v>
      </c>
      <c r="R53" s="1461">
        <v>13.580518866156938</v>
      </c>
      <c r="S53" s="66">
        <v>13.376695831445158</v>
      </c>
      <c r="T53" s="1467"/>
      <c r="U53" s="1467"/>
      <c r="V53" s="1467"/>
      <c r="W53" s="1467"/>
      <c r="Y53" s="66"/>
      <c r="AA53" s="66"/>
      <c r="AB53" s="66"/>
      <c r="AC53" s="66"/>
    </row>
    <row r="54" spans="2:29" ht="13.8">
      <c r="N54" s="66"/>
      <c r="O54" s="1471">
        <v>2022</v>
      </c>
      <c r="P54" s="1467">
        <v>10.988000502749836</v>
      </c>
      <c r="Q54" s="1461">
        <v>12.388236947416996</v>
      </c>
      <c r="R54" s="66">
        <v>13.586148683373299</v>
      </c>
      <c r="S54" s="1467"/>
      <c r="T54" s="1467"/>
      <c r="V54" s="1467"/>
      <c r="W54" s="1467"/>
      <c r="Y54" s="66"/>
      <c r="AA54" s="66"/>
      <c r="AB54" s="66"/>
      <c r="AC54" s="66"/>
    </row>
    <row r="55" spans="2:29" ht="13.8">
      <c r="N55" s="66"/>
      <c r="O55" s="1471">
        <v>2023</v>
      </c>
      <c r="P55" s="1461">
        <v>10.635005480604031</v>
      </c>
      <c r="Q55" s="66">
        <v>12.797482466274369</v>
      </c>
      <c r="R55" s="1467"/>
      <c r="S55" s="1467"/>
      <c r="U55" s="1467"/>
      <c r="V55" s="1467"/>
      <c r="W55" s="1467"/>
      <c r="Y55" s="66"/>
      <c r="AA55" s="66"/>
      <c r="AB55" s="66"/>
      <c r="AC55" s="66"/>
    </row>
    <row r="56" spans="2:29" ht="13.8">
      <c r="N56" s="66"/>
      <c r="O56" s="1473">
        <v>2024</v>
      </c>
      <c r="P56" s="66">
        <v>12.165170694042589</v>
      </c>
      <c r="Q56" s="1459"/>
      <c r="R56" s="1460"/>
      <c r="S56" s="1459"/>
      <c r="T56" s="1460"/>
      <c r="U56" s="1460"/>
      <c r="V56" s="1460"/>
      <c r="W56" s="1459"/>
      <c r="Y56" s="66"/>
      <c r="AA56" s="66"/>
      <c r="AB56" s="66"/>
      <c r="AC56" s="66"/>
    </row>
    <row r="57" spans="2:29" ht="13.8">
      <c r="N57" s="66"/>
      <c r="O57" s="1471">
        <v>2025</v>
      </c>
      <c r="P57" s="66" t="s">
        <v>18</v>
      </c>
      <c r="Q57" s="66"/>
      <c r="W57" s="66"/>
      <c r="X57" s="66" t="s">
        <v>18</v>
      </c>
      <c r="Y57" s="66"/>
      <c r="AA57" s="66"/>
      <c r="AB57" s="66"/>
      <c r="AC57" s="66"/>
    </row>
    <row r="58" spans="2:29">
      <c r="N58" s="66"/>
      <c r="O58" s="66"/>
      <c r="P58" s="66"/>
      <c r="Q58" s="66"/>
      <c r="W58" s="66"/>
      <c r="X58" s="66"/>
      <c r="Y58" s="66"/>
      <c r="AA58" s="66"/>
      <c r="AB58" s="66"/>
      <c r="AC58" s="66"/>
    </row>
    <row r="59" spans="2:29">
      <c r="N59" s="66"/>
      <c r="P59" s="66"/>
      <c r="W59" s="66"/>
      <c r="X59" s="66"/>
      <c r="Y59" s="66"/>
      <c r="AA59" s="66"/>
      <c r="AB59" s="66"/>
      <c r="AC59" s="66"/>
    </row>
    <row r="60" spans="2:29">
      <c r="N60" s="66"/>
      <c r="O60" s="66"/>
      <c r="W60" s="66"/>
      <c r="X60" s="66"/>
      <c r="Y60" s="66"/>
      <c r="Z60" s="66" t="s">
        <v>18</v>
      </c>
      <c r="AA60" s="66"/>
      <c r="AB60" s="66"/>
      <c r="AC60" s="66"/>
    </row>
    <row r="61" spans="2:29">
      <c r="N61" s="66"/>
      <c r="V61" s="37" t="s">
        <v>18</v>
      </c>
      <c r="W61" s="66"/>
      <c r="X61" s="66"/>
      <c r="Y61" s="66"/>
      <c r="Z61" s="66"/>
      <c r="AA61" s="66"/>
      <c r="AB61" s="66"/>
      <c r="AC61" s="66"/>
    </row>
    <row r="62" spans="2:29">
      <c r="O62" s="8"/>
      <c r="W62" s="66"/>
      <c r="X62" s="66"/>
      <c r="Y62" s="66"/>
      <c r="Z62" s="66"/>
      <c r="AA62" s="66"/>
      <c r="AB62" s="66"/>
      <c r="AC62" s="66"/>
    </row>
    <row r="63" spans="2:29">
      <c r="O63" s="9"/>
      <c r="R63" s="1267">
        <v>8.5483508036420393</v>
      </c>
      <c r="W63" s="66"/>
      <c r="X63" s="66"/>
      <c r="Y63" s="66"/>
      <c r="Z63" s="66"/>
      <c r="AA63" s="66"/>
      <c r="AB63" s="66"/>
      <c r="AC63" s="66"/>
    </row>
    <row r="64" spans="2:29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O64" s="2"/>
    </row>
    <row r="65" spans="2:15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O65" s="2"/>
    </row>
    <row r="66" spans="2:15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O66" s="2"/>
    </row>
    <row r="67" spans="2:15">
      <c r="B67" s="8"/>
      <c r="C67" s="11"/>
      <c r="D67" s="11"/>
      <c r="E67" s="11"/>
      <c r="F67" s="11"/>
      <c r="G67" s="11"/>
      <c r="H67" s="11"/>
      <c r="I67" s="11"/>
      <c r="J67" s="11"/>
      <c r="K67" s="11"/>
      <c r="L67" s="11"/>
      <c r="N67" s="66"/>
      <c r="O67" s="2"/>
    </row>
    <row r="68" spans="2:15">
      <c r="B68" s="8"/>
      <c r="C68" s="11"/>
      <c r="D68" s="11"/>
      <c r="E68" s="11"/>
      <c r="F68" s="11"/>
      <c r="G68" s="11"/>
      <c r="H68" s="11"/>
      <c r="I68" s="11"/>
      <c r="J68" s="11"/>
      <c r="K68" s="11"/>
      <c r="L68" s="11"/>
      <c r="O68" s="2"/>
    </row>
    <row r="69" spans="2:15">
      <c r="B69" s="8"/>
      <c r="C69" s="11"/>
      <c r="D69" s="11"/>
      <c r="E69" s="11"/>
      <c r="F69" s="11"/>
      <c r="G69" s="11"/>
      <c r="H69" s="11"/>
      <c r="I69" s="11"/>
      <c r="J69" s="11"/>
      <c r="K69" s="11"/>
      <c r="L69" s="11"/>
      <c r="O69" s="2"/>
    </row>
    <row r="70" spans="2:15">
      <c r="B70" s="8"/>
      <c r="C70" s="11"/>
      <c r="D70" s="11"/>
      <c r="E70" s="11"/>
      <c r="F70" s="11"/>
      <c r="G70" s="11"/>
      <c r="H70" s="11"/>
      <c r="I70" s="11"/>
      <c r="J70" s="11"/>
      <c r="K70" s="11"/>
      <c r="L70" s="11"/>
      <c r="O70" s="2"/>
    </row>
    <row r="71" spans="2:15">
      <c r="B71" s="8"/>
      <c r="C71" s="11"/>
      <c r="D71" s="11"/>
      <c r="E71" s="11"/>
      <c r="F71" s="11"/>
      <c r="G71" s="11"/>
      <c r="H71" s="11"/>
      <c r="I71" s="11"/>
      <c r="J71" s="11"/>
      <c r="K71" s="11"/>
      <c r="L71" s="11"/>
      <c r="O71" s="2"/>
    </row>
    <row r="72" spans="2:15">
      <c r="B72" s="8"/>
      <c r="C72" s="11"/>
      <c r="D72" s="11"/>
      <c r="E72" s="11"/>
      <c r="F72" s="11"/>
      <c r="G72" s="11"/>
      <c r="H72" s="11"/>
      <c r="I72" s="11"/>
      <c r="J72" s="11"/>
      <c r="K72" s="11"/>
      <c r="L72" s="11"/>
      <c r="N72" s="11"/>
      <c r="O72" s="11"/>
    </row>
    <row r="73" spans="2:15">
      <c r="B73" s="8"/>
      <c r="C73" s="11"/>
      <c r="D73" s="11"/>
      <c r="E73" s="11"/>
      <c r="F73" s="11"/>
      <c r="G73" s="11"/>
      <c r="H73" s="11"/>
      <c r="I73" s="11"/>
      <c r="J73" s="11"/>
      <c r="K73" s="11"/>
      <c r="L73" s="11"/>
      <c r="N73" s="11"/>
      <c r="O73" s="11"/>
    </row>
    <row r="74" spans="2:15">
      <c r="B74" s="8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2:15">
      <c r="B75" s="8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2:15">
      <c r="B76" s="8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83" spans="2:2">
      <c r="B83" s="37" t="s">
        <v>690</v>
      </c>
    </row>
  </sheetData>
  <phoneticPr fontId="19" type="noConversion"/>
  <pageMargins left="0.78740157499999996" right="0.78740157499999996" top="0.984251969" bottom="0.984251969" header="0.5" footer="0.5"/>
  <pageSetup paperSize="9" orientation="portrait" r:id="rId1"/>
  <headerFooter alignWithMargins="0"/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ColWidth="11.44140625" defaultRowHeight="13.2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20"/>
  <dimension ref="A1:I43"/>
  <sheetViews>
    <sheetView zoomScale="80" zoomScaleNormal="80" workbookViewId="0">
      <selection activeCell="D12" sqref="D12"/>
    </sheetView>
  </sheetViews>
  <sheetFormatPr defaultColWidth="9.109375" defaultRowHeight="13.2"/>
  <cols>
    <col min="1" max="2" width="9.109375" style="1"/>
    <col min="3" max="3" width="10.88671875" style="1" customWidth="1"/>
    <col min="4" max="4" width="12.6640625" style="1" customWidth="1"/>
    <col min="5" max="5" width="11.44140625" style="1" customWidth="1"/>
    <col min="6" max="6" width="11" style="1" bestFit="1" customWidth="1"/>
    <col min="7" max="8" width="11" style="1" customWidth="1"/>
    <col min="9" max="9" width="13.33203125" style="1" customWidth="1"/>
    <col min="10" max="10" width="13.109375" style="1" customWidth="1"/>
    <col min="11" max="16384" width="9.109375" style="1"/>
  </cols>
  <sheetData>
    <row r="1" spans="1:9" ht="20.399999999999999">
      <c r="A1" s="31" t="s">
        <v>691</v>
      </c>
      <c r="B1" s="39"/>
      <c r="F1" s="82"/>
      <c r="G1" s="82"/>
      <c r="H1" s="82"/>
      <c r="I1" s="82"/>
    </row>
    <row r="2" spans="1:9" ht="13.8">
      <c r="A2" s="31" t="s">
        <v>692</v>
      </c>
      <c r="B2" s="39"/>
    </row>
    <row r="3" spans="1:9" ht="13.8">
      <c r="A3" s="31" t="s">
        <v>693</v>
      </c>
      <c r="B3" s="39"/>
      <c r="H3" s="567" t="s">
        <v>694</v>
      </c>
      <c r="I3" s="567" t="s">
        <v>695</v>
      </c>
    </row>
    <row r="4" spans="1:9" ht="13.8">
      <c r="A4" s="31" t="s">
        <v>696</v>
      </c>
      <c r="B4" s="39"/>
      <c r="H4" s="568">
        <v>0.6</v>
      </c>
      <c r="I4" s="568">
        <v>3.005108326347508</v>
      </c>
    </row>
    <row r="5" spans="1:9">
      <c r="A5" s="73"/>
      <c r="B5" s="39"/>
      <c r="H5" s="569">
        <v>116168.80520415302</v>
      </c>
      <c r="I5" s="569">
        <v>2904220.1301038256</v>
      </c>
    </row>
    <row r="6" spans="1:9">
      <c r="H6" s="570">
        <v>0.25</v>
      </c>
      <c r="I6" s="570">
        <v>0.95</v>
      </c>
    </row>
    <row r="7" spans="1:9">
      <c r="H7" s="22"/>
      <c r="I7" s="22"/>
    </row>
    <row r="8" spans="1:9">
      <c r="H8" s="567" t="s">
        <v>697</v>
      </c>
      <c r="I8"/>
    </row>
    <row r="9" spans="1:9" ht="13.8" thickBot="1">
      <c r="H9" s="1123" t="s">
        <v>698</v>
      </c>
      <c r="I9" s="1124">
        <f>[1]ModelSheet!MSY</f>
        <v>102784.60699682326</v>
      </c>
    </row>
    <row r="10" spans="1:9" ht="13.8" thickBot="1">
      <c r="B10" s="6"/>
      <c r="C10" s="6"/>
      <c r="D10" s="6"/>
      <c r="F10" s="38"/>
      <c r="G10" s="566"/>
      <c r="H10" s="1125" t="s">
        <v>699</v>
      </c>
      <c r="I10" s="1126">
        <f>[1]ModelSheet!BMSY</f>
        <v>275324.49825751944</v>
      </c>
    </row>
    <row r="11" spans="1:9">
      <c r="B11" s="86" t="s">
        <v>700</v>
      </c>
      <c r="C11" s="87" t="s">
        <v>701</v>
      </c>
      <c r="D11" s="88" t="s">
        <v>702</v>
      </c>
      <c r="E11" s="1" t="s">
        <v>703</v>
      </c>
      <c r="F11" s="1" t="s">
        <v>704</v>
      </c>
      <c r="H11" s="1125" t="s">
        <v>705</v>
      </c>
      <c r="I11" s="1126">
        <f>[1]ModelSheet!B0.1</f>
        <v>302856.94808327139</v>
      </c>
    </row>
    <row r="12" spans="1:9">
      <c r="B12" s="119">
        <v>1995</v>
      </c>
      <c r="C12" s="89">
        <v>71596</v>
      </c>
      <c r="D12" s="89">
        <v>186000</v>
      </c>
      <c r="E12">
        <v>112290.98901253975</v>
      </c>
      <c r="F12">
        <v>0.50680589110900842</v>
      </c>
      <c r="G12"/>
      <c r="H12" s="1125" t="s">
        <v>706</v>
      </c>
      <c r="I12" s="1126">
        <f>[1]ModelSheet!Cur_Stock</f>
        <v>375609.026105867</v>
      </c>
    </row>
    <row r="13" spans="1:9">
      <c r="B13" s="119">
        <v>1996</v>
      </c>
      <c r="C13" s="89">
        <v>47766</v>
      </c>
      <c r="D13" s="89">
        <v>167000</v>
      </c>
      <c r="E13">
        <v>121380.88854803873</v>
      </c>
      <c r="F13">
        <v>0.32121320725826508</v>
      </c>
      <c r="G13"/>
      <c r="H13" s="1125" t="s">
        <v>707</v>
      </c>
      <c r="I13" s="571">
        <f>[1]ModelSheet!B_BMSY</f>
        <v>1.3642412080400792</v>
      </c>
    </row>
    <row r="14" spans="1:9">
      <c r="B14" s="119">
        <v>1997</v>
      </c>
      <c r="C14" s="89">
        <v>50498</v>
      </c>
      <c r="D14" s="89">
        <v>129000</v>
      </c>
      <c r="E14">
        <v>139078.8106231826</v>
      </c>
      <c r="F14">
        <v>-7.3075515390524204E-2</v>
      </c>
      <c r="G14"/>
      <c r="H14" s="1127" t="s">
        <v>708</v>
      </c>
      <c r="I14" s="572">
        <f>[1]ModelSheet!B_B0.1</f>
        <v>1.2402192800364356</v>
      </c>
    </row>
    <row r="15" spans="1:9">
      <c r="B15" s="119">
        <v>1998</v>
      </c>
      <c r="C15" s="89">
        <v>85010</v>
      </c>
      <c r="D15" s="89">
        <v>69000</v>
      </c>
      <c r="E15">
        <v>130055.81140805311</v>
      </c>
      <c r="F15">
        <v>-0.63170433664596459</v>
      </c>
      <c r="G15"/>
      <c r="H15" s="1125" t="s">
        <v>709</v>
      </c>
      <c r="I15" s="1126">
        <f>[1]ModelSheet!Current_SustProd</f>
        <v>89148.002807244484</v>
      </c>
    </row>
    <row r="16" spans="1:9">
      <c r="B16" s="119">
        <v>1999</v>
      </c>
      <c r="C16" s="89">
        <v>83157</v>
      </c>
      <c r="D16" s="89">
        <v>111000</v>
      </c>
      <c r="E16">
        <v>111127.12094579895</v>
      </c>
      <c r="F16">
        <v>1.0082571389932089E-3</v>
      </c>
      <c r="G16"/>
      <c r="H16" s="1125" t="s">
        <v>710</v>
      </c>
      <c r="I16" s="571">
        <f>[1]ModelSheet!CurrentPercProd</f>
        <v>0.86732834236550382</v>
      </c>
    </row>
    <row r="17" spans="2:9">
      <c r="B17" s="119">
        <v>2000</v>
      </c>
      <c r="C17" s="89">
        <v>68180</v>
      </c>
      <c r="D17" s="89">
        <v>141000</v>
      </c>
      <c r="E17">
        <v>109821.65178525735</v>
      </c>
      <c r="F17">
        <v>0.25205502340366959</v>
      </c>
      <c r="G17"/>
      <c r="H17" s="1125" t="s">
        <v>711</v>
      </c>
      <c r="I17" s="1126">
        <f>[1]ModelSheet!CurY</f>
        <v>117632.87926311046</v>
      </c>
    </row>
    <row r="18" spans="2:9">
      <c r="B18" s="119">
        <v>2001</v>
      </c>
      <c r="C18" s="89">
        <v>69949</v>
      </c>
      <c r="D18" s="89">
        <v>64000</v>
      </c>
      <c r="E18">
        <v>96617.513408051731</v>
      </c>
      <c r="F18">
        <v>-0.40972410404124704</v>
      </c>
      <c r="G18"/>
      <c r="H18" s="1125" t="s">
        <v>712</v>
      </c>
      <c r="I18" s="1128">
        <f>[1]ModelSheet!FMSY</f>
        <v>0.37332169003241283</v>
      </c>
    </row>
    <row r="19" spans="2:9">
      <c r="B19" s="119">
        <v>2002</v>
      </c>
      <c r="C19" s="89">
        <v>41362</v>
      </c>
      <c r="D19" s="89">
        <v>99000</v>
      </c>
      <c r="E19">
        <v>90806.523159540404</v>
      </c>
      <c r="F19">
        <v>8.8541561748693917E-2</v>
      </c>
      <c r="G19"/>
      <c r="H19" s="1125" t="s">
        <v>713</v>
      </c>
      <c r="I19" s="1128">
        <f>[1]ModelSheet!F0.1</f>
        <v>0.33598952102917157</v>
      </c>
    </row>
    <row r="20" spans="2:9">
      <c r="B20" s="119">
        <v>2003</v>
      </c>
      <c r="C20" s="89">
        <v>64056.992969353691</v>
      </c>
      <c r="D20" s="89">
        <v>97000</v>
      </c>
      <c r="E20">
        <v>99983.084814548216</v>
      </c>
      <c r="F20">
        <v>-2.8137205717387804E-2</v>
      </c>
      <c r="G20"/>
      <c r="H20" s="1125" t="s">
        <v>714</v>
      </c>
      <c r="I20" s="1128">
        <f>[1]ModelSheet!FCur</f>
        <v>0.31317905344999653</v>
      </c>
    </row>
    <row r="21" spans="2:9">
      <c r="B21" s="119">
        <v>2004</v>
      </c>
      <c r="C21" s="89">
        <v>169350.40674216379</v>
      </c>
      <c r="D21" s="89">
        <v>132000</v>
      </c>
      <c r="E21">
        <v>112840.65151985713</v>
      </c>
      <c r="F21">
        <v>0.15897809823646053</v>
      </c>
      <c r="G21"/>
      <c r="H21" s="1125" t="s">
        <v>715</v>
      </c>
      <c r="I21" s="820">
        <f>[1]ModelSheet!FCur_FMSY</f>
        <v>0.83889862767632239</v>
      </c>
    </row>
    <row r="22" spans="2:9">
      <c r="B22" s="119">
        <v>2005</v>
      </c>
      <c r="C22" s="89">
        <v>120810.37973799999</v>
      </c>
      <c r="D22" s="89">
        <v>117000</v>
      </c>
      <c r="E22">
        <v>110294.94389883551</v>
      </c>
      <c r="F22">
        <v>6.116868473309367E-2</v>
      </c>
      <c r="G22"/>
      <c r="H22" s="1981" t="s">
        <v>716</v>
      </c>
      <c r="I22" s="573">
        <f>[1]ModelSheet!FCur_F0.1</f>
        <v>0.93210958630702478</v>
      </c>
    </row>
    <row r="23" spans="2:9">
      <c r="B23" s="119">
        <v>2006</v>
      </c>
      <c r="C23" s="89">
        <v>92390.844504144276</v>
      </c>
      <c r="D23" s="89">
        <v>199000</v>
      </c>
      <c r="E23">
        <v>130432.56901758055</v>
      </c>
      <c r="F23">
        <v>0.42460127961763267</v>
      </c>
      <c r="G23"/>
      <c r="H23" s="1129" t="s">
        <v>717</v>
      </c>
      <c r="I23" s="1128">
        <f>[1]ModelSheet!FSYCurB</f>
        <v>0.23734254666744281</v>
      </c>
    </row>
    <row r="24" spans="2:9" ht="26.4">
      <c r="B24" s="119">
        <v>2007</v>
      </c>
      <c r="C24" s="89">
        <v>100000</v>
      </c>
      <c r="D24" s="89">
        <v>126000</v>
      </c>
      <c r="E24">
        <v>169848.25316084977</v>
      </c>
      <c r="F24">
        <v>-0.2964706673981537</v>
      </c>
      <c r="G24"/>
      <c r="H24" s="1129" t="s">
        <v>718</v>
      </c>
      <c r="I24" s="571">
        <f>[1]ModelSheet!Fcur_FSYCurB</f>
        <v>1.3195234392121591</v>
      </c>
    </row>
    <row r="25" spans="2:9">
      <c r="B25" s="119">
        <v>2008</v>
      </c>
      <c r="C25" s="89">
        <v>105000</v>
      </c>
      <c r="D25" s="89">
        <v>161000</v>
      </c>
      <c r="E25">
        <v>157738.36243937767</v>
      </c>
      <c r="F25">
        <v>2.261947406455813E-2</v>
      </c>
      <c r="G25"/>
      <c r="H25" s="1129" t="s">
        <v>719</v>
      </c>
      <c r="I25" s="1126">
        <f>[1]ModelSheet!DBCur</f>
        <v>-28484.876455865975</v>
      </c>
    </row>
    <row r="26" spans="2:9" ht="26.4">
      <c r="B26" s="119">
        <v>2009</v>
      </c>
      <c r="C26" s="449">
        <v>119565</v>
      </c>
      <c r="D26" s="89">
        <v>195000</v>
      </c>
      <c r="E26">
        <v>181589.29287525703</v>
      </c>
      <c r="F26">
        <v>7.3404889677786397E-2</v>
      </c>
      <c r="G26"/>
      <c r="H26" s="1129" t="s">
        <v>720</v>
      </c>
      <c r="I26" s="571">
        <f>[1]ModelSheet!DBCUr_Bcur</f>
        <v>-7.58365067825537E-2</v>
      </c>
    </row>
    <row r="27" spans="2:9">
      <c r="B27" s="119">
        <v>2010</v>
      </c>
      <c r="C27" s="89">
        <v>110483</v>
      </c>
      <c r="D27" s="89">
        <v>204000</v>
      </c>
      <c r="E27">
        <v>208041.94130376133</v>
      </c>
      <c r="F27">
        <v>-1.7466870808763916E-2</v>
      </c>
      <c r="G27"/>
      <c r="H27" s="1129" t="s">
        <v>721</v>
      </c>
      <c r="I27" s="571">
        <f>[1]ModelSheet!CurY_MSY</f>
        <v>1.1444600772443105</v>
      </c>
    </row>
    <row r="28" spans="2:9">
      <c r="B28" s="119">
        <v>2011</v>
      </c>
      <c r="C28" s="89">
        <v>67619.957629999975</v>
      </c>
      <c r="D28" s="89">
        <v>174000</v>
      </c>
      <c r="E28">
        <v>201608.85850101334</v>
      </c>
      <c r="F28">
        <v>-0.14512134138954166</v>
      </c>
      <c r="G28"/>
      <c r="H28"/>
      <c r="I28"/>
    </row>
    <row r="29" spans="2:9">
      <c r="B29" s="119">
        <v>2012</v>
      </c>
      <c r="C29" s="89">
        <v>58637</v>
      </c>
      <c r="D29" s="89">
        <v>159000</v>
      </c>
      <c r="E29">
        <v>210252.28766822699</v>
      </c>
      <c r="F29">
        <v>-0.27725114167361981</v>
      </c>
      <c r="G29"/>
      <c r="H29"/>
      <c r="I29"/>
    </row>
    <row r="30" spans="2:9">
      <c r="B30" s="119">
        <v>2013</v>
      </c>
      <c r="C30" s="89">
        <v>86377</v>
      </c>
      <c r="D30" s="89">
        <v>171000</v>
      </c>
      <c r="E30">
        <v>212557.87133541392</v>
      </c>
      <c r="F30">
        <v>-0.21539789487622776</v>
      </c>
      <c r="G30"/>
      <c r="H30"/>
      <c r="I30"/>
    </row>
    <row r="31" spans="2:9">
      <c r="B31" s="89">
        <v>2014</v>
      </c>
      <c r="C31" s="89">
        <v>104304</v>
      </c>
      <c r="D31" s="89">
        <v>161000</v>
      </c>
      <c r="E31">
        <v>185325.04327957422</v>
      </c>
      <c r="F31">
        <v>-0.13855407348666124</v>
      </c>
      <c r="G31"/>
      <c r="H31"/>
      <c r="I31"/>
    </row>
    <row r="32" spans="2:9">
      <c r="B32" s="119">
        <v>2015</v>
      </c>
      <c r="C32" s="89">
        <v>114940</v>
      </c>
      <c r="D32" s="89">
        <v>207000</v>
      </c>
      <c r="E32">
        <v>194113.28027898259</v>
      </c>
      <c r="F32">
        <v>6.6429721257570851E-2</v>
      </c>
      <c r="G32"/>
      <c r="H32"/>
      <c r="I32"/>
    </row>
    <row r="33" spans="2:9">
      <c r="B33" s="119">
        <v>2016</v>
      </c>
      <c r="C33" s="89">
        <v>160228.81875599996</v>
      </c>
      <c r="D33" s="89">
        <v>217000</v>
      </c>
      <c r="E33">
        <v>219171.91907843747</v>
      </c>
      <c r="F33">
        <v>-7.8062513280711329E-3</v>
      </c>
      <c r="G33"/>
      <c r="H33"/>
      <c r="I33"/>
    </row>
    <row r="34" spans="2:9">
      <c r="B34" s="119">
        <v>2017</v>
      </c>
      <c r="C34" s="89">
        <v>111654.76164839999</v>
      </c>
      <c r="D34" s="89">
        <v>245000</v>
      </c>
      <c r="E34">
        <v>213614.95428611335</v>
      </c>
      <c r="F34">
        <v>0.13923593081155933</v>
      </c>
      <c r="G34"/>
      <c r="H34"/>
      <c r="I34"/>
    </row>
    <row r="35" spans="2:9">
      <c r="B35" s="565">
        <v>2018</v>
      </c>
      <c r="C35" s="89">
        <v>99272.529340000008</v>
      </c>
      <c r="D35" s="89">
        <v>183800</v>
      </c>
      <c r="E35">
        <v>224641.57482734628</v>
      </c>
      <c r="F35">
        <v>-0.19850508573564057</v>
      </c>
      <c r="G35"/>
      <c r="H35"/>
      <c r="I35"/>
    </row>
    <row r="36" spans="2:9">
      <c r="B36" s="565">
        <v>2019</v>
      </c>
      <c r="C36" s="89">
        <v>75508.54363</v>
      </c>
      <c r="D36" s="89">
        <v>232000</v>
      </c>
      <c r="E36" s="133">
        <v>225085.50165594846</v>
      </c>
      <c r="F36" s="1">
        <v>3.2409869891644301E-2</v>
      </c>
    </row>
    <row r="37" spans="2:9">
      <c r="B37" s="885">
        <v>2020</v>
      </c>
      <c r="C37" s="886">
        <v>81708.741718871432</v>
      </c>
      <c r="D37" s="887">
        <v>218000</v>
      </c>
      <c r="E37" s="1">
        <v>208105.86480051943</v>
      </c>
      <c r="F37" s="1">
        <v>4.8600982784624533E-2</v>
      </c>
      <c r="H37" s="1" t="s">
        <v>18</v>
      </c>
    </row>
    <row r="38" spans="2:9">
      <c r="B38" s="565">
        <v>2021</v>
      </c>
      <c r="C38" s="89">
        <v>98078.001129835437</v>
      </c>
      <c r="D38" s="89">
        <v>187000</v>
      </c>
      <c r="E38">
        <v>192250.31543317373</v>
      </c>
      <c r="F38">
        <v>-2.5536796669532399E-2</v>
      </c>
      <c r="G38" s="2" t="s">
        <v>18</v>
      </c>
      <c r="H38" s="2" t="s">
        <v>18</v>
      </c>
    </row>
    <row r="39" spans="2:9">
      <c r="B39" s="565">
        <v>2022</v>
      </c>
      <c r="C39" s="89">
        <v>55800.288054632299</v>
      </c>
      <c r="D39" s="89">
        <v>211000</v>
      </c>
      <c r="E39" s="1">
        <v>223225.81573049113</v>
      </c>
      <c r="F39" s="1">
        <v>0.2676784134277615</v>
      </c>
    </row>
    <row r="40" spans="2:9">
      <c r="B40" s="565">
        <v>2023</v>
      </c>
      <c r="C40" s="89">
        <v>145179.35487298231</v>
      </c>
      <c r="D40" s="89">
        <v>311000</v>
      </c>
      <c r="E40" s="1">
        <v>266767.93729628378</v>
      </c>
      <c r="F40" s="1">
        <v>0.15671647511958739</v>
      </c>
    </row>
    <row r="41" spans="2:9">
      <c r="B41" s="565">
        <v>2024</v>
      </c>
      <c r="C41" s="89">
        <v>89444.353637926106</v>
      </c>
      <c r="D41" s="89">
        <v>267000</v>
      </c>
      <c r="E41" s="1">
        <v>261879.78818693009</v>
      </c>
      <c r="F41">
        <v>8.1952210438397829E-2</v>
      </c>
    </row>
    <row r="42" spans="2:9">
      <c r="B42" s="565">
        <v>2025</v>
      </c>
      <c r="C42" s="89">
        <v>117632.87926311046</v>
      </c>
      <c r="D42" s="89">
        <v>260000</v>
      </c>
      <c r="E42" s="1">
        <v>240872.21583119026</v>
      </c>
      <c r="F42" s="1">
        <v>7.6415062910578049E-2</v>
      </c>
    </row>
    <row r="43" spans="2:9">
      <c r="G43" s="1" t="s">
        <v>18</v>
      </c>
    </row>
  </sheetData>
  <phoneticPr fontId="23" type="noConversion"/>
  <pageMargins left="0.78740157499999996" right="0.78740157499999996" top="0.984251969" bottom="0.984251969" header="0.5" footer="0.5"/>
  <pageSetup paperSize="9" orientation="portrait" r:id="rId1"/>
  <headerFooter alignWithMargins="0"/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21"/>
  <dimension ref="A2:K50"/>
  <sheetViews>
    <sheetView zoomScale="60" zoomScaleNormal="60" workbookViewId="0">
      <selection activeCell="AC32" sqref="AC32"/>
    </sheetView>
  </sheetViews>
  <sheetFormatPr defaultColWidth="9.109375" defaultRowHeight="13.2"/>
  <cols>
    <col min="1" max="1" width="9.109375" style="1"/>
    <col min="2" max="2" width="10.5546875" style="1" customWidth="1"/>
    <col min="3" max="3" width="9.88671875" style="1" customWidth="1"/>
    <col min="4" max="6" width="9.109375" style="1"/>
    <col min="7" max="7" width="17.109375" style="1" bestFit="1" customWidth="1"/>
    <col min="8" max="8" width="10.6640625" style="1" customWidth="1"/>
    <col min="9" max="16384" width="9.109375" style="1"/>
  </cols>
  <sheetData>
    <row r="2" spans="1:11" s="68" customFormat="1" ht="20.399999999999999">
      <c r="A2" s="6" t="s">
        <v>722</v>
      </c>
      <c r="B2" s="6" t="s">
        <v>723</v>
      </c>
      <c r="C2" s="6"/>
      <c r="D2" s="1"/>
      <c r="E2" s="1"/>
      <c r="F2" s="1"/>
      <c r="G2" s="1"/>
      <c r="H2" s="1"/>
      <c r="I2" s="1"/>
      <c r="J2" s="82"/>
      <c r="K2" s="97"/>
    </row>
    <row r="3" spans="1:11" s="68" customFormat="1">
      <c r="A3" s="6" t="s">
        <v>724</v>
      </c>
      <c r="B3" s="6" t="s">
        <v>725</v>
      </c>
      <c r="C3" s="6"/>
      <c r="D3" s="1"/>
      <c r="E3" s="1"/>
      <c r="F3" s="1"/>
      <c r="G3" s="1"/>
      <c r="H3" s="1"/>
      <c r="I3" s="1"/>
      <c r="J3" s="1"/>
      <c r="K3" s="1"/>
    </row>
    <row r="4" spans="1:11" s="68" customFormat="1">
      <c r="A4" s="6" t="s">
        <v>726</v>
      </c>
      <c r="B4" s="6" t="s">
        <v>693</v>
      </c>
      <c r="C4" s="6"/>
      <c r="D4" s="1"/>
      <c r="E4" s="1"/>
      <c r="F4" s="1"/>
      <c r="G4" s="1"/>
      <c r="H4" s="1"/>
      <c r="I4" s="1"/>
      <c r="J4" s="1"/>
      <c r="K4" s="1"/>
    </row>
    <row r="5" spans="1:11" s="68" customFormat="1">
      <c r="A5" s="6" t="s">
        <v>727</v>
      </c>
      <c r="B5" s="6" t="s">
        <v>728</v>
      </c>
      <c r="C5" s="6"/>
      <c r="D5" s="1"/>
      <c r="E5" s="1"/>
      <c r="F5" s="1"/>
      <c r="G5" s="1"/>
      <c r="H5" s="1"/>
      <c r="I5" s="1"/>
      <c r="J5" s="1"/>
      <c r="K5" s="1"/>
    </row>
    <row r="7" spans="1:11">
      <c r="G7" s="567" t="s">
        <v>694</v>
      </c>
      <c r="H7" s="567" t="s">
        <v>695</v>
      </c>
    </row>
    <row r="8" spans="1:11">
      <c r="A8" s="6" t="s">
        <v>700</v>
      </c>
      <c r="B8" s="6" t="s">
        <v>701</v>
      </c>
      <c r="C8" s="6" t="s">
        <v>702</v>
      </c>
      <c r="D8" s="6" t="s">
        <v>703</v>
      </c>
      <c r="E8" s="6" t="s">
        <v>704</v>
      </c>
      <c r="F8" s="6"/>
      <c r="G8" s="568">
        <v>0.6</v>
      </c>
      <c r="H8" s="568">
        <v>3.005108326347508</v>
      </c>
    </row>
    <row r="9" spans="1:11">
      <c r="A9" s="119">
        <v>1991</v>
      </c>
      <c r="B9" s="89">
        <v>99396</v>
      </c>
      <c r="C9" s="20">
        <v>120022.88620470439</v>
      </c>
      <c r="D9">
        <v>87697.790950675684</v>
      </c>
      <c r="E9">
        <v>7.3109967403395523E-2</v>
      </c>
      <c r="F9"/>
      <c r="G9" s="569">
        <v>116168.80520415302</v>
      </c>
      <c r="H9" s="569">
        <v>2904220.1301038256</v>
      </c>
    </row>
    <row r="10" spans="1:11" s="68" customFormat="1">
      <c r="A10" s="119">
        <v>1992</v>
      </c>
      <c r="B10" s="89">
        <v>120131</v>
      </c>
      <c r="C10" s="20">
        <v>139031.49138443256</v>
      </c>
      <c r="D10">
        <v>88819.17711403819</v>
      </c>
      <c r="E10">
        <v>0.23149159595913238</v>
      </c>
      <c r="F10"/>
      <c r="G10" s="570">
        <v>0.25</v>
      </c>
      <c r="H10" s="570">
        <v>0.95</v>
      </c>
      <c r="I10" s="1"/>
      <c r="J10" s="1"/>
      <c r="K10" s="1"/>
    </row>
    <row r="11" spans="1:11" s="68" customFormat="1">
      <c r="A11" s="119">
        <v>1993</v>
      </c>
      <c r="B11" s="89">
        <v>105902</v>
      </c>
      <c r="C11" s="20">
        <v>118585.48585485855</v>
      </c>
      <c r="D11">
        <v>89724.707059835753</v>
      </c>
      <c r="E11">
        <v>8.7583655729804366E-2</v>
      </c>
      <c r="F11"/>
      <c r="G11" s="22"/>
      <c r="H11" s="22"/>
      <c r="I11" s="1"/>
      <c r="J11" s="1"/>
      <c r="K11" s="1"/>
    </row>
    <row r="12" spans="1:11" s="68" customFormat="1">
      <c r="A12" s="119">
        <v>1994</v>
      </c>
      <c r="B12" s="89">
        <v>73291</v>
      </c>
      <c r="C12" s="20">
        <v>146031.33829951193</v>
      </c>
      <c r="D12">
        <v>92465.243945830633</v>
      </c>
      <c r="E12">
        <v>0.28845176057127114</v>
      </c>
      <c r="F12"/>
      <c r="G12" s="567" t="s">
        <v>697</v>
      </c>
      <c r="H12"/>
      <c r="I12" s="1"/>
      <c r="J12" s="1"/>
      <c r="K12" s="1"/>
    </row>
    <row r="13" spans="1:11" s="68" customFormat="1">
      <c r="A13" s="119">
        <v>1995</v>
      </c>
      <c r="B13" s="89">
        <v>121697</v>
      </c>
      <c r="C13" s="20">
        <v>155089.28571428571</v>
      </c>
      <c r="D13">
        <v>94729.739685591485</v>
      </c>
      <c r="E13">
        <v>0.3487863966725781</v>
      </c>
      <c r="F13"/>
      <c r="G13" s="1123" t="s">
        <v>698</v>
      </c>
      <c r="H13" s="1124">
        <v>294441.75207640987</v>
      </c>
      <c r="I13" s="1"/>
      <c r="J13" s="1"/>
      <c r="K13" s="1"/>
    </row>
    <row r="14" spans="1:11" s="68" customFormat="1">
      <c r="A14" s="119">
        <v>1996</v>
      </c>
      <c r="B14" s="89">
        <v>90619</v>
      </c>
      <c r="C14" s="20">
        <v>73464.067492110276</v>
      </c>
      <c r="D14">
        <v>89671.604060866986</v>
      </c>
      <c r="E14">
        <v>-0.32683115961900078</v>
      </c>
      <c r="F14"/>
      <c r="G14" s="1125" t="s">
        <v>699</v>
      </c>
      <c r="H14" s="1126">
        <v>2246680.4162449217</v>
      </c>
      <c r="I14" s="1"/>
      <c r="J14" s="1"/>
      <c r="K14" s="1"/>
    </row>
    <row r="15" spans="1:11" s="68" customFormat="1">
      <c r="A15" s="119">
        <v>1997</v>
      </c>
      <c r="B15" s="89">
        <v>72813</v>
      </c>
      <c r="C15" s="20">
        <v>71635.421135800905</v>
      </c>
      <c r="D15">
        <v>86600.32113553946</v>
      </c>
      <c r="E15">
        <v>-0.3024444771410133</v>
      </c>
      <c r="F15"/>
      <c r="G15" s="1125" t="s">
        <v>705</v>
      </c>
      <c r="H15" s="1126">
        <v>2471348.4578694142</v>
      </c>
      <c r="I15" s="1"/>
      <c r="J15" s="1"/>
      <c r="K15" s="1"/>
    </row>
    <row r="16" spans="1:11" s="68" customFormat="1">
      <c r="A16" s="119">
        <v>1998</v>
      </c>
      <c r="B16" s="89">
        <v>122632</v>
      </c>
      <c r="C16" s="20">
        <v>107533.88699168933</v>
      </c>
      <c r="D16">
        <v>88629.598766277486</v>
      </c>
      <c r="E16">
        <v>0.11106946441628678</v>
      </c>
      <c r="F16"/>
      <c r="G16" s="1125" t="s">
        <v>706</v>
      </c>
      <c r="H16" s="1126">
        <v>3030519.7150302995</v>
      </c>
      <c r="I16" s="1"/>
      <c r="J16" s="1"/>
      <c r="K16" s="1"/>
    </row>
    <row r="17" spans="1:8" s="68" customFormat="1">
      <c r="A17" s="119">
        <v>1999</v>
      </c>
      <c r="B17" s="89">
        <v>83845</v>
      </c>
      <c r="C17" s="20">
        <v>85214.733873154561</v>
      </c>
      <c r="D17">
        <v>90275.986122582661</v>
      </c>
      <c r="E17">
        <v>-0.10769372526662255</v>
      </c>
      <c r="F17"/>
      <c r="G17" s="1125" t="s">
        <v>707</v>
      </c>
      <c r="H17" s="571">
        <v>1.3488877604120832</v>
      </c>
    </row>
    <row r="18" spans="1:8" s="68" customFormat="1">
      <c r="A18" s="119">
        <v>2000</v>
      </c>
      <c r="B18" s="89">
        <v>172113</v>
      </c>
      <c r="C18" s="20">
        <v>148694.31784237627</v>
      </c>
      <c r="D18">
        <v>132742.90662294408</v>
      </c>
      <c r="E18">
        <v>7.6784586128372606E-2</v>
      </c>
      <c r="F18"/>
      <c r="G18" s="1125" t="s">
        <v>708</v>
      </c>
      <c r="H18" s="572">
        <v>1.226261600374621</v>
      </c>
    </row>
    <row r="19" spans="1:8" s="68" customFormat="1">
      <c r="A19" s="119">
        <v>2001</v>
      </c>
      <c r="B19" s="89">
        <v>211983</v>
      </c>
      <c r="C19" s="20">
        <v>193734.61563997687</v>
      </c>
      <c r="D19">
        <v>186656.97815325879</v>
      </c>
      <c r="E19">
        <v>2.6766727575937826E-3</v>
      </c>
      <c r="F19"/>
      <c r="G19" s="1125" t="s">
        <v>709</v>
      </c>
      <c r="H19" s="1126">
        <v>258601.51604105599</v>
      </c>
    </row>
    <row r="20" spans="1:8" s="68" customFormat="1">
      <c r="A20" s="119">
        <v>2002</v>
      </c>
      <c r="B20" s="89">
        <v>153849</v>
      </c>
      <c r="C20" s="20">
        <v>200269.62420869811</v>
      </c>
      <c r="D20">
        <v>179180.42133245527</v>
      </c>
      <c r="E20">
        <v>7.977394349867116E-2</v>
      </c>
      <c r="F20"/>
      <c r="G20" s="1125" t="s">
        <v>710</v>
      </c>
      <c r="H20" s="571">
        <v>0.87827733063464086</v>
      </c>
    </row>
    <row r="21" spans="1:8" s="68" customFormat="1">
      <c r="A21" s="119">
        <v>2003</v>
      </c>
      <c r="B21" s="89">
        <v>101375.25757759484</v>
      </c>
      <c r="C21" s="20">
        <v>161838.51914350197</v>
      </c>
      <c r="D21">
        <v>176399.58308125203</v>
      </c>
      <c r="E21">
        <v>-0.12056845909846876</v>
      </c>
      <c r="F21"/>
      <c r="G21" s="1125" t="s">
        <v>711</v>
      </c>
      <c r="H21" s="1126">
        <v>384572.69416174496</v>
      </c>
    </row>
    <row r="22" spans="1:8" s="68" customFormat="1">
      <c r="A22" s="119">
        <v>2004</v>
      </c>
      <c r="B22" s="89">
        <v>181620.68434518093</v>
      </c>
      <c r="C22" s="20">
        <v>113450.22217653054</v>
      </c>
      <c r="D22">
        <v>172814.09820607415</v>
      </c>
      <c r="E22">
        <v>-0.45468906908482476</v>
      </c>
      <c r="F22"/>
      <c r="G22" s="1125" t="s">
        <v>712</v>
      </c>
      <c r="H22" s="1128">
        <v>0.13105635761428711</v>
      </c>
    </row>
    <row r="23" spans="1:8" s="68" customFormat="1">
      <c r="A23" s="119">
        <v>2005</v>
      </c>
      <c r="B23" s="89">
        <v>272334.31854736165</v>
      </c>
      <c r="C23" s="20">
        <v>191686.77026926391</v>
      </c>
      <c r="D23">
        <v>163214.9706717626</v>
      </c>
      <c r="E23">
        <v>0.14490184395602412</v>
      </c>
      <c r="F23"/>
      <c r="G23" s="1125" t="s">
        <v>713</v>
      </c>
      <c r="H23" s="1128">
        <v>0.1179507218528584</v>
      </c>
    </row>
    <row r="24" spans="1:8" s="68" customFormat="1">
      <c r="A24" s="119">
        <v>2006</v>
      </c>
      <c r="B24" s="89">
        <v>256698.18287326588</v>
      </c>
      <c r="C24" s="20">
        <v>189895.49824071556</v>
      </c>
      <c r="D24">
        <v>151645.25999415031</v>
      </c>
      <c r="E24">
        <v>0.24136098692015026</v>
      </c>
      <c r="F24"/>
      <c r="G24" s="1125" t="s">
        <v>714</v>
      </c>
      <c r="H24" s="1128">
        <v>0.12689991497313191</v>
      </c>
    </row>
    <row r="25" spans="1:8" s="68" customFormat="1">
      <c r="A25" s="119">
        <v>2007</v>
      </c>
      <c r="B25" s="89">
        <v>307041.5</v>
      </c>
      <c r="C25" s="20">
        <v>267913.99572649575</v>
      </c>
      <c r="D25">
        <v>205538.38650558604</v>
      </c>
      <c r="E25">
        <v>0.29517494315511722</v>
      </c>
      <c r="F25"/>
      <c r="G25" s="1127" t="s">
        <v>715</v>
      </c>
      <c r="H25" s="573">
        <v>0.96828507432361233</v>
      </c>
    </row>
    <row r="26" spans="1:8" s="68" customFormat="1">
      <c r="A26" s="119">
        <v>2008</v>
      </c>
      <c r="B26" s="89">
        <v>357546</v>
      </c>
      <c r="C26" s="20">
        <v>359336.80277555378</v>
      </c>
      <c r="D26">
        <v>270243.49792338209</v>
      </c>
      <c r="E26">
        <v>0.30471058504823073</v>
      </c>
      <c r="F26"/>
      <c r="G26" s="1129" t="s">
        <v>716</v>
      </c>
      <c r="H26" s="573">
        <v>1.0758723048040137</v>
      </c>
    </row>
    <row r="27" spans="1:8" s="68" customFormat="1">
      <c r="A27" s="119">
        <v>2009</v>
      </c>
      <c r="B27" s="89">
        <v>346951</v>
      </c>
      <c r="C27" s="20">
        <v>167930.84735250793</v>
      </c>
      <c r="D27">
        <v>238690.57194763955</v>
      </c>
      <c r="E27">
        <v>-0.33709551898052437</v>
      </c>
      <c r="F27"/>
      <c r="G27" s="1129" t="s">
        <v>717</v>
      </c>
      <c r="H27" s="1128">
        <v>8.5332398518473407E-2</v>
      </c>
    </row>
    <row r="28" spans="1:8" s="68" customFormat="1">
      <c r="A28" s="119">
        <v>2010</v>
      </c>
      <c r="B28" s="89">
        <v>352345</v>
      </c>
      <c r="C28" s="89">
        <v>280498.08031545085</v>
      </c>
      <c r="D28">
        <v>212659.54803277529</v>
      </c>
      <c r="E28">
        <v>0.30040623632288943</v>
      </c>
      <c r="F28"/>
      <c r="G28" s="1129" t="s">
        <v>718</v>
      </c>
      <c r="H28" s="571">
        <v>1.4871246698363887</v>
      </c>
    </row>
    <row r="29" spans="1:8" s="68" customFormat="1">
      <c r="A29" s="119">
        <v>2011</v>
      </c>
      <c r="B29" s="89">
        <v>256978</v>
      </c>
      <c r="C29" s="89">
        <v>137048.92570541031</v>
      </c>
      <c r="D29">
        <v>193621.32418801292</v>
      </c>
      <c r="E29">
        <v>-0.30742411863747715</v>
      </c>
      <c r="F29"/>
      <c r="G29" s="1129" t="s">
        <v>719</v>
      </c>
      <c r="H29" s="1126">
        <v>-125971.17812068897</v>
      </c>
    </row>
    <row r="30" spans="1:8" s="68" customFormat="1">
      <c r="A30" s="119">
        <v>2012</v>
      </c>
      <c r="B30" s="89">
        <v>173484</v>
      </c>
      <c r="C30" s="89">
        <v>143692.11749352547</v>
      </c>
      <c r="D30">
        <v>183135.61494374229</v>
      </c>
      <c r="E30">
        <v>-0.19650204064318164</v>
      </c>
      <c r="F30"/>
      <c r="G30" s="1129" t="s">
        <v>720</v>
      </c>
      <c r="H30" s="571">
        <v>-4.1567516454658504E-2</v>
      </c>
    </row>
    <row r="31" spans="1:8">
      <c r="A31" s="119">
        <v>2013</v>
      </c>
      <c r="B31" s="89">
        <v>139664</v>
      </c>
      <c r="C31" s="89">
        <v>124890.04629629629</v>
      </c>
      <c r="D31">
        <v>177885.10102197059</v>
      </c>
      <c r="E31">
        <v>-0.30645092190772144</v>
      </c>
      <c r="F31"/>
      <c r="G31" s="1129" t="s">
        <v>721</v>
      </c>
      <c r="H31" s="571">
        <v>1.3061078853448251</v>
      </c>
    </row>
    <row r="32" spans="1:8" s="68" customFormat="1">
      <c r="A32" s="119">
        <v>2014</v>
      </c>
      <c r="B32" s="89">
        <v>222025.64182262644</v>
      </c>
      <c r="C32" s="89">
        <v>122791.51091281803</v>
      </c>
      <c r="D32">
        <v>171276.51799270822</v>
      </c>
      <c r="E32">
        <v>-0.27585416954664971</v>
      </c>
      <c r="F32"/>
      <c r="G32"/>
      <c r="H32" s="1"/>
    </row>
    <row r="33" spans="1:7">
      <c r="A33" s="119">
        <v>2015</v>
      </c>
      <c r="B33" s="89">
        <v>206345.89373852112</v>
      </c>
      <c r="C33" s="89">
        <v>241184.76297841466</v>
      </c>
      <c r="D33">
        <v>162846.1224985306</v>
      </c>
      <c r="E33">
        <v>0.47155020065720865</v>
      </c>
      <c r="F33"/>
      <c r="G33"/>
    </row>
    <row r="34" spans="1:7" s="68" customFormat="1">
      <c r="A34" s="119">
        <v>2016</v>
      </c>
      <c r="B34" s="89">
        <v>235845.42578400002</v>
      </c>
      <c r="C34" s="574">
        <v>308000</v>
      </c>
      <c r="D34">
        <v>225689.31188677452</v>
      </c>
      <c r="E34">
        <v>0.38819721206838848</v>
      </c>
      <c r="F34"/>
      <c r="G34"/>
    </row>
    <row r="35" spans="1:7">
      <c r="A35" s="119">
        <v>2017</v>
      </c>
      <c r="B35" s="89">
        <v>234539.03880159999</v>
      </c>
      <c r="C35" s="574">
        <v>223000</v>
      </c>
      <c r="D35">
        <v>302484.68178053561</v>
      </c>
      <c r="E35">
        <v>-0.26115816869601066</v>
      </c>
      <c r="F35"/>
      <c r="G35"/>
    </row>
    <row r="36" spans="1:7" s="68" customFormat="1">
      <c r="A36" s="565">
        <v>2018</v>
      </c>
      <c r="B36" s="89">
        <v>200843.90534000003</v>
      </c>
      <c r="C36" s="574">
        <v>249000</v>
      </c>
      <c r="D36">
        <v>305232.74408520886</v>
      </c>
      <c r="E36">
        <v>-0.12948561129389649</v>
      </c>
      <c r="F36"/>
      <c r="G36"/>
    </row>
    <row r="37" spans="1:7">
      <c r="A37" s="565">
        <v>2019</v>
      </c>
      <c r="B37" s="89">
        <v>245224.37228000001</v>
      </c>
      <c r="C37" s="574">
        <v>280000</v>
      </c>
      <c r="D37" s="1">
        <v>307219.54897073092</v>
      </c>
      <c r="E37" s="1">
        <v>1.0436146477203772E-2</v>
      </c>
    </row>
    <row r="38" spans="1:7" s="68" customFormat="1">
      <c r="A38" s="885">
        <v>2020</v>
      </c>
      <c r="B38" s="886">
        <v>226458.89181257371</v>
      </c>
      <c r="C38" s="887">
        <v>186000</v>
      </c>
      <c r="D38" s="1">
        <v>258680.77417103786</v>
      </c>
      <c r="E38" s="1">
        <v>-0.32822932851427383</v>
      </c>
      <c r="F38" s="1"/>
      <c r="G38" s="1"/>
    </row>
    <row r="39" spans="1:7">
      <c r="A39" s="565">
        <v>2021</v>
      </c>
      <c r="B39" s="89">
        <v>155859.96599070966</v>
      </c>
      <c r="C39" s="449">
        <v>240000</v>
      </c>
      <c r="D39">
        <v>324373.16719061194</v>
      </c>
      <c r="E39">
        <v>3.5483016814175333E-3</v>
      </c>
      <c r="F39" s="575"/>
    </row>
    <row r="40" spans="1:7" s="68" customFormat="1">
      <c r="A40" s="565">
        <v>2022</v>
      </c>
      <c r="B40" s="89">
        <v>197670</v>
      </c>
      <c r="C40" s="449">
        <v>249000</v>
      </c>
      <c r="D40" s="1">
        <v>418233.17458374455</v>
      </c>
      <c r="E40" s="1">
        <v>-5.5877309940693693E-3</v>
      </c>
      <c r="F40" s="1"/>
      <c r="G40" s="1"/>
    </row>
    <row r="41" spans="1:7">
      <c r="A41" s="565">
        <v>2023</v>
      </c>
      <c r="B41" s="89">
        <v>150333.89595935252</v>
      </c>
      <c r="C41" s="449">
        <v>318000</v>
      </c>
      <c r="D41" s="1">
        <v>339813.78136542632</v>
      </c>
      <c r="E41" s="1">
        <v>5.3270066063455732E-2</v>
      </c>
    </row>
    <row r="42" spans="1:7" s="68" customFormat="1">
      <c r="A42" s="565">
        <v>2024</v>
      </c>
      <c r="B42" s="89">
        <v>345818.88024871983</v>
      </c>
      <c r="C42" s="449">
        <v>267000</v>
      </c>
      <c r="D42" s="1">
        <v>281414.16190762736</v>
      </c>
      <c r="E42" s="1">
        <v>-4.7269451980432996E-2</v>
      </c>
      <c r="F42" s="1"/>
      <c r="G42" s="1"/>
    </row>
    <row r="43" spans="1:7">
      <c r="A43" s="565">
        <v>2025</v>
      </c>
      <c r="B43" s="89">
        <v>384572.69416174496</v>
      </c>
      <c r="C43" s="449">
        <v>252000</v>
      </c>
      <c r="D43" s="1">
        <v>246708.51418271457</v>
      </c>
      <c r="E43" s="1">
        <v>2.1221552278519955E-2</v>
      </c>
    </row>
    <row r="44" spans="1:7" s="68" customFormat="1">
      <c r="A44" s="1"/>
      <c r="B44" s="1"/>
      <c r="C44" s="1"/>
      <c r="D44" s="1"/>
      <c r="E44" s="1"/>
      <c r="F44" s="1"/>
      <c r="G44" s="1"/>
    </row>
    <row r="46" spans="1:7" s="68" customFormat="1">
      <c r="A46" s="2" t="s">
        <v>18</v>
      </c>
      <c r="B46" s="2" t="s">
        <v>18</v>
      </c>
      <c r="C46" s="2" t="s">
        <v>18</v>
      </c>
      <c r="D46" s="1"/>
      <c r="E46" s="1"/>
      <c r="F46" s="1"/>
      <c r="G46" s="1"/>
    </row>
    <row r="48" spans="1:7" s="68" customFormat="1">
      <c r="A48" s="1"/>
      <c r="B48" s="1"/>
      <c r="C48" s="1"/>
      <c r="D48" s="1"/>
      <c r="E48" s="1"/>
      <c r="F48" s="1"/>
      <c r="G48" s="1"/>
    </row>
    <row r="50" spans="1:3" s="68" customFormat="1">
      <c r="A50" s="1"/>
      <c r="B50" s="1"/>
      <c r="C50" s="1"/>
    </row>
  </sheetData>
  <phoneticPr fontId="23" type="noConversion"/>
  <pageMargins left="0.78740157499999996" right="0.78740157499999996" top="0.984251969" bottom="0.984251969" header="0.5" footer="0.5"/>
  <pageSetup orientation="portrait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"/>
  <sheetViews>
    <sheetView workbookViewId="0"/>
  </sheetViews>
  <sheetFormatPr defaultColWidth="11.44140625" defaultRowHeight="13.2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23"/>
  <dimension ref="A1:U64"/>
  <sheetViews>
    <sheetView topLeftCell="H1" zoomScale="130" zoomScaleNormal="130" workbookViewId="0">
      <selection activeCell="O15" sqref="O15"/>
    </sheetView>
  </sheetViews>
  <sheetFormatPr defaultColWidth="10.33203125" defaultRowHeight="13.2"/>
  <cols>
    <col min="1" max="1" width="10.33203125" style="40"/>
    <col min="2" max="2" width="15" style="40" customWidth="1"/>
    <col min="3" max="3" width="4.6640625" style="40" customWidth="1"/>
    <col min="4" max="6" width="10.33203125" style="40"/>
    <col min="7" max="7" width="13.109375" style="40" customWidth="1"/>
    <col min="8" max="8" width="10.33203125" style="40"/>
    <col min="9" max="9" width="10.88671875" style="40" bestFit="1" customWidth="1"/>
    <col min="10" max="14" width="10.33203125" style="40"/>
    <col min="15" max="15" width="13.44140625" style="40" customWidth="1"/>
    <col min="16" max="16" width="10.44140625" style="40" customWidth="1"/>
    <col min="17" max="17" width="15.88671875" style="40" customWidth="1"/>
    <col min="18" max="18" width="10.33203125" style="40" customWidth="1"/>
    <col min="19" max="16384" width="10.33203125" style="40"/>
  </cols>
  <sheetData>
    <row r="1" spans="1:21" ht="20.399999999999999">
      <c r="B1" s="120" t="s">
        <v>729</v>
      </c>
      <c r="H1" s="147"/>
      <c r="J1" s="97"/>
      <c r="K1" s="82"/>
    </row>
    <row r="2" spans="1:21" s="41" customFormat="1" ht="13.8">
      <c r="A2" s="40"/>
      <c r="B2" s="40"/>
      <c r="C2" s="42" t="s">
        <v>730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</row>
    <row r="4" spans="1:21" ht="15.6">
      <c r="N4" s="120" t="s">
        <v>731</v>
      </c>
      <c r="P4"/>
    </row>
    <row r="5" spans="1:21">
      <c r="Q5" s="40">
        <v>20166</v>
      </c>
    </row>
    <row r="6" spans="1:21">
      <c r="P6" s="40" t="s">
        <v>732</v>
      </c>
      <c r="Q6" s="40" t="s">
        <v>733</v>
      </c>
      <c r="R6" s="40" t="s">
        <v>734</v>
      </c>
      <c r="S6" s="40" t="s">
        <v>735</v>
      </c>
    </row>
    <row r="7" spans="1:21">
      <c r="P7" s="40">
        <v>1995</v>
      </c>
      <c r="Q7">
        <v>0.70982128608374262</v>
      </c>
      <c r="R7">
        <v>0.89339644735243784</v>
      </c>
      <c r="S7">
        <v>0.6162368154373471</v>
      </c>
    </row>
    <row r="8" spans="1:21">
      <c r="P8" s="40">
        <v>1996</v>
      </c>
      <c r="Q8">
        <v>0.47356449453986321</v>
      </c>
      <c r="R8">
        <v>0.8990357295033321</v>
      </c>
      <c r="S8">
        <v>0.66612087818948629</v>
      </c>
    </row>
    <row r="9" spans="1:21">
      <c r="P9" s="40">
        <v>1997</v>
      </c>
      <c r="Q9">
        <v>0.50065025007901043</v>
      </c>
      <c r="R9">
        <v>0.95460968577280569</v>
      </c>
      <c r="S9">
        <v>0.7632445319692841</v>
      </c>
    </row>
    <row r="10" spans="1:21">
      <c r="P10" s="40">
        <v>1998</v>
      </c>
      <c r="Q10">
        <v>0.84281115606987755</v>
      </c>
      <c r="R10">
        <v>0.98912283281295343</v>
      </c>
      <c r="S10">
        <v>0.71372760856411088</v>
      </c>
    </row>
    <row r="11" spans="1:21" ht="13.5" customHeight="1">
      <c r="P11" s="40">
        <v>1999</v>
      </c>
      <c r="Q11">
        <v>0.82444003417601242</v>
      </c>
      <c r="R11">
        <v>0.90275115891550117</v>
      </c>
      <c r="S11">
        <v>0.6098496746939569</v>
      </c>
    </row>
    <row r="12" spans="1:21">
      <c r="P12" s="40">
        <v>2000</v>
      </c>
      <c r="Q12">
        <v>0.67595417740082642</v>
      </c>
      <c r="R12">
        <v>0.88025117413079201</v>
      </c>
      <c r="S12">
        <v>0.60268544749088204</v>
      </c>
    </row>
    <row r="13" spans="1:21">
      <c r="P13" s="40">
        <v>2001</v>
      </c>
      <c r="Q13">
        <v>0.69349250154019371</v>
      </c>
      <c r="R13">
        <v>0.89246802689532756</v>
      </c>
      <c r="S13">
        <v>0.53022303304679352</v>
      </c>
    </row>
    <row r="14" spans="1:21">
      <c r="P14" s="40">
        <v>2002</v>
      </c>
      <c r="Q14">
        <v>0.41007358001837757</v>
      </c>
      <c r="R14">
        <v>0.75611537409053586</v>
      </c>
      <c r="S14">
        <v>0.49833315339776652</v>
      </c>
    </row>
    <row r="15" spans="1:21">
      <c r="P15" s="40">
        <v>2003</v>
      </c>
      <c r="Q15">
        <v>0.63507761791390427</v>
      </c>
      <c r="R15">
        <v>0.83489349961206438</v>
      </c>
      <c r="S15">
        <v>0.54869280541147347</v>
      </c>
    </row>
    <row r="16" spans="1:21">
      <c r="P16" s="40">
        <v>2004</v>
      </c>
      <c r="Q16">
        <v>1.6789837911688867</v>
      </c>
      <c r="R16">
        <v>0.85071211246901379</v>
      </c>
      <c r="S16">
        <v>0.61925328431034588</v>
      </c>
    </row>
    <row r="17" spans="1:19">
      <c r="P17" s="40">
        <v>2005</v>
      </c>
      <c r="Q17">
        <v>1.1977453924505903</v>
      </c>
      <c r="R17">
        <v>0.94054827011818087</v>
      </c>
      <c r="S17">
        <v>0.60528280661477807</v>
      </c>
    </row>
    <row r="18" spans="1:19">
      <c r="P18" s="40">
        <v>2006</v>
      </c>
      <c r="Q18">
        <v>0.91598675999070855</v>
      </c>
      <c r="R18">
        <v>0.8288088929678169</v>
      </c>
      <c r="S18">
        <v>0.7157952001983876</v>
      </c>
    </row>
    <row r="19" spans="1:19">
      <c r="P19" s="40">
        <v>2007</v>
      </c>
      <c r="Q19">
        <v>0.99142589821183114</v>
      </c>
      <c r="R19">
        <v>0.99669332081468498</v>
      </c>
      <c r="S19">
        <v>0.93210281212992119</v>
      </c>
    </row>
    <row r="20" spans="1:19">
      <c r="P20" s="40">
        <v>2008</v>
      </c>
      <c r="Q20">
        <v>1.0409971931224227</v>
      </c>
      <c r="R20">
        <v>0.99996521766134538</v>
      </c>
      <c r="S20">
        <v>0.865645471615618</v>
      </c>
    </row>
    <row r="21" spans="1:19">
      <c r="P21" s="40">
        <v>2009</v>
      </c>
      <c r="Q21">
        <v>1.1853983751969759</v>
      </c>
      <c r="R21">
        <v>0.99227061367747293</v>
      </c>
      <c r="S21">
        <v>0.99653595130836203</v>
      </c>
    </row>
    <row r="22" spans="1:19">
      <c r="P22" s="40">
        <v>2010</v>
      </c>
      <c r="Q22">
        <v>1.0953570751213773</v>
      </c>
      <c r="R22">
        <v>0.89922015193461902</v>
      </c>
      <c r="S22">
        <v>1.141704285569314</v>
      </c>
    </row>
    <row r="23" spans="1:19">
      <c r="A23" s="44" t="s">
        <v>736</v>
      </c>
      <c r="P23" s="40">
        <v>2011</v>
      </c>
      <c r="Q23">
        <v>0.67040177230368692</v>
      </c>
      <c r="R23">
        <v>0.96112411034978129</v>
      </c>
      <c r="S23">
        <v>1.1064004513554442</v>
      </c>
    </row>
    <row r="24" spans="1:19">
      <c r="P24" s="40">
        <v>2012</v>
      </c>
      <c r="Q24">
        <v>0.58134240393447134</v>
      </c>
      <c r="R24">
        <v>0.94371665390812431</v>
      </c>
      <c r="S24">
        <v>1.1538343488685134</v>
      </c>
    </row>
    <row r="25" spans="1:19">
      <c r="P25" s="40">
        <v>2013</v>
      </c>
      <c r="Q25">
        <v>0.8563639480984333</v>
      </c>
      <c r="R25">
        <v>0.90878337886643934</v>
      </c>
      <c r="S25">
        <v>1.1664870608027986</v>
      </c>
    </row>
    <row r="26" spans="1:19">
      <c r="B26" s="43" t="s">
        <v>737</v>
      </c>
      <c r="C26" s="1"/>
      <c r="P26" s="40">
        <v>2014</v>
      </c>
      <c r="Q26">
        <v>1.0340968688708683</v>
      </c>
      <c r="R26">
        <v>0.93002675851837602</v>
      </c>
      <c r="S26">
        <v>1.0170372128313871</v>
      </c>
    </row>
    <row r="27" spans="1:19">
      <c r="C27" s="1"/>
      <c r="N27"/>
      <c r="O27"/>
      <c r="P27" s="40">
        <v>2015</v>
      </c>
      <c r="Q27">
        <v>1.1395449274046787</v>
      </c>
      <c r="R27">
        <v>0.99989523067619523</v>
      </c>
      <c r="S27">
        <v>1.0652657949237518</v>
      </c>
    </row>
    <row r="28" spans="1:19">
      <c r="B28" s="40" t="s">
        <v>738</v>
      </c>
      <c r="C28" s="1"/>
      <c r="E28" s="40" t="s">
        <v>739</v>
      </c>
      <c r="H28" t="s">
        <v>740</v>
      </c>
      <c r="I28"/>
      <c r="K28" s="40" t="s">
        <v>741</v>
      </c>
      <c r="N28" t="s">
        <v>742</v>
      </c>
      <c r="P28" s="40">
        <v>2016</v>
      </c>
      <c r="Q28">
        <v>1.5885500055458794</v>
      </c>
      <c r="R28">
        <v>0.85000079195852596</v>
      </c>
      <c r="S28">
        <v>1.1180628993993289</v>
      </c>
    </row>
    <row r="29" spans="1:19">
      <c r="B29" t="s">
        <v>743</v>
      </c>
      <c r="C29" t="s">
        <v>744</v>
      </c>
      <c r="D29"/>
      <c r="E29" t="s">
        <v>743</v>
      </c>
      <c r="F29" t="s">
        <v>698</v>
      </c>
      <c r="H29" t="s">
        <v>743</v>
      </c>
      <c r="I29" t="s">
        <v>745</v>
      </c>
      <c r="K29" s="40" t="s">
        <v>743</v>
      </c>
      <c r="L29" s="40" t="s">
        <v>746</v>
      </c>
      <c r="N29" t="s">
        <v>743</v>
      </c>
      <c r="O29" s="40" t="s">
        <v>747</v>
      </c>
      <c r="P29" s="40">
        <v>2017</v>
      </c>
      <c r="Q29">
        <v>1.1069742235689286</v>
      </c>
      <c r="R29">
        <v>0.99184487328373927</v>
      </c>
      <c r="S29">
        <v>0.94180491008404688</v>
      </c>
    </row>
    <row r="30" spans="1:19">
      <c r="B30">
        <v>2025</v>
      </c>
      <c r="C30">
        <v>0</v>
      </c>
      <c r="D30" s="317"/>
      <c r="E30">
        <v>1995</v>
      </c>
      <c r="F30">
        <v>1</v>
      </c>
      <c r="G30" s="318"/>
      <c r="H30">
        <v>2025</v>
      </c>
      <c r="I30">
        <v>0</v>
      </c>
      <c r="J30" s="318"/>
      <c r="K30" s="1982">
        <v>1995</v>
      </c>
      <c r="L30" s="1982">
        <v>0.90909090909090895</v>
      </c>
      <c r="M30" s="318"/>
      <c r="N30" s="40">
        <v>1995</v>
      </c>
      <c r="O30" s="40">
        <v>1</v>
      </c>
      <c r="P30" s="40">
        <v>2018</v>
      </c>
      <c r="Q30">
        <v>0.9842135656866986</v>
      </c>
      <c r="R30">
        <v>0.99975574581136306</v>
      </c>
      <c r="S30">
        <v>0.86661902407516811</v>
      </c>
    </row>
    <row r="31" spans="1:19">
      <c r="B31">
        <v>2025</v>
      </c>
      <c r="C31">
        <v>1.5810268275675101</v>
      </c>
      <c r="D31" s="317"/>
      <c r="E31">
        <v>2030</v>
      </c>
      <c r="F31">
        <v>1</v>
      </c>
      <c r="G31" s="318"/>
      <c r="H31">
        <v>2025</v>
      </c>
      <c r="I31">
        <v>1.4018383077727559</v>
      </c>
      <c r="J31" s="318"/>
      <c r="K31" s="1982">
        <v>2030</v>
      </c>
      <c r="L31" s="1982">
        <v>0.90909090909090895</v>
      </c>
      <c r="M31" s="318"/>
      <c r="N31" s="40">
        <v>2030</v>
      </c>
      <c r="O31" s="40">
        <v>1</v>
      </c>
      <c r="P31" s="40">
        <v>2019</v>
      </c>
      <c r="Q31">
        <v>0.74861125691039987</v>
      </c>
      <c r="R31">
        <v>0.99409752737043244</v>
      </c>
      <c r="S31">
        <v>1.0565109616447994</v>
      </c>
    </row>
    <row r="32" spans="1:19">
      <c r="B32"/>
      <c r="C32"/>
      <c r="D32"/>
      <c r="E32"/>
      <c r="F32"/>
      <c r="P32" s="40">
        <v>2020</v>
      </c>
      <c r="Q32">
        <v>0.81008162650390625</v>
      </c>
      <c r="R32">
        <v>0.78561158419943866</v>
      </c>
      <c r="S32">
        <v>1.3057599713712955</v>
      </c>
    </row>
    <row r="33" spans="2:19">
      <c r="B33"/>
      <c r="C33"/>
      <c r="D33"/>
      <c r="E33"/>
      <c r="F33"/>
      <c r="P33" s="40">
        <v>2021</v>
      </c>
      <c r="Q33">
        <v>0.78875342702911388</v>
      </c>
      <c r="R33">
        <v>0.83178707090886006</v>
      </c>
      <c r="S33">
        <v>1.1908031188548034</v>
      </c>
    </row>
    <row r="34" spans="2:19">
      <c r="B34"/>
      <c r="C34"/>
      <c r="D34"/>
      <c r="E34"/>
      <c r="F34"/>
      <c r="J34" s="318"/>
      <c r="K34" s="318"/>
      <c r="P34" s="40">
        <v>2022</v>
      </c>
      <c r="Q34">
        <v>0.55321850705042741</v>
      </c>
      <c r="R34">
        <v>0.95301649812109213</v>
      </c>
      <c r="S34">
        <v>1.0916241306268599</v>
      </c>
    </row>
    <row r="35" spans="2:19">
      <c r="B35"/>
      <c r="C35"/>
      <c r="D35"/>
      <c r="E35"/>
      <c r="F35"/>
      <c r="J35" s="318"/>
      <c r="K35" s="318"/>
      <c r="P35" s="40">
        <v>2023</v>
      </c>
      <c r="Q35">
        <v>0.78293789489172716</v>
      </c>
      <c r="R35">
        <v>0.96928836463723034</v>
      </c>
      <c r="S35">
        <v>1.0684066861775969</v>
      </c>
    </row>
    <row r="36" spans="2:19" ht="15.6">
      <c r="B36"/>
      <c r="C36"/>
      <c r="D36"/>
      <c r="E36" s="120"/>
      <c r="F36"/>
      <c r="P36" s="40">
        <v>2024</v>
      </c>
      <c r="Q36" s="40">
        <v>0.77006995419764845</v>
      </c>
      <c r="R36" s="40">
        <v>0.97442243509821191</v>
      </c>
      <c r="S36" s="40">
        <v>1.0544817045007544</v>
      </c>
    </row>
    <row r="37" spans="2:19">
      <c r="B37"/>
      <c r="C37"/>
      <c r="D37"/>
      <c r="E37"/>
      <c r="F37"/>
      <c r="P37" s="40">
        <v>2025</v>
      </c>
      <c r="Q37" s="40">
        <v>0.76266219222766907</v>
      </c>
      <c r="R37" s="40">
        <v>0.97717973395541013</v>
      </c>
      <c r="S37" s="40">
        <v>1.0464216194356577</v>
      </c>
    </row>
    <row r="38" spans="2:19">
      <c r="B38"/>
      <c r="C38"/>
      <c r="D38"/>
      <c r="E38"/>
      <c r="F38"/>
      <c r="P38" s="40">
        <v>2026</v>
      </c>
      <c r="Q38" s="40">
        <v>0.75834266124072969</v>
      </c>
      <c r="R38" s="40">
        <v>0.97871975921224152</v>
      </c>
      <c r="S38" s="40">
        <v>1.0417068050372538</v>
      </c>
    </row>
    <row r="39" spans="2:19">
      <c r="B39"/>
      <c r="C39"/>
      <c r="D39"/>
      <c r="E39"/>
      <c r="F39" s="317"/>
      <c r="G39" s="318"/>
      <c r="H39" s="318"/>
      <c r="I39" s="318"/>
      <c r="J39" s="318"/>
      <c r="K39" s="318"/>
      <c r="L39" s="318"/>
      <c r="P39" s="40">
        <v>2027</v>
      </c>
      <c r="Q39" s="40">
        <v>0.75580509012294583</v>
      </c>
      <c r="R39" s="40">
        <v>0.9796010025513161</v>
      </c>
      <c r="S39" s="40">
        <v>1.0389318717237577</v>
      </c>
    </row>
    <row r="40" spans="2:19">
      <c r="B40"/>
      <c r="C40"/>
      <c r="D40"/>
      <c r="E40"/>
      <c r="F40" s="317"/>
      <c r="G40" s="318"/>
      <c r="H40" s="318"/>
      <c r="I40" s="318"/>
      <c r="J40" s="318"/>
      <c r="K40" s="318"/>
      <c r="L40" s="318"/>
      <c r="P40" s="40">
        <v>2028</v>
      </c>
      <c r="Q40" s="40">
        <v>0.74483706355513779</v>
      </c>
      <c r="R40" s="40">
        <v>0.97889505466130189</v>
      </c>
      <c r="S40" s="40">
        <v>1.0411594654762231</v>
      </c>
    </row>
    <row r="41" spans="2:19">
      <c r="B41"/>
      <c r="C41"/>
      <c r="D41"/>
      <c r="E41"/>
      <c r="F41" s="317"/>
      <c r="G41" s="318"/>
      <c r="H41" s="318"/>
      <c r="I41" s="318"/>
      <c r="J41" s="318"/>
      <c r="K41" s="318"/>
      <c r="L41" s="318"/>
      <c r="P41" s="40">
        <v>2029</v>
      </c>
      <c r="Q41" s="40">
        <v>0.74646471010918791</v>
      </c>
      <c r="R41" s="40">
        <v>0.98004060876586296</v>
      </c>
      <c r="S41" s="40">
        <v>1.0375251905593375</v>
      </c>
    </row>
    <row r="42" spans="2:19">
      <c r="B42"/>
      <c r="C42"/>
      <c r="D42"/>
      <c r="E42"/>
      <c r="F42" s="317"/>
      <c r="G42" s="318"/>
      <c r="H42" s="318"/>
      <c r="I42" s="318"/>
      <c r="J42" s="318"/>
      <c r="K42" s="318"/>
      <c r="L42" s="318"/>
      <c r="P42" s="40">
        <v>2030</v>
      </c>
      <c r="Q42" s="40">
        <v>0.75393045683410931</v>
      </c>
      <c r="R42" s="40">
        <v>0.99156917282634183</v>
      </c>
      <c r="S42" s="40">
        <v>0.99256321445834006</v>
      </c>
    </row>
    <row r="43" spans="2:19">
      <c r="B43"/>
      <c r="C43"/>
      <c r="D43"/>
      <c r="E43"/>
      <c r="F43" s="317"/>
      <c r="G43" s="318"/>
      <c r="H43" s="318"/>
      <c r="I43" s="318"/>
      <c r="J43" s="318"/>
      <c r="K43" s="318"/>
      <c r="L43" s="318"/>
    </row>
    <row r="44" spans="2:19">
      <c r="B44"/>
      <c r="C44"/>
      <c r="D44"/>
      <c r="E44"/>
      <c r="F44" s="317"/>
      <c r="G44" s="318"/>
      <c r="H44" s="318"/>
      <c r="I44" s="318"/>
      <c r="J44" s="318"/>
      <c r="K44" s="318"/>
      <c r="L44" s="318"/>
    </row>
    <row r="45" spans="2:19">
      <c r="B45"/>
      <c r="C45"/>
      <c r="D45"/>
      <c r="E45"/>
      <c r="F45" s="317"/>
      <c r="G45" s="318"/>
      <c r="H45" s="318"/>
      <c r="I45" s="318"/>
      <c r="J45" s="318"/>
      <c r="K45" s="318"/>
      <c r="L45" s="318"/>
    </row>
    <row r="46" spans="2:19">
      <c r="B46"/>
      <c r="C46"/>
      <c r="D46"/>
      <c r="E46"/>
      <c r="F46" s="317"/>
      <c r="G46" s="318"/>
      <c r="H46" s="318"/>
      <c r="I46" s="318"/>
      <c r="J46" s="318"/>
      <c r="K46" s="318"/>
      <c r="L46" s="318"/>
    </row>
    <row r="47" spans="2:19">
      <c r="B47"/>
      <c r="C47"/>
      <c r="D47"/>
      <c r="E47"/>
      <c r="F47" s="317"/>
      <c r="G47" s="318"/>
      <c r="H47" s="318"/>
      <c r="I47" s="318"/>
      <c r="J47" s="318"/>
      <c r="K47" s="318"/>
      <c r="L47" s="318"/>
    </row>
    <row r="48" spans="2:19">
      <c r="B48"/>
      <c r="C48"/>
      <c r="D48"/>
      <c r="E48"/>
      <c r="F48" s="317"/>
      <c r="G48" s="318"/>
      <c r="H48" s="318"/>
      <c r="I48" s="318"/>
      <c r="J48" s="318"/>
      <c r="K48" s="318"/>
      <c r="L48" s="318"/>
    </row>
    <row r="49" spans="6:12">
      <c r="F49" s="318"/>
      <c r="G49" s="318"/>
      <c r="H49" s="318"/>
      <c r="I49" s="318"/>
      <c r="J49" s="318"/>
      <c r="K49" s="318"/>
      <c r="L49" s="318"/>
    </row>
    <row r="50" spans="6:12">
      <c r="F50" s="318"/>
      <c r="G50" s="318"/>
      <c r="H50" s="318"/>
      <c r="I50" s="318"/>
      <c r="J50" s="318"/>
      <c r="K50" s="318"/>
      <c r="L50" s="318"/>
    </row>
    <row r="51" spans="6:12">
      <c r="F51" s="318"/>
      <c r="G51" s="318"/>
      <c r="H51" s="318"/>
      <c r="I51" s="318"/>
      <c r="J51" s="318"/>
      <c r="K51" s="318"/>
      <c r="L51" s="318"/>
    </row>
    <row r="52" spans="6:12">
      <c r="F52" s="318"/>
      <c r="G52" s="318"/>
      <c r="H52" s="318"/>
      <c r="I52" s="318"/>
      <c r="J52" s="318"/>
      <c r="K52" s="318"/>
      <c r="L52" s="318"/>
    </row>
    <row r="53" spans="6:12">
      <c r="F53" s="318"/>
      <c r="G53" s="318"/>
      <c r="H53" s="318"/>
      <c r="I53" s="318"/>
      <c r="J53" s="318"/>
      <c r="K53" s="318"/>
      <c r="L53" s="318"/>
    </row>
    <row r="54" spans="6:12">
      <c r="F54" s="318"/>
      <c r="G54" s="318"/>
      <c r="H54" s="318"/>
      <c r="I54" s="318"/>
      <c r="J54" s="318"/>
      <c r="K54" s="318"/>
      <c r="L54" s="318"/>
    </row>
    <row r="55" spans="6:12">
      <c r="F55" s="318"/>
      <c r="G55" s="318"/>
      <c r="H55" s="318"/>
      <c r="I55" s="318"/>
      <c r="J55" s="318"/>
      <c r="K55" s="318"/>
      <c r="L55" s="318"/>
    </row>
    <row r="56" spans="6:12">
      <c r="F56" s="318"/>
      <c r="G56" s="318"/>
      <c r="H56" s="318"/>
      <c r="I56" s="318"/>
      <c r="J56" s="318"/>
      <c r="K56" s="318"/>
      <c r="L56" s="318"/>
    </row>
    <row r="57" spans="6:12">
      <c r="F57" s="318"/>
      <c r="G57" s="318"/>
      <c r="H57" s="318"/>
      <c r="I57" s="318"/>
      <c r="J57" s="318"/>
      <c r="K57" s="318"/>
      <c r="L57" s="318"/>
    </row>
    <row r="58" spans="6:12">
      <c r="F58" s="318"/>
      <c r="G58" s="318"/>
      <c r="H58" s="318"/>
      <c r="I58" s="318"/>
      <c r="J58" s="318"/>
      <c r="K58" s="318"/>
      <c r="L58" s="318"/>
    </row>
    <row r="59" spans="6:12">
      <c r="F59" s="318"/>
      <c r="G59" s="318"/>
      <c r="H59" s="318"/>
      <c r="I59" s="318"/>
      <c r="J59" s="318"/>
      <c r="K59" s="318"/>
      <c r="L59" s="318"/>
    </row>
    <row r="60" spans="6:12">
      <c r="F60" s="318"/>
      <c r="G60" s="318"/>
      <c r="H60" s="318"/>
      <c r="I60" s="318"/>
      <c r="J60" s="318"/>
      <c r="K60" s="318"/>
      <c r="L60" s="318"/>
    </row>
    <row r="61" spans="6:12">
      <c r="F61" s="318"/>
      <c r="G61" s="318"/>
      <c r="H61" s="318"/>
      <c r="I61" s="318"/>
      <c r="J61" s="318"/>
      <c r="K61" s="318"/>
      <c r="L61" s="318"/>
    </row>
    <row r="62" spans="6:12">
      <c r="F62" s="318"/>
      <c r="G62" s="318"/>
      <c r="H62" s="318"/>
      <c r="I62" s="318"/>
      <c r="J62" s="318"/>
      <c r="K62" s="318"/>
      <c r="L62" s="318"/>
    </row>
    <row r="63" spans="6:12">
      <c r="F63" s="318"/>
      <c r="G63" s="318"/>
      <c r="H63" s="318"/>
      <c r="I63" s="318"/>
      <c r="J63" s="318"/>
      <c r="K63" s="318"/>
      <c r="L63" s="318"/>
    </row>
    <row r="64" spans="6:12">
      <c r="F64" s="318"/>
      <c r="G64" s="318"/>
      <c r="H64" s="318"/>
      <c r="I64" s="318"/>
      <c r="J64" s="318"/>
      <c r="K64" s="318"/>
      <c r="L64" s="318"/>
    </row>
  </sheetData>
  <phoneticPr fontId="23" type="noConversion"/>
  <pageMargins left="0.78740157499999996" right="0.78740157499999996" top="0.984251969" bottom="0.984251969" header="0.5" footer="0.5"/>
  <headerFooter alignWithMargins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"/>
  <sheetViews>
    <sheetView workbookViewId="0"/>
  </sheetViews>
  <sheetFormatPr defaultColWidth="11.44140625" defaultRowHeight="13.2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25"/>
  <dimension ref="A1:AC89"/>
  <sheetViews>
    <sheetView zoomScale="70" zoomScaleNormal="70" workbookViewId="0">
      <selection activeCell="J64" sqref="J64"/>
    </sheetView>
  </sheetViews>
  <sheetFormatPr defaultColWidth="10.33203125" defaultRowHeight="15.6"/>
  <cols>
    <col min="1" max="1" width="13.33203125" style="40" customWidth="1"/>
    <col min="2" max="3" width="10.33203125" style="40"/>
    <col min="4" max="4" width="15.44140625" style="40" customWidth="1"/>
    <col min="5" max="13" width="10.33203125" style="40"/>
    <col min="14" max="14" width="2" style="40" customWidth="1"/>
    <col min="15" max="17" width="10.33203125" style="40"/>
    <col min="18" max="16384" width="10.33203125" style="67"/>
  </cols>
  <sheetData>
    <row r="1" spans="1:17" ht="20.399999999999999">
      <c r="A1" s="495" t="s">
        <v>748</v>
      </c>
      <c r="E1" s="147"/>
      <c r="Q1" s="82"/>
    </row>
    <row r="14" spans="1:17">
      <c r="A14" s="42" t="s">
        <v>749</v>
      </c>
    </row>
    <row r="15" spans="1:17">
      <c r="J15" s="31"/>
    </row>
    <row r="16" spans="1:17">
      <c r="A16" s="31" t="s">
        <v>750</v>
      </c>
      <c r="B16" s="46" t="s">
        <v>751</v>
      </c>
    </row>
    <row r="18" spans="1:26">
      <c r="A18" s="45" t="s">
        <v>741</v>
      </c>
      <c r="B18" s="45"/>
      <c r="D18" s="67" t="s">
        <v>742</v>
      </c>
      <c r="E18" s="67"/>
      <c r="G18" s="67" t="s">
        <v>739</v>
      </c>
      <c r="H18" s="67"/>
    </row>
    <row r="19" spans="1:26">
      <c r="A19" s="67" t="s">
        <v>743</v>
      </c>
      <c r="B19" s="67" t="s">
        <v>746</v>
      </c>
      <c r="D19" s="67" t="s">
        <v>743</v>
      </c>
      <c r="E19" s="67" t="s">
        <v>747</v>
      </c>
      <c r="G19" s="67" t="s">
        <v>743</v>
      </c>
      <c r="H19" s="67" t="s">
        <v>698</v>
      </c>
    </row>
    <row r="20" spans="1:26">
      <c r="A20" s="67">
        <v>1991</v>
      </c>
      <c r="B20" s="67">
        <v>0.90909090909090906</v>
      </c>
      <c r="C20" s="318"/>
      <c r="D20" s="67">
        <v>1991</v>
      </c>
      <c r="E20" s="67">
        <v>1</v>
      </c>
      <c r="F20" s="318"/>
      <c r="G20" s="67">
        <v>1991</v>
      </c>
      <c r="H20" s="67">
        <v>1</v>
      </c>
    </row>
    <row r="21" spans="1:26">
      <c r="A21" s="45">
        <v>2030</v>
      </c>
      <c r="B21" s="45">
        <v>0.90909090909090906</v>
      </c>
      <c r="C21" s="318"/>
      <c r="D21" s="67">
        <v>2030</v>
      </c>
      <c r="E21" s="67">
        <v>1</v>
      </c>
      <c r="F21" s="318"/>
      <c r="G21" s="67">
        <v>2030</v>
      </c>
      <c r="H21" s="67">
        <v>1</v>
      </c>
    </row>
    <row r="22" spans="1:26">
      <c r="A22" s="42" t="s">
        <v>738</v>
      </c>
      <c r="D22" s="40" t="s">
        <v>740</v>
      </c>
      <c r="J22" s="42"/>
    </row>
    <row r="23" spans="1:26">
      <c r="A23" s="42" t="s">
        <v>743</v>
      </c>
      <c r="B23" s="40" t="s">
        <v>744</v>
      </c>
      <c r="D23" s="40" t="s">
        <v>743</v>
      </c>
      <c r="E23" s="40" t="s">
        <v>745</v>
      </c>
      <c r="J23" s="42"/>
      <c r="Y23" s="319"/>
      <c r="Z23" s="319"/>
    </row>
    <row r="24" spans="1:26">
      <c r="A24" s="40">
        <v>2025</v>
      </c>
      <c r="B24">
        <v>0</v>
      </c>
      <c r="C24"/>
      <c r="D24">
        <v>2025</v>
      </c>
      <c r="E24">
        <v>0</v>
      </c>
      <c r="F24"/>
      <c r="H24"/>
      <c r="I24"/>
      <c r="L24" s="45"/>
      <c r="M24" s="45"/>
      <c r="N24" s="45"/>
      <c r="Q24" s="45"/>
      <c r="Y24" s="319"/>
      <c r="Z24" s="319"/>
    </row>
    <row r="25" spans="1:26">
      <c r="A25" s="40">
        <v>2025</v>
      </c>
      <c r="B25" s="67">
        <v>1.2143182734057842</v>
      </c>
      <c r="C25" s="45"/>
      <c r="D25" s="45">
        <v>2025</v>
      </c>
      <c r="E25" s="45">
        <v>2.2199492841093957</v>
      </c>
      <c r="F25" s="45"/>
      <c r="H25"/>
      <c r="I25"/>
      <c r="J25" s="120"/>
      <c r="N25" s="67"/>
      <c r="Q25" s="67"/>
    </row>
    <row r="26" spans="1:26">
      <c r="B26" s="1130" t="s">
        <v>732</v>
      </c>
      <c r="C26" s="1130" t="s">
        <v>381</v>
      </c>
      <c r="D26" s="1880" t="s">
        <v>734</v>
      </c>
      <c r="E26" s="1880" t="s">
        <v>735</v>
      </c>
      <c r="F26" s="45"/>
      <c r="H26"/>
      <c r="I26"/>
      <c r="L26" s="67"/>
      <c r="M26" s="67"/>
      <c r="N26" s="67"/>
      <c r="Q26" s="67"/>
    </row>
    <row r="27" spans="1:26">
      <c r="B27" s="1130">
        <v>1991</v>
      </c>
      <c r="C27" s="1881">
        <v>0.34328164746590595</v>
      </c>
      <c r="D27" s="1882">
        <v>0.67216712872854023</v>
      </c>
      <c r="E27" s="1882">
        <v>0.38835744224341029</v>
      </c>
      <c r="F27" s="319"/>
      <c r="H27"/>
      <c r="I27"/>
      <c r="K27" s="318"/>
      <c r="L27" s="319"/>
      <c r="M27" s="319"/>
      <c r="N27" s="45"/>
      <c r="Q27" s="45"/>
    </row>
    <row r="28" spans="1:26">
      <c r="B28" s="1130">
        <v>1992</v>
      </c>
      <c r="C28" s="1881">
        <v>0.41489363346338637</v>
      </c>
      <c r="D28" s="1882">
        <v>0.67161761922576302</v>
      </c>
      <c r="E28" s="1882">
        <v>0.38396854648465079</v>
      </c>
      <c r="F28" s="319"/>
      <c r="K28" s="318"/>
      <c r="L28" s="320"/>
      <c r="M28" s="319"/>
      <c r="N28" s="45"/>
      <c r="O28" s="45"/>
      <c r="P28" s="45"/>
      <c r="Q28" s="45"/>
    </row>
    <row r="29" spans="1:26">
      <c r="B29" s="1130">
        <v>1993</v>
      </c>
      <c r="C29" s="1881">
        <v>0.36575126795780888</v>
      </c>
      <c r="D29" s="1882">
        <v>0.66107422909209179</v>
      </c>
      <c r="E29" s="1882">
        <v>0.37819130980479387</v>
      </c>
      <c r="F29" s="319"/>
      <c r="J29" s="45"/>
      <c r="K29" s="319"/>
      <c r="L29" s="319"/>
      <c r="M29" s="319"/>
      <c r="O29" s="45"/>
      <c r="P29" s="45"/>
      <c r="Q29" s="45"/>
      <c r="Y29" s="319"/>
      <c r="Z29" s="319"/>
    </row>
    <row r="30" spans="1:26">
      <c r="B30" s="1130">
        <v>1994</v>
      </c>
      <c r="C30" s="1881">
        <v>0.25312341768706703</v>
      </c>
      <c r="D30" s="1882">
        <v>0.65684081268780581</v>
      </c>
      <c r="E30" s="1882">
        <v>0.38096869068594724</v>
      </c>
      <c r="F30" s="319"/>
      <c r="K30" s="318"/>
      <c r="L30" s="318"/>
      <c r="M30" s="318"/>
      <c r="O30" s="67"/>
      <c r="P30" s="45"/>
      <c r="Q30" s="45"/>
      <c r="Y30" s="319"/>
      <c r="Z30" s="319"/>
    </row>
    <row r="31" spans="1:26">
      <c r="B31" s="1130">
        <v>1995</v>
      </c>
      <c r="C31" s="1881">
        <v>0.42030209114711214</v>
      </c>
      <c r="D31" s="1882">
        <v>0.66820802359907439</v>
      </c>
      <c r="E31" s="1882">
        <v>0.38090884838242373</v>
      </c>
      <c r="F31" s="319"/>
      <c r="K31" s="318"/>
      <c r="L31" s="318"/>
      <c r="M31" s="318"/>
      <c r="O31" s="45"/>
      <c r="P31" s="45"/>
      <c r="Q31" s="45"/>
    </row>
    <row r="32" spans="1:26">
      <c r="B32" s="1130">
        <v>1996</v>
      </c>
      <c r="C32" s="1881">
        <v>0.31296872722959607</v>
      </c>
      <c r="D32" s="1882">
        <v>0.65668835362985456</v>
      </c>
      <c r="E32" s="1882">
        <v>0.35459342403754768</v>
      </c>
      <c r="F32" s="319"/>
      <c r="K32" s="318"/>
      <c r="L32" s="318"/>
      <c r="M32" s="318"/>
      <c r="O32" s="45"/>
      <c r="P32" s="45"/>
      <c r="Q32" s="45"/>
    </row>
    <row r="33" spans="2:17">
      <c r="B33" s="1130">
        <v>1997</v>
      </c>
      <c r="C33" s="1881">
        <v>0.25147256023315839</v>
      </c>
      <c r="D33" s="1882">
        <v>0.59985120339797993</v>
      </c>
      <c r="E33" s="1882">
        <v>0.33743646349274731</v>
      </c>
      <c r="F33" s="319"/>
      <c r="K33" s="318"/>
      <c r="L33" s="318"/>
      <c r="M33" s="318"/>
      <c r="O33" s="45"/>
      <c r="P33" s="45"/>
      <c r="Q33" s="45"/>
    </row>
    <row r="34" spans="2:17">
      <c r="B34" s="1130">
        <v>1998</v>
      </c>
      <c r="C34" s="1881">
        <v>0.42353127884461123</v>
      </c>
      <c r="D34" s="1882">
        <v>0.60933964222740977</v>
      </c>
      <c r="E34" s="1882">
        <v>0.33498202530953713</v>
      </c>
      <c r="F34" s="319"/>
      <c r="K34" s="318"/>
      <c r="L34" s="318"/>
      <c r="M34" s="318"/>
      <c r="O34" s="45"/>
      <c r="P34" s="45"/>
      <c r="Q34" s="45"/>
    </row>
    <row r="35" spans="2:17">
      <c r="B35" s="1130">
        <v>1999</v>
      </c>
      <c r="C35" s="1881">
        <v>0.28957352138696613</v>
      </c>
      <c r="D35" s="1882">
        <v>0.59308502076217295</v>
      </c>
      <c r="E35" s="1882">
        <v>0.33036739768447065</v>
      </c>
      <c r="F35" s="319"/>
      <c r="K35" s="318"/>
      <c r="L35" s="318"/>
      <c r="M35" s="318"/>
      <c r="O35" s="45"/>
      <c r="P35" s="45"/>
      <c r="Q35" s="45"/>
    </row>
    <row r="36" spans="2:17">
      <c r="B36" s="1130">
        <v>2000</v>
      </c>
      <c r="C36" s="1881">
        <v>0.59442265473760991</v>
      </c>
      <c r="D36" s="1882">
        <v>0.59640895672110594</v>
      </c>
      <c r="E36" s="1882">
        <v>0.47935208544113983</v>
      </c>
      <c r="F36" s="319"/>
      <c r="K36" s="318"/>
      <c r="L36" s="318"/>
      <c r="M36" s="318"/>
      <c r="O36" s="45"/>
      <c r="P36" s="45"/>
      <c r="Q36" s="45"/>
    </row>
    <row r="37" spans="2:17">
      <c r="B37" s="1130">
        <v>2001</v>
      </c>
      <c r="C37" s="1881">
        <v>0.73212074404166305</v>
      </c>
      <c r="D37" s="1882">
        <v>0.9435144199205886</v>
      </c>
      <c r="E37" s="1882">
        <v>0.67258618373942214</v>
      </c>
      <c r="F37" s="319"/>
      <c r="K37" s="318"/>
      <c r="L37" s="318"/>
      <c r="M37" s="318"/>
      <c r="O37" s="45"/>
      <c r="P37" s="45"/>
      <c r="Q37" s="45"/>
    </row>
    <row r="38" spans="2:17">
      <c r="B38" s="1130">
        <v>2002</v>
      </c>
      <c r="C38" s="1881">
        <v>0.53134470382089993</v>
      </c>
      <c r="D38" s="1882">
        <v>0.92048724712279317</v>
      </c>
      <c r="E38" s="1882">
        <v>0.64368310930673178</v>
      </c>
      <c r="F38" s="319"/>
      <c r="K38" s="318"/>
      <c r="L38" s="318"/>
      <c r="M38" s="318"/>
      <c r="O38" s="45"/>
      <c r="P38" s="45"/>
      <c r="Q38" s="45"/>
    </row>
    <row r="39" spans="2:17">
      <c r="B39" s="1130">
        <v>2003</v>
      </c>
      <c r="C39" s="1881">
        <v>0.35011736320895531</v>
      </c>
      <c r="D39" s="1882">
        <v>0.90892961293392016</v>
      </c>
      <c r="E39" s="1882">
        <v>0.63554480981107919</v>
      </c>
      <c r="F39" s="319"/>
      <c r="K39" s="318"/>
      <c r="L39" s="318"/>
      <c r="M39" s="318"/>
      <c r="O39" s="45"/>
      <c r="P39" s="45"/>
      <c r="Q39" s="45"/>
    </row>
    <row r="40" spans="2:17">
      <c r="B40" s="1130">
        <v>2004</v>
      </c>
      <c r="C40" s="1881">
        <v>0.62725912245864002</v>
      </c>
      <c r="D40" s="1882">
        <v>0.90998703419198346</v>
      </c>
      <c r="E40" s="1882">
        <v>0.62226562037557231</v>
      </c>
      <c r="F40" s="319"/>
      <c r="J40" s="40" t="s">
        <v>18</v>
      </c>
      <c r="K40" s="318" t="s">
        <v>18</v>
      </c>
      <c r="M40" s="318"/>
      <c r="O40" s="45"/>
      <c r="P40" s="45"/>
      <c r="Q40" s="45"/>
    </row>
    <row r="41" spans="2:17">
      <c r="B41" s="1130">
        <v>2005</v>
      </c>
      <c r="C41" s="1881">
        <v>0.94055468562561007</v>
      </c>
      <c r="D41" s="1882">
        <v>0.89066964381098401</v>
      </c>
      <c r="E41" s="1882">
        <v>0.5772471667840271</v>
      </c>
      <c r="F41" s="319"/>
      <c r="K41" s="318"/>
      <c r="L41" s="318"/>
      <c r="M41" s="318"/>
      <c r="O41" s="45"/>
      <c r="P41" s="45"/>
      <c r="Q41" s="45"/>
    </row>
    <row r="42" spans="2:17">
      <c r="B42" s="1130">
        <v>2006</v>
      </c>
      <c r="C42" s="1881">
        <v>0.88655252845425481</v>
      </c>
      <c r="D42" s="1881">
        <v>0.84188299744855233</v>
      </c>
      <c r="E42" s="1881">
        <v>0.5192659014215707</v>
      </c>
      <c r="F42" s="318"/>
      <c r="K42" s="318"/>
      <c r="L42" s="318"/>
      <c r="M42" s="318"/>
      <c r="O42" s="45"/>
      <c r="P42" s="45"/>
      <c r="Q42" s="45"/>
    </row>
    <row r="43" spans="2:17">
      <c r="B43" s="1130">
        <v>2007</v>
      </c>
      <c r="C43" s="1881">
        <v>1.0604220689001869</v>
      </c>
      <c r="D43" s="1881">
        <v>0.78990337986606896</v>
      </c>
      <c r="E43" s="1881">
        <v>0.69421402058504589</v>
      </c>
      <c r="F43" s="318"/>
      <c r="K43" s="318"/>
      <c r="L43" s="318"/>
      <c r="M43" s="318"/>
      <c r="O43" s="45"/>
      <c r="P43" s="45"/>
      <c r="Q43" s="45"/>
    </row>
    <row r="44" spans="2:17">
      <c r="B44" s="1130">
        <v>2008</v>
      </c>
      <c r="C44" s="1881">
        <v>1.2348482828770253</v>
      </c>
      <c r="D44" s="1881">
        <v>0.99412886386667998</v>
      </c>
      <c r="E44" s="1881">
        <v>0.92226013173020716</v>
      </c>
      <c r="F44" s="318"/>
      <c r="K44" s="318"/>
      <c r="L44" s="318"/>
      <c r="M44" s="318"/>
      <c r="O44" s="45"/>
      <c r="P44" s="45"/>
      <c r="Q44" s="45"/>
    </row>
    <row r="45" spans="2:17">
      <c r="B45" s="1130">
        <v>2009</v>
      </c>
      <c r="C45" s="1881">
        <v>1.1982565784331718</v>
      </c>
      <c r="D45" s="1881">
        <v>0.9980582926620587</v>
      </c>
      <c r="E45" s="1881">
        <v>0.81886723451416144</v>
      </c>
      <c r="F45" s="318"/>
      <c r="K45" s="318"/>
      <c r="L45" s="318"/>
      <c r="M45" s="318"/>
      <c r="O45" s="45"/>
      <c r="P45" s="45"/>
      <c r="Q45" s="45"/>
    </row>
    <row r="46" spans="2:17">
      <c r="B46" s="1130">
        <v>2010</v>
      </c>
      <c r="C46" s="1881">
        <v>1.216885710454894</v>
      </c>
      <c r="D46" s="1881">
        <v>0.97712587370835335</v>
      </c>
      <c r="E46" s="1881">
        <v>0.72301367889296364</v>
      </c>
      <c r="F46" s="318"/>
      <c r="K46" s="318"/>
      <c r="L46" s="318"/>
      <c r="M46" s="318"/>
    </row>
    <row r="47" spans="2:17">
      <c r="B47" s="1130">
        <v>2011</v>
      </c>
      <c r="C47" s="1881">
        <v>0.8875189263400296</v>
      </c>
      <c r="D47" s="1881">
        <v>0.93509588460965609</v>
      </c>
      <c r="E47" s="1881">
        <v>0.6487333738448241</v>
      </c>
      <c r="F47" s="318"/>
      <c r="K47" s="318"/>
      <c r="L47" s="318"/>
      <c r="M47" s="318"/>
    </row>
    <row r="48" spans="2:17">
      <c r="B48" s="1130">
        <v>2012</v>
      </c>
      <c r="C48" s="1881">
        <v>0.59915764546838135</v>
      </c>
      <c r="D48" s="1881">
        <v>0.89971300977785751</v>
      </c>
      <c r="E48" s="1881">
        <v>0.60876309755504288</v>
      </c>
      <c r="F48" s="318"/>
      <c r="K48" s="318"/>
      <c r="L48" s="318"/>
      <c r="M48" s="318"/>
    </row>
    <row r="49" spans="2:29">
      <c r="B49" s="1130">
        <v>2013</v>
      </c>
      <c r="C49" s="1881">
        <v>0.4823543000893224</v>
      </c>
      <c r="D49" s="1881">
        <v>0.88182485121075482</v>
      </c>
      <c r="E49" s="1881">
        <v>0.59059806143859794</v>
      </c>
      <c r="F49" s="318"/>
      <c r="K49" s="318"/>
      <c r="L49" s="318"/>
      <c r="M49" s="318"/>
    </row>
    <row r="50" spans="2:29">
      <c r="B50" s="1130">
        <v>2014</v>
      </c>
      <c r="C50" s="1881">
        <v>0.76680478192831059</v>
      </c>
      <c r="D50" s="1881">
        <v>0.87265647690940518</v>
      </c>
      <c r="E50" s="1881">
        <v>0.56317320490990996</v>
      </c>
      <c r="F50" s="318"/>
      <c r="K50" s="318"/>
      <c r="L50" s="318"/>
      <c r="M50" s="318"/>
    </row>
    <row r="51" spans="2:29">
      <c r="B51" s="1130">
        <v>2015</v>
      </c>
      <c r="C51" s="1881">
        <v>0.71265200159346753</v>
      </c>
      <c r="D51" s="1881">
        <v>0.83735192460833252</v>
      </c>
      <c r="E51" s="1881">
        <v>0.52387245030634111</v>
      </c>
      <c r="F51" s="318"/>
      <c r="K51" s="318"/>
      <c r="L51" s="318"/>
      <c r="M51" s="318"/>
    </row>
    <row r="52" spans="2:29">
      <c r="B52" s="1130">
        <v>2016</v>
      </c>
      <c r="C52" s="1881">
        <v>0.81453384754345837</v>
      </c>
      <c r="D52" s="1881">
        <v>0.8033222350411221</v>
      </c>
      <c r="E52" s="1881">
        <v>0.72714223586317628</v>
      </c>
      <c r="F52" s="318"/>
      <c r="K52" s="318"/>
      <c r="L52" s="318"/>
      <c r="M52" s="318"/>
    </row>
    <row r="53" spans="2:29">
      <c r="B53" s="1130">
        <v>2017</v>
      </c>
      <c r="C53" s="1881">
        <v>0.81002200928491375</v>
      </c>
      <c r="D53" s="1881">
        <v>0.97762027978996424</v>
      </c>
      <c r="E53" s="1881">
        <v>1.0078173011754379</v>
      </c>
      <c r="F53" s="318"/>
      <c r="K53" s="318"/>
      <c r="L53" s="318"/>
      <c r="M53" s="318"/>
    </row>
    <row r="54" spans="2:29">
      <c r="B54" s="1130">
        <v>2018</v>
      </c>
      <c r="C54" s="1881">
        <v>0.69364991255786623</v>
      </c>
      <c r="D54" s="1881">
        <v>0.99523047519269181</v>
      </c>
      <c r="E54" s="1881">
        <v>0.9445270253045609</v>
      </c>
      <c r="F54" s="318"/>
      <c r="K54" s="318"/>
      <c r="L54" s="318"/>
      <c r="M54" s="318"/>
    </row>
    <row r="55" spans="2:29">
      <c r="B55" s="1130">
        <v>2019</v>
      </c>
      <c r="C55" s="1881">
        <v>0.846925696356705</v>
      </c>
      <c r="D55" s="1881">
        <v>0.9999050509848153</v>
      </c>
      <c r="E55" s="1881">
        <v>0.88494378221769587</v>
      </c>
      <c r="K55" s="318"/>
      <c r="L55" s="318"/>
      <c r="M55" s="318"/>
    </row>
    <row r="56" spans="2:29">
      <c r="B56" s="1130">
        <v>2020</v>
      </c>
      <c r="C56" s="1881">
        <v>0.78211579404325793</v>
      </c>
      <c r="D56" s="1881">
        <v>0.99621006464942752</v>
      </c>
      <c r="E56" s="1881">
        <v>1.0097415535349761</v>
      </c>
    </row>
    <row r="57" spans="2:29">
      <c r="B57" s="1130">
        <v>2021</v>
      </c>
      <c r="C57" s="1881">
        <v>0.5382899301709414</v>
      </c>
      <c r="D57" s="1881">
        <v>0.90101384318732314</v>
      </c>
      <c r="E57" s="1881">
        <v>1.0971362265839431</v>
      </c>
    </row>
    <row r="58" spans="2:29">
      <c r="B58" s="1130">
        <v>2022</v>
      </c>
      <c r="C58" s="1881">
        <v>0.682688269694813</v>
      </c>
      <c r="D58" s="1881">
        <v>0.98835458012995825</v>
      </c>
      <c r="E58" s="1881">
        <v>1.0956932588618709</v>
      </c>
      <c r="Z58">
        <v>1991</v>
      </c>
      <c r="AA58">
        <v>0.25590785101762742</v>
      </c>
      <c r="AB58">
        <v>0.35083694783656844</v>
      </c>
      <c r="AC58">
        <v>0.17894480848084371</v>
      </c>
    </row>
    <row r="59" spans="2:29">
      <c r="B59" s="1130">
        <v>2023</v>
      </c>
      <c r="C59" s="1130">
        <v>0.75025143447290232</v>
      </c>
      <c r="D59" s="1130">
        <v>0.93263077942041239</v>
      </c>
      <c r="E59" s="1130">
        <v>1.1450507399971717</v>
      </c>
      <c r="Z59">
        <v>1992</v>
      </c>
      <c r="AA59">
        <v>0.30929278895125151</v>
      </c>
      <c r="AB59">
        <v>0.35906924856281763</v>
      </c>
      <c r="AC59">
        <v>0.17852135266382113</v>
      </c>
    </row>
    <row r="60" spans="2:29">
      <c r="B60" s="1130">
        <v>2024</v>
      </c>
      <c r="C60" s="1130">
        <v>0.69235212193199225</v>
      </c>
      <c r="D60" s="1130">
        <v>0.97135948173367792</v>
      </c>
      <c r="E60" s="1130">
        <v>1.0629409978360174</v>
      </c>
      <c r="Z60">
        <v>1993</v>
      </c>
      <c r="AA60">
        <v>0.2726583890545774</v>
      </c>
      <c r="AB60">
        <v>0.34935607644982275</v>
      </c>
      <c r="AC60">
        <v>0.17619594278459991</v>
      </c>
    </row>
    <row r="61" spans="2:29">
      <c r="B61" s="1130">
        <v>2025</v>
      </c>
      <c r="C61" s="1130">
        <v>0.64651065584129452</v>
      </c>
      <c r="D61" s="1130">
        <v>0.99059214443298094</v>
      </c>
      <c r="E61" s="1130">
        <v>0.99726736425593798</v>
      </c>
      <c r="Z61">
        <v>1994</v>
      </c>
      <c r="AA61">
        <v>0.18869715389887853</v>
      </c>
      <c r="AB61">
        <v>0.3507783762593627</v>
      </c>
      <c r="AC61">
        <v>0.18591808489249625</v>
      </c>
    </row>
    <row r="62" spans="2:29">
      <c r="B62" s="1130">
        <v>2026</v>
      </c>
      <c r="C62" s="1134">
        <v>0.60944136075395239</v>
      </c>
      <c r="D62" s="1134">
        <v>0.99854893726800065</v>
      </c>
      <c r="E62" s="1130">
        <v>0.94372074302563358</v>
      </c>
      <c r="Z62">
        <v>1995</v>
      </c>
      <c r="AA62">
        <v>0.31332465838959517</v>
      </c>
      <c r="AB62">
        <v>0.38425191461332797</v>
      </c>
      <c r="AC62">
        <v>0.19461760238234838</v>
      </c>
    </row>
    <row r="63" spans="2:29">
      <c r="B63" s="1130">
        <v>2027</v>
      </c>
      <c r="C63" s="1130">
        <v>0.5789478899943703</v>
      </c>
      <c r="D63" s="1130">
        <v>0.99988570081507144</v>
      </c>
      <c r="E63" s="1130">
        <v>0.89937174573676881</v>
      </c>
      <c r="Z63">
        <v>1996</v>
      </c>
      <c r="AA63">
        <v>0.2333103299062978</v>
      </c>
      <c r="AB63">
        <v>0.38041355307982583</v>
      </c>
      <c r="AC63">
        <v>0.17587576533767987</v>
      </c>
    </row>
    <row r="64" spans="2:29">
      <c r="B64" s="1130">
        <v>2028</v>
      </c>
      <c r="C64" s="1130">
        <v>0.51226716780953163</v>
      </c>
      <c r="D64" s="1130">
        <v>0.98801142785090901</v>
      </c>
      <c r="E64" s="1130">
        <v>1.0086293984657102</v>
      </c>
      <c r="Z64">
        <v>1997</v>
      </c>
      <c r="AA64">
        <v>0.18746648110735345</v>
      </c>
      <c r="AB64">
        <v>0.32074817311687753</v>
      </c>
      <c r="AC64">
        <v>0.16692955512867527</v>
      </c>
    </row>
    <row r="65" spans="2:29">
      <c r="B65" s="1130">
        <v>2029</v>
      </c>
      <c r="C65" s="1130">
        <v>0.60518045860631742</v>
      </c>
      <c r="D65" s="1130">
        <v>0.99097610269009873</v>
      </c>
      <c r="E65" s="1130">
        <v>0.99544926926419575</v>
      </c>
      <c r="Z65">
        <v>1998</v>
      </c>
      <c r="AA65">
        <v>0.31573193675795486</v>
      </c>
      <c r="AB65">
        <v>0.34674404040676549</v>
      </c>
      <c r="AC65">
        <v>0.16980124705283275</v>
      </c>
    </row>
    <row r="66" spans="2:29">
      <c r="B66" s="1130">
        <v>2030</v>
      </c>
      <c r="C66" s="1130">
        <v>0.62854458948246827</v>
      </c>
      <c r="D66" s="1130">
        <v>0.99965167947678846</v>
      </c>
      <c r="E66" s="1130">
        <v>0.92605758822977613</v>
      </c>
      <c r="Z66">
        <v>1999</v>
      </c>
      <c r="AA66">
        <v>0.21586979122472705</v>
      </c>
      <c r="AB66">
        <v>0.33076865248780352</v>
      </c>
      <c r="AC66">
        <v>0.17031806727973764</v>
      </c>
    </row>
    <row r="67" spans="2:29">
      <c r="Z67">
        <v>2000</v>
      </c>
      <c r="AA67">
        <v>0.44312716771496746</v>
      </c>
      <c r="AB67">
        <v>0.34863246156889605</v>
      </c>
      <c r="AC67">
        <v>0.24356889173131119</v>
      </c>
    </row>
    <row r="68" spans="2:29">
      <c r="Z68">
        <v>2001</v>
      </c>
      <c r="AA68">
        <v>0.54577763674865898</v>
      </c>
      <c r="AB68">
        <v>0.60571718853427536</v>
      </c>
      <c r="AC68">
        <v>0.32974661262589217</v>
      </c>
    </row>
    <row r="69" spans="2:29">
      <c r="Z69">
        <v>2002</v>
      </c>
      <c r="AA69">
        <v>0.39610413870991745</v>
      </c>
      <c r="AB69">
        <v>0.58216368093880877</v>
      </c>
      <c r="AC69">
        <v>0.32690958578538559</v>
      </c>
    </row>
    <row r="70" spans="2:29">
      <c r="Z70">
        <v>2003</v>
      </c>
      <c r="AA70">
        <v>0.26100370551169805</v>
      </c>
      <c r="AB70">
        <v>0.59767061969607471</v>
      </c>
      <c r="AC70">
        <v>0.35255488234957594</v>
      </c>
    </row>
    <row r="71" spans="2:29">
      <c r="Z71">
        <v>2004</v>
      </c>
      <c r="AA71">
        <v>0.46760593012924156</v>
      </c>
      <c r="AB71">
        <v>0.65337489841345009</v>
      </c>
      <c r="AC71">
        <v>0.37701390114093625</v>
      </c>
    </row>
    <row r="72" spans="2:29">
      <c r="Z72">
        <v>2005</v>
      </c>
      <c r="AA72">
        <v>0.70115990802250905</v>
      </c>
      <c r="AB72">
        <v>0.66151867403346265</v>
      </c>
      <c r="AC72">
        <v>0.35915265371959626</v>
      </c>
    </row>
    <row r="73" spans="2:29">
      <c r="Z73">
        <v>2006</v>
      </c>
      <c r="AA73">
        <v>0.66090265543107762</v>
      </c>
      <c r="AB73">
        <v>0.60713147486103103</v>
      </c>
      <c r="AC73">
        <v>0.31829648773440083</v>
      </c>
    </row>
    <row r="74" spans="2:29">
      <c r="Z74">
        <v>2007</v>
      </c>
      <c r="AA74">
        <v>0.79051803330344117</v>
      </c>
      <c r="AB74">
        <v>0.54905020111574088</v>
      </c>
      <c r="AC74">
        <v>0.40421859798378512</v>
      </c>
    </row>
    <row r="75" spans="2:29">
      <c r="Z75">
        <v>2008</v>
      </c>
      <c r="AA75">
        <v>0.92054839731929461</v>
      </c>
      <c r="AB75">
        <v>0.84151109324766915</v>
      </c>
      <c r="AC75">
        <v>0.51564410646943737</v>
      </c>
    </row>
    <row r="76" spans="2:29">
      <c r="Z76">
        <v>2009</v>
      </c>
      <c r="AA76">
        <v>0.89327020019333614</v>
      </c>
      <c r="AB76">
        <v>0.78333064292375565</v>
      </c>
      <c r="AC76">
        <v>0.45323585668697108</v>
      </c>
    </row>
    <row r="77" spans="2:29">
      <c r="Z77">
        <v>2010</v>
      </c>
      <c r="AA77">
        <v>0.90715775048096425</v>
      </c>
      <c r="AB77">
        <v>0.71379217921567895</v>
      </c>
      <c r="AC77">
        <v>0.38294015910358836</v>
      </c>
    </row>
    <row r="78" spans="2:29">
      <c r="Z78">
        <v>2011</v>
      </c>
      <c r="AA78">
        <v>0.66162308079608689</v>
      </c>
      <c r="AB78">
        <v>0.61754979801205034</v>
      </c>
      <c r="AC78">
        <v>0.32667907887982206</v>
      </c>
    </row>
    <row r="79" spans="2:29">
      <c r="Z79">
        <v>2012</v>
      </c>
      <c r="AA79">
        <v>0.44665698444547136</v>
      </c>
      <c r="AB79">
        <v>0.56230442310128881</v>
      </c>
      <c r="AC79">
        <v>0.30637935172033015</v>
      </c>
    </row>
    <row r="80" spans="2:29">
      <c r="Z80">
        <v>2013</v>
      </c>
      <c r="AA80">
        <v>0.35958302250116619</v>
      </c>
      <c r="AB80">
        <v>0.55860718106134344</v>
      </c>
      <c r="AC80">
        <v>0.31261645828870216</v>
      </c>
    </row>
    <row r="81" spans="26:29">
      <c r="Z81">
        <v>2014</v>
      </c>
      <c r="AA81">
        <v>0.57163371634309013</v>
      </c>
      <c r="AB81">
        <v>0.58052759954902988</v>
      </c>
      <c r="AC81">
        <v>0.30702076216542146</v>
      </c>
    </row>
    <row r="82" spans="26:29">
      <c r="Z82">
        <v>2015</v>
      </c>
      <c r="AA82">
        <v>0.5312641779642705</v>
      </c>
      <c r="AB82">
        <v>0.54264321646823721</v>
      </c>
      <c r="AC82">
        <v>0.28237200064507767</v>
      </c>
    </row>
    <row r="83" spans="26:29">
      <c r="Z83">
        <v>2016</v>
      </c>
      <c r="AA83">
        <v>0.60721453664856506</v>
      </c>
      <c r="AB83">
        <v>0.50723931883899576</v>
      </c>
      <c r="AC83">
        <v>0.3794286019160259</v>
      </c>
    </row>
    <row r="84" spans="26:29">
      <c r="Z84">
        <v>2017</v>
      </c>
      <c r="AA84">
        <v>0.60385107448445996</v>
      </c>
      <c r="AB84">
        <v>0.8273594792452369</v>
      </c>
      <c r="AC84">
        <v>0.53165481669494441</v>
      </c>
    </row>
    <row r="85" spans="26:29">
      <c r="Z85">
        <v>2018</v>
      </c>
      <c r="AA85">
        <v>0.81876637364113281</v>
      </c>
      <c r="AB85">
        <v>0.81091847429446029</v>
      </c>
      <c r="AC85">
        <v>0.51378631295827293</v>
      </c>
    </row>
    <row r="86" spans="26:29">
      <c r="Z86">
        <v>2019</v>
      </c>
      <c r="AA86">
        <v>0.76381683187467586</v>
      </c>
      <c r="AB86">
        <v>0.77928253898786837</v>
      </c>
      <c r="AC86">
        <v>0.48199475504194722</v>
      </c>
    </row>
    <row r="87" spans="26:29">
      <c r="Z87">
        <v>2020</v>
      </c>
      <c r="AA87">
        <v>0.72057561567434458</v>
      </c>
      <c r="AB87">
        <v>0.75238628948710196</v>
      </c>
      <c r="AC87">
        <v>0.45672001018609576</v>
      </c>
    </row>
    <row r="88" spans="26:29">
      <c r="Z88">
        <v>2021</v>
      </c>
      <c r="AA88">
        <v>0.68581136708126378</v>
      </c>
      <c r="AB88">
        <v>0.72945173109533024</v>
      </c>
      <c r="AC88">
        <v>0.43623404843959479</v>
      </c>
    </row>
    <row r="89" spans="26:29">
      <c r="Z89">
        <v>2022</v>
      </c>
      <c r="AA89">
        <v>0.65738320036249842</v>
      </c>
      <c r="AB89">
        <v>0.70981088001845838</v>
      </c>
      <c r="AC89">
        <v>0.41937086764578957</v>
      </c>
    </row>
  </sheetData>
  <phoneticPr fontId="23" type="noConversion"/>
  <pageMargins left="0.78740157499999996" right="0.78740157499999996" top="0.984251969" bottom="0.984251969" header="0.5" footer="0.5"/>
  <pageSetup orientation="portrait" r:id="rId1"/>
  <headerFooter alignWithMargins="0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"/>
  <sheetViews>
    <sheetView workbookViewId="0"/>
  </sheetViews>
  <sheetFormatPr defaultColWidth="11.44140625" defaultRowHeight="13.2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"/>
  <sheetViews>
    <sheetView workbookViewId="0"/>
  </sheetViews>
  <sheetFormatPr defaultColWidth="11.44140625" defaultRowHeight="13.2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"/>
  <sheetViews>
    <sheetView workbookViewId="0"/>
  </sheetViews>
  <sheetFormatPr defaultColWidth="11.44140625" defaultRowHeight="13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4665977E207A449548B2B5BC616899" ma:contentTypeVersion="18" ma:contentTypeDescription="Create a new document." ma:contentTypeScope="" ma:versionID="b0278d9b796cd02b61726928504345ab">
  <xsd:schema xmlns:xsd="http://www.w3.org/2001/XMLSchema" xmlns:xs="http://www.w3.org/2001/XMLSchema" xmlns:p="http://schemas.microsoft.com/office/2006/metadata/properties" xmlns:ns2="9b0ad5ae-bd03-426b-aed7-53a4fff41dc5" xmlns:ns3="66d5c836-a2c7-4c0e-b7db-0b4e4e817a8a" targetNamespace="http://schemas.microsoft.com/office/2006/metadata/properties" ma:root="true" ma:fieldsID="57819d117a2f679eb0b0b35f89837502" ns2:_="" ns3:_="">
    <xsd:import namespace="9b0ad5ae-bd03-426b-aed7-53a4fff41dc5"/>
    <xsd:import namespace="66d5c836-a2c7-4c0e-b7db-0b4e4e817a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ad5ae-bd03-426b-aed7-53a4fff41d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40eee1e-ad38-437e-be40-fc9f033adc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5c836-a2c7-4c0e-b7db-0b4e4e817a8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d403595-b248-47b3-ba4e-d9145443b568}" ma:internalName="TaxCatchAll" ma:showField="CatchAllData" ma:web="66d5c836-a2c7-4c0e-b7db-0b4e4e817a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d5c836-a2c7-4c0e-b7db-0b4e4e817a8a" xsi:nil="true"/>
    <lcf76f155ced4ddcb4097134ff3c332f xmlns="9b0ad5ae-bd03-426b-aed7-53a4fff41dc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332063-E2E9-4422-826F-0240B9F6B7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2C09F4-2D4E-4260-A0D8-E0DADA634D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0ad5ae-bd03-426b-aed7-53a4fff41dc5"/>
    <ds:schemaRef ds:uri="66d5c836-a2c7-4c0e-b7db-0b4e4e817a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284C55-C668-465A-BEC2-8033D30FA084}">
  <ds:schemaRefs>
    <ds:schemaRef ds:uri="http://schemas.microsoft.com/office/2006/metadata/properties"/>
    <ds:schemaRef ds:uri="http://schemas.microsoft.com/office/infopath/2007/PartnerControls"/>
    <ds:schemaRef ds:uri="66d5c836-a2c7-4c0e-b7db-0b4e4e817a8a"/>
    <ds:schemaRef ds:uri="9b0ad5ae-bd03-426b-aed7-53a4fff41d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27</vt:i4>
      </vt:variant>
    </vt:vector>
  </HeadingPairs>
  <TitlesOfParts>
    <vt:vector size="77" baseType="lpstr">
      <vt:lpstr>Tab&amp;Fig4.2.1</vt:lpstr>
      <vt:lpstr>Tab&amp;Fig4.2.2-4.3.1a</vt:lpstr>
      <vt:lpstr>Tab&amp;Fig4.3.1b</vt:lpstr>
      <vt:lpstr>Tab&amp;Fig4.3.2b-OUT</vt:lpstr>
      <vt:lpstr>Tab&amp;Fig4.3.2cOUT</vt:lpstr>
      <vt:lpstr>Tab&amp;Fig4.3.2dOUT</vt:lpstr>
      <vt:lpstr>Tab&amp;Fig4.3.2aB</vt:lpstr>
      <vt:lpstr>Tab&amp;Fig4.3.2eOUT</vt:lpstr>
      <vt:lpstr>Tab4.4.1+4.4.2+4.4.3SAMPLING</vt:lpstr>
      <vt:lpstr>Tab&amp;Fig4.5.1a, b, c</vt:lpstr>
      <vt:lpstr>Tab&amp;Fig4.5.1b  et c</vt:lpstr>
      <vt:lpstr>Feuil18</vt:lpstr>
      <vt:lpstr>Feuil1</vt:lpstr>
      <vt:lpstr>Feuil2</vt:lpstr>
      <vt:lpstr>Feuil3</vt:lpstr>
      <vt:lpstr>Tab&amp;Fig4.5.1b  et c_Picturatus</vt:lpstr>
      <vt:lpstr>Feuil4</vt:lpstr>
      <vt:lpstr>Tab&amp;Fig4.5.1,dout</vt:lpstr>
      <vt:lpstr>Feuil5</vt:lpstr>
      <vt:lpstr>Tab&amp;Fig4.5.1eout</vt:lpstr>
      <vt:lpstr>Feuil6</vt:lpstr>
      <vt:lpstr>Tab&amp;Fig4.5.1f</vt:lpstr>
      <vt:lpstr>Feuil23</vt:lpstr>
      <vt:lpstr>Feuil24</vt:lpstr>
      <vt:lpstr>Feuil25</vt:lpstr>
      <vt:lpstr>Feuil26</vt:lpstr>
      <vt:lpstr>Feuil19</vt:lpstr>
      <vt:lpstr>Feuil20</vt:lpstr>
      <vt:lpstr>Feuil21</vt:lpstr>
      <vt:lpstr>Feuil22</vt:lpstr>
      <vt:lpstr>Feuil7</vt:lpstr>
      <vt:lpstr>Tab&amp;Fig4.5.1gout</vt:lpstr>
      <vt:lpstr>Feuil8</vt:lpstr>
      <vt:lpstr>Tab&amp;fig4.6.1 a</vt:lpstr>
      <vt:lpstr>Tab&amp;Fig4.6.1b</vt:lpstr>
      <vt:lpstr>Feuil9</vt:lpstr>
      <vt:lpstr>Tab&amp;Fig4.6.2a</vt:lpstr>
      <vt:lpstr>Feuil10</vt:lpstr>
      <vt:lpstr>Feuil11</vt:lpstr>
      <vt:lpstr>Tab&amp;Fig4.6.2b</vt:lpstr>
      <vt:lpstr>Feuil12</vt:lpstr>
      <vt:lpstr>Tab&amp;Fig4.6.3</vt:lpstr>
      <vt:lpstr>Tab&amp;Fig4.6.4</vt:lpstr>
      <vt:lpstr>Feuil13</vt:lpstr>
      <vt:lpstr>Tab&amp;FigTT4.7.1a</vt:lpstr>
      <vt:lpstr>Feuil14</vt:lpstr>
      <vt:lpstr>Tab&amp;FigTtre4.7.2</vt:lpstr>
      <vt:lpstr>Feuil16</vt:lpstr>
      <vt:lpstr>Feuil15</vt:lpstr>
      <vt:lpstr>Feuil17</vt:lpstr>
      <vt:lpstr>_</vt:lpstr>
      <vt:lpstr>aaaa</vt:lpstr>
      <vt:lpstr>Biomass</vt:lpstr>
      <vt:lpstr>'Tab&amp;FigTT4.7.1a'!Catch</vt:lpstr>
      <vt:lpstr>'Tab&amp;FigTtre4.7.2'!Catch</vt:lpstr>
      <vt:lpstr>f</vt:lpstr>
      <vt:lpstr>ff</vt:lpstr>
      <vt:lpstr>ffff</vt:lpstr>
      <vt:lpstr>FirstYear</vt:lpstr>
      <vt:lpstr>mmmmmmmm</vt:lpstr>
      <vt:lpstr>'Tab&amp;Fig4.6.4'!n</vt:lpstr>
      <vt:lpstr>'Tab&amp;FigTT4.7.1a'!n</vt:lpstr>
      <vt:lpstr>'Tab&amp;FigTtre4.7.2'!n</vt:lpstr>
      <vt:lpstr>NumYearsData</vt:lpstr>
      <vt:lpstr>'Tab&amp;FigTtre4.7.2'!Nyears</vt:lpstr>
      <vt:lpstr>ok</vt:lpstr>
      <vt:lpstr>'Tab&amp;FigTtre4.7.2'!PredAbIndxRelative</vt:lpstr>
      <vt:lpstr>'Tab&amp;Fig4.6.3'!PredictedBiomassAvg</vt:lpstr>
      <vt:lpstr>'Tab&amp;Fig4.6.3'!PredictedBiomassMidYear</vt:lpstr>
      <vt:lpstr>s</vt:lpstr>
      <vt:lpstr>SetProj</vt:lpstr>
      <vt:lpstr>ssss</vt:lpstr>
      <vt:lpstr>'Tab&amp;FigTT4.7.1a'!SustainableCatch</vt:lpstr>
      <vt:lpstr>'Tab&amp;FigTtre4.7.2'!SustainableCatch</vt:lpstr>
      <vt:lpstr>'Tab&amp;FigTT4.7.1a'!TimeGlobal</vt:lpstr>
      <vt:lpstr>'Tab&amp;FigTtre4.7.2'!TimeGlobal</vt:lpstr>
      <vt:lpstr>UMSY</vt:lpstr>
    </vt:vector>
  </TitlesOfParts>
  <Manager/>
  <Company>FAO of the UN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Chapter4-trachurus</dc:title>
  <dc:subject/>
  <dc:creator>Dede CHEMRA</dc:creator>
  <cp:keywords/>
  <dc:description/>
  <cp:lastModifiedBy>Berges, Benoit</cp:lastModifiedBy>
  <cp:revision/>
  <dcterms:created xsi:type="dcterms:W3CDTF">2003-05-14T13:14:26Z</dcterms:created>
  <dcterms:modified xsi:type="dcterms:W3CDTF">2026-06-13T12:56:11Z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0x0101009B4665977E207A449548B2B5BC616899</vt:lpwstr>
  </property>
  <property fmtid="{D5CDD505-2E9C-101B-9397-08002B2CF9AE}" pid="3" name="MediaServiceImageTags">
    <vt:lpwstr/>
  </property>
</Properties>
</file>