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Estuaries_Drakes/"/>
    </mc:Choice>
  </mc:AlternateContent>
  <xr:revisionPtr revIDLastSave="82" documentId="8_{5AF0D0C8-2701-1D45-A177-0A4DC26B44A1}" xr6:coauthVersionLast="47" xr6:coauthVersionMax="47" xr10:uidLastSave="{BCE59681-4F35-4924-848B-DF6E9027347C}"/>
  <bookViews>
    <workbookView xWindow="30060" yWindow="810" windowWidth="27195" windowHeight="15375" tabRatio="500" xr2:uid="{00000000-000D-0000-FFFF-FFFF00000000}"/>
  </bookViews>
  <sheets>
    <sheet name="raw data" sheetId="2" r:id="rId1"/>
    <sheet name="functions and szcl estimates" sheetId="6" r:id="rId2"/>
  </sheets>
  <definedNames>
    <definedName name="LWRelationshipList" localSheetId="1">'functions and szcl estimates'!$A$41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2" l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K71" i="2"/>
  <c r="K72" i="2"/>
  <c r="K73" i="2"/>
  <c r="K74" i="2"/>
  <c r="K75" i="2"/>
  <c r="Q75" i="2" s="1"/>
  <c r="K461" i="2"/>
  <c r="K462" i="2"/>
  <c r="K463" i="2"/>
  <c r="K464" i="2"/>
  <c r="K465" i="2"/>
  <c r="K466" i="2"/>
  <c r="K467" i="2"/>
  <c r="K468" i="2"/>
  <c r="K70" i="2"/>
  <c r="O769" i="2"/>
  <c r="O779" i="2"/>
  <c r="O770" i="2"/>
  <c r="O771" i="2"/>
  <c r="O772" i="2"/>
  <c r="N841" i="2"/>
  <c r="N842" i="2"/>
  <c r="N840" i="2"/>
  <c r="N833" i="2"/>
  <c r="N834" i="2"/>
  <c r="N835" i="2"/>
  <c r="N836" i="2"/>
  <c r="N832" i="2"/>
  <c r="N827" i="2"/>
  <c r="N810" i="2"/>
  <c r="N811" i="2"/>
  <c r="N812" i="2"/>
  <c r="N813" i="2"/>
  <c r="N814" i="2"/>
  <c r="N809" i="2"/>
  <c r="N788" i="2"/>
  <c r="N804" i="2"/>
  <c r="N780" i="2"/>
  <c r="N781" i="2"/>
  <c r="N782" i="2"/>
  <c r="N783" i="2"/>
  <c r="N784" i="2"/>
  <c r="N785" i="2"/>
  <c r="N786" i="2"/>
  <c r="N787" i="2"/>
  <c r="N779" i="2"/>
  <c r="N739" i="2"/>
  <c r="N772" i="2"/>
  <c r="N771" i="2"/>
  <c r="N770" i="2"/>
  <c r="N769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42" i="2"/>
  <c r="K743" i="2"/>
  <c r="K744" i="2"/>
  <c r="K745" i="2"/>
  <c r="K746" i="2"/>
  <c r="K747" i="2"/>
  <c r="K748" i="2"/>
  <c r="K749" i="2"/>
  <c r="K750" i="2"/>
  <c r="K740" i="2"/>
  <c r="K741" i="2"/>
  <c r="K454" i="2"/>
  <c r="K455" i="2"/>
  <c r="K456" i="2"/>
  <c r="K457" i="2"/>
  <c r="K458" i="2"/>
  <c r="K459" i="2"/>
  <c r="K460" i="2"/>
  <c r="K469" i="2"/>
  <c r="K470" i="2"/>
  <c r="K471" i="2"/>
  <c r="K60" i="2"/>
  <c r="K61" i="2"/>
  <c r="K62" i="2"/>
  <c r="K63" i="2"/>
  <c r="K64" i="2"/>
  <c r="K65" i="2"/>
  <c r="K66" i="2"/>
  <c r="K67" i="2"/>
  <c r="K68" i="2"/>
  <c r="K69" i="2"/>
  <c r="K707" i="2"/>
  <c r="P454" i="2"/>
  <c r="R454" i="2" s="1"/>
  <c r="N707" i="2"/>
  <c r="N60" i="2"/>
  <c r="N61" i="2"/>
  <c r="N62" i="2"/>
  <c r="N63" i="2"/>
  <c r="N64" i="2"/>
  <c r="N65" i="2"/>
  <c r="N66" i="2"/>
  <c r="N67" i="2"/>
  <c r="N68" i="2"/>
  <c r="N69" i="2"/>
  <c r="N456" i="2"/>
  <c r="N457" i="2"/>
  <c r="N458" i="2"/>
  <c r="N459" i="2"/>
  <c r="N460" i="2"/>
  <c r="N455" i="2"/>
  <c r="N454" i="2"/>
  <c r="K55" i="2"/>
  <c r="K56" i="2"/>
  <c r="K57" i="2"/>
  <c r="K58" i="2"/>
  <c r="K59" i="2"/>
  <c r="K449" i="2"/>
  <c r="K450" i="2"/>
  <c r="K451" i="2"/>
  <c r="K452" i="2"/>
  <c r="K453" i="2"/>
  <c r="P55" i="2"/>
  <c r="R55" i="2" s="1"/>
  <c r="N450" i="2"/>
  <c r="N451" i="2"/>
  <c r="N452" i="2"/>
  <c r="N453" i="2"/>
  <c r="N449" i="2"/>
  <c r="N59" i="2"/>
  <c r="N58" i="2"/>
  <c r="N57" i="2"/>
  <c r="N56" i="2"/>
  <c r="N55" i="2"/>
  <c r="K52" i="2"/>
  <c r="K53" i="2"/>
  <c r="K54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P52" i="2"/>
  <c r="R52" i="2" s="1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54" i="2"/>
  <c r="N53" i="2"/>
  <c r="N52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7" i="2"/>
  <c r="K48" i="2"/>
  <c r="K49" i="2"/>
  <c r="K50" i="2"/>
  <c r="K51" i="2"/>
  <c r="K211" i="2"/>
  <c r="K212" i="2"/>
  <c r="P415" i="2"/>
  <c r="R415" i="2" s="1"/>
  <c r="N211" i="2"/>
  <c r="N212" i="2"/>
  <c r="N47" i="2"/>
  <c r="N48" i="2"/>
  <c r="N49" i="2"/>
  <c r="N50" i="2"/>
  <c r="N51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16" i="2"/>
  <c r="N415" i="2"/>
  <c r="P40" i="2"/>
  <c r="R40" i="2" s="1"/>
  <c r="K40" i="2"/>
  <c r="K41" i="2"/>
  <c r="K42" i="2"/>
  <c r="K43" i="2"/>
  <c r="K44" i="2"/>
  <c r="K45" i="2"/>
  <c r="K46" i="2"/>
  <c r="K206" i="2"/>
  <c r="K207" i="2"/>
  <c r="K208" i="2"/>
  <c r="K209" i="2"/>
  <c r="K210" i="2"/>
  <c r="N207" i="2"/>
  <c r="N208" i="2"/>
  <c r="N209" i="2"/>
  <c r="N210" i="2"/>
  <c r="N206" i="2"/>
  <c r="N41" i="2"/>
  <c r="N42" i="2"/>
  <c r="N43" i="2"/>
  <c r="N44" i="2"/>
  <c r="N45" i="2"/>
  <c r="N46" i="2"/>
  <c r="N40" i="2"/>
  <c r="K413" i="2"/>
  <c r="K41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P413" i="2"/>
  <c r="R413" i="2" s="1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13" i="2"/>
  <c r="N414" i="2"/>
  <c r="K412" i="2"/>
  <c r="P16" i="2"/>
  <c r="R16" i="2" s="1"/>
  <c r="K16" i="2"/>
  <c r="K17" i="2"/>
  <c r="K18" i="2"/>
  <c r="K19" i="2"/>
  <c r="K20" i="2"/>
  <c r="K21" i="2"/>
  <c r="K22" i="2"/>
  <c r="K23" i="2"/>
  <c r="K24" i="2"/>
  <c r="K411" i="2"/>
  <c r="P691" i="2"/>
  <c r="R691" i="2" s="1"/>
  <c r="P693" i="2"/>
  <c r="R693" i="2" s="1"/>
  <c r="N411" i="2"/>
  <c r="N412" i="2"/>
  <c r="N18" i="2"/>
  <c r="N19" i="2"/>
  <c r="N20" i="2"/>
  <c r="N21" i="2"/>
  <c r="N22" i="2"/>
  <c r="N23" i="2"/>
  <c r="N24" i="2"/>
  <c r="N17" i="2"/>
  <c r="P70" i="2"/>
  <c r="R70" i="2" s="1"/>
  <c r="K205" i="2"/>
  <c r="K691" i="2"/>
  <c r="K403" i="2"/>
  <c r="K404" i="2"/>
  <c r="K405" i="2"/>
  <c r="K406" i="2"/>
  <c r="K407" i="2"/>
  <c r="K692" i="2"/>
  <c r="K408" i="2"/>
  <c r="K409" i="2"/>
  <c r="K410" i="2"/>
  <c r="K693" i="2"/>
  <c r="K694" i="2"/>
  <c r="K695" i="2"/>
  <c r="K696" i="2"/>
  <c r="N16" i="2"/>
  <c r="M14" i="6"/>
  <c r="M8" i="6"/>
  <c r="M9" i="6"/>
  <c r="M10" i="6"/>
  <c r="M11" i="6"/>
  <c r="M12" i="6"/>
  <c r="M13" i="6"/>
  <c r="M18" i="6"/>
  <c r="G80" i="6"/>
  <c r="E65" i="6"/>
  <c r="D65" i="6"/>
  <c r="E64" i="6"/>
  <c r="D64" i="6"/>
  <c r="D55" i="6"/>
  <c r="F55" i="6" s="1"/>
  <c r="G55" i="6" s="1"/>
  <c r="I55" i="6" s="1"/>
  <c r="E55" i="6"/>
  <c r="D54" i="6"/>
  <c r="F54" i="6" s="1"/>
  <c r="G54" i="6" s="1"/>
  <c r="I54" i="6" s="1"/>
  <c r="E54" i="6"/>
  <c r="F47" i="6"/>
  <c r="F48" i="6"/>
  <c r="F49" i="6"/>
  <c r="F52" i="6" s="1"/>
  <c r="F50" i="6"/>
  <c r="V44" i="6"/>
  <c r="U44" i="6"/>
  <c r="T44" i="6"/>
  <c r="S44" i="6"/>
  <c r="R44" i="6"/>
  <c r="Q44" i="6"/>
  <c r="P44" i="6"/>
  <c r="O44" i="6"/>
  <c r="N44" i="6"/>
  <c r="M44" i="6"/>
  <c r="V43" i="6"/>
  <c r="U43" i="6"/>
  <c r="T43" i="6"/>
  <c r="S43" i="6"/>
  <c r="R43" i="6"/>
  <c r="Q43" i="6"/>
  <c r="P43" i="6"/>
  <c r="O43" i="6"/>
  <c r="N43" i="6"/>
  <c r="M43" i="6"/>
  <c r="V42" i="6"/>
  <c r="U42" i="6"/>
  <c r="T42" i="6"/>
  <c r="S42" i="6"/>
  <c r="R42" i="6"/>
  <c r="Q42" i="6"/>
  <c r="P42" i="6"/>
  <c r="O42" i="6"/>
  <c r="N42" i="6"/>
  <c r="M42" i="6"/>
  <c r="V41" i="6"/>
  <c r="U41" i="6"/>
  <c r="T41" i="6"/>
  <c r="S41" i="6"/>
  <c r="R41" i="6"/>
  <c r="Q41" i="6"/>
  <c r="P41" i="6"/>
  <c r="O41" i="6"/>
  <c r="N41" i="6"/>
  <c r="M41" i="6"/>
  <c r="V38" i="6"/>
  <c r="V39" i="6"/>
  <c r="V40" i="6"/>
  <c r="U38" i="6"/>
  <c r="U39" i="6"/>
  <c r="U40" i="6"/>
  <c r="T38" i="6"/>
  <c r="T40" i="6" s="1"/>
  <c r="T39" i="6"/>
  <c r="S38" i="6"/>
  <c r="S40" i="6" s="1"/>
  <c r="S39" i="6"/>
  <c r="R38" i="6"/>
  <c r="R39" i="6"/>
  <c r="R40" i="6"/>
  <c r="Q38" i="6"/>
  <c r="Q39" i="6"/>
  <c r="Q40" i="6"/>
  <c r="P38" i="6"/>
  <c r="P40" i="6" s="1"/>
  <c r="P39" i="6"/>
  <c r="O38" i="6"/>
  <c r="O40" i="6" s="1"/>
  <c r="O39" i="6"/>
  <c r="N38" i="6"/>
  <c r="N39" i="6"/>
  <c r="N40" i="6"/>
  <c r="M38" i="6"/>
  <c r="M39" i="6"/>
  <c r="M40" i="6"/>
  <c r="V37" i="6"/>
  <c r="U37" i="6"/>
  <c r="T37" i="6"/>
  <c r="S37" i="6"/>
  <c r="R37" i="6"/>
  <c r="Q37" i="6"/>
  <c r="P37" i="6"/>
  <c r="O37" i="6"/>
  <c r="N37" i="6"/>
  <c r="M37" i="6"/>
  <c r="V31" i="6"/>
  <c r="V32" i="6"/>
  <c r="V33" i="6"/>
  <c r="V36" i="6" s="1"/>
  <c r="V34" i="6"/>
  <c r="V35" i="6"/>
  <c r="U31" i="6"/>
  <c r="U36" i="6" s="1"/>
  <c r="U32" i="6"/>
  <c r="U33" i="6"/>
  <c r="U34" i="6"/>
  <c r="U35" i="6"/>
  <c r="T31" i="6"/>
  <c r="T32" i="6"/>
  <c r="T33" i="6"/>
  <c r="T36" i="6" s="1"/>
  <c r="T34" i="6"/>
  <c r="T35" i="6"/>
  <c r="S31" i="6"/>
  <c r="S36" i="6" s="1"/>
  <c r="S32" i="6"/>
  <c r="S33" i="6"/>
  <c r="S34" i="6"/>
  <c r="S35" i="6"/>
  <c r="R31" i="6"/>
  <c r="R32" i="6"/>
  <c r="R33" i="6"/>
  <c r="R36" i="6" s="1"/>
  <c r="R34" i="6"/>
  <c r="R35" i="6"/>
  <c r="Q31" i="6"/>
  <c r="Q36" i="6" s="1"/>
  <c r="Q32" i="6"/>
  <c r="Q33" i="6"/>
  <c r="Q34" i="6"/>
  <c r="Q35" i="6"/>
  <c r="P31" i="6"/>
  <c r="P32" i="6"/>
  <c r="P33" i="6"/>
  <c r="P36" i="6" s="1"/>
  <c r="P34" i="6"/>
  <c r="P35" i="6"/>
  <c r="O31" i="6"/>
  <c r="O36" i="6" s="1"/>
  <c r="O32" i="6"/>
  <c r="O33" i="6"/>
  <c r="O34" i="6"/>
  <c r="O35" i="6"/>
  <c r="N31" i="6"/>
  <c r="N32" i="6"/>
  <c r="N33" i="6"/>
  <c r="N36" i="6" s="1"/>
  <c r="N34" i="6"/>
  <c r="N35" i="6"/>
  <c r="M31" i="6"/>
  <c r="M36" i="6" s="1"/>
  <c r="M32" i="6"/>
  <c r="M33" i="6"/>
  <c r="M34" i="6"/>
  <c r="M35" i="6"/>
  <c r="V30" i="6"/>
  <c r="U30" i="6"/>
  <c r="T30" i="6"/>
  <c r="S30" i="6"/>
  <c r="R30" i="6"/>
  <c r="Q30" i="6"/>
  <c r="P30" i="6"/>
  <c r="O30" i="6"/>
  <c r="N30" i="6"/>
  <c r="M30" i="6"/>
  <c r="V29" i="6"/>
  <c r="U29" i="6"/>
  <c r="T29" i="6"/>
  <c r="S29" i="6"/>
  <c r="R29" i="6"/>
  <c r="Q29" i="6"/>
  <c r="P29" i="6"/>
  <c r="O29" i="6"/>
  <c r="N29" i="6"/>
  <c r="M29" i="6"/>
  <c r="V28" i="6"/>
  <c r="U28" i="6"/>
  <c r="T28" i="6"/>
  <c r="S28" i="6"/>
  <c r="R28" i="6"/>
  <c r="Q28" i="6"/>
  <c r="P28" i="6"/>
  <c r="O28" i="6"/>
  <c r="N28" i="6"/>
  <c r="M28" i="6"/>
  <c r="V27" i="6"/>
  <c r="U27" i="6"/>
  <c r="T27" i="6"/>
  <c r="S27" i="6"/>
  <c r="R27" i="6"/>
  <c r="Q27" i="6"/>
  <c r="P27" i="6"/>
  <c r="O27" i="6"/>
  <c r="N27" i="6"/>
  <c r="M27" i="6"/>
  <c r="V26" i="6"/>
  <c r="U26" i="6"/>
  <c r="T26" i="6"/>
  <c r="S26" i="6"/>
  <c r="R26" i="6"/>
  <c r="Q26" i="6"/>
  <c r="P26" i="6"/>
  <c r="O26" i="6"/>
  <c r="N26" i="6"/>
  <c r="M26" i="6"/>
  <c r="V25" i="6"/>
  <c r="U25" i="6"/>
  <c r="T25" i="6"/>
  <c r="S25" i="6"/>
  <c r="R25" i="6"/>
  <c r="Q25" i="6"/>
  <c r="P25" i="6"/>
  <c r="O25" i="6"/>
  <c r="N25" i="6"/>
  <c r="M25" i="6"/>
  <c r="V19" i="6"/>
  <c r="V20" i="6"/>
  <c r="V24" i="6"/>
  <c r="U19" i="6"/>
  <c r="U20" i="6"/>
  <c r="U24" i="6"/>
  <c r="T19" i="6"/>
  <c r="T24" i="6" s="1"/>
  <c r="T20" i="6"/>
  <c r="S19" i="6"/>
  <c r="S24" i="6" s="1"/>
  <c r="S20" i="6"/>
  <c r="R19" i="6"/>
  <c r="R20" i="6"/>
  <c r="R24" i="6"/>
  <c r="Q19" i="6"/>
  <c r="Q20" i="6"/>
  <c r="Q23" i="6"/>
  <c r="Q24" i="6"/>
  <c r="P18" i="6"/>
  <c r="P19" i="6"/>
  <c r="P20" i="6"/>
  <c r="P21" i="6"/>
  <c r="P24" i="6" s="1"/>
  <c r="P22" i="6"/>
  <c r="P23" i="6"/>
  <c r="O18" i="6"/>
  <c r="O24" i="6" s="1"/>
  <c r="O19" i="6"/>
  <c r="O20" i="6"/>
  <c r="O21" i="6"/>
  <c r="O22" i="6"/>
  <c r="O23" i="6"/>
  <c r="N18" i="6"/>
  <c r="N24" i="6" s="1"/>
  <c r="N19" i="6"/>
  <c r="N20" i="6"/>
  <c r="N21" i="6"/>
  <c r="N22" i="6"/>
  <c r="N23" i="6"/>
  <c r="M19" i="6"/>
  <c r="M20" i="6"/>
  <c r="M21" i="6"/>
  <c r="M24" i="6" s="1"/>
  <c r="M22" i="6"/>
  <c r="M23" i="6"/>
  <c r="V23" i="6"/>
  <c r="U23" i="6"/>
  <c r="T23" i="6"/>
  <c r="S23" i="6"/>
  <c r="R23" i="6"/>
  <c r="V22" i="6"/>
  <c r="U22" i="6"/>
  <c r="T22" i="6"/>
  <c r="S22" i="6"/>
  <c r="R22" i="6"/>
  <c r="Q22" i="6"/>
  <c r="V21" i="6"/>
  <c r="U21" i="6"/>
  <c r="T21" i="6"/>
  <c r="S21" i="6"/>
  <c r="R21" i="6"/>
  <c r="Q21" i="6"/>
  <c r="V18" i="6"/>
  <c r="U18" i="6"/>
  <c r="T18" i="6"/>
  <c r="S18" i="6"/>
  <c r="R18" i="6"/>
  <c r="Q18" i="6"/>
  <c r="V17" i="6"/>
  <c r="U17" i="6"/>
  <c r="T17" i="6"/>
  <c r="S17" i="6"/>
  <c r="R17" i="6"/>
  <c r="Q17" i="6"/>
  <c r="P17" i="6"/>
  <c r="O17" i="6"/>
  <c r="N17" i="6"/>
  <c r="M17" i="6"/>
  <c r="V16" i="6"/>
  <c r="U16" i="6"/>
  <c r="T16" i="6"/>
  <c r="S16" i="6"/>
  <c r="R16" i="6"/>
  <c r="Q16" i="6"/>
  <c r="P16" i="6"/>
  <c r="O16" i="6"/>
  <c r="N16" i="6"/>
  <c r="M16" i="6"/>
  <c r="V15" i="6"/>
  <c r="U15" i="6"/>
  <c r="T15" i="6"/>
  <c r="S15" i="6"/>
  <c r="R15" i="6"/>
  <c r="Q15" i="6"/>
  <c r="P15" i="6"/>
  <c r="O15" i="6"/>
  <c r="N15" i="6"/>
  <c r="M15" i="6"/>
  <c r="V14" i="6"/>
  <c r="U14" i="6"/>
  <c r="T14" i="6"/>
  <c r="S14" i="6"/>
  <c r="R14" i="6"/>
  <c r="Q14" i="6"/>
  <c r="P14" i="6"/>
  <c r="O14" i="6"/>
  <c r="N14" i="6"/>
  <c r="Q8" i="6"/>
  <c r="Q9" i="6"/>
  <c r="Q10" i="6"/>
  <c r="Q13" i="6" s="1"/>
  <c r="Q11" i="6"/>
  <c r="Q12" i="6"/>
  <c r="P8" i="6"/>
  <c r="P13" i="6" s="1"/>
  <c r="P9" i="6"/>
  <c r="P10" i="6"/>
  <c r="P11" i="6"/>
  <c r="P12" i="6"/>
  <c r="O8" i="6"/>
  <c r="O9" i="6"/>
  <c r="O10" i="6"/>
  <c r="O13" i="6" s="1"/>
  <c r="O11" i="6"/>
  <c r="O12" i="6"/>
  <c r="N8" i="6"/>
  <c r="N13" i="6" s="1"/>
  <c r="N9" i="6"/>
  <c r="N10" i="6"/>
  <c r="N11" i="6"/>
  <c r="N12" i="6"/>
  <c r="V12" i="6"/>
  <c r="U12" i="6"/>
  <c r="T12" i="6"/>
  <c r="S12" i="6"/>
  <c r="R12" i="6"/>
  <c r="V11" i="6"/>
  <c r="U11" i="6"/>
  <c r="T11" i="6"/>
  <c r="S11" i="6"/>
  <c r="R11" i="6"/>
  <c r="V10" i="6"/>
  <c r="U10" i="6"/>
  <c r="T10" i="6"/>
  <c r="S10" i="6"/>
  <c r="R10" i="6"/>
  <c r="V9" i="6"/>
  <c r="U9" i="6"/>
  <c r="T9" i="6"/>
  <c r="S9" i="6"/>
  <c r="R9" i="6"/>
  <c r="V8" i="6"/>
  <c r="U8" i="6"/>
  <c r="T8" i="6"/>
  <c r="S8" i="6"/>
  <c r="R8" i="6"/>
  <c r="V7" i="6"/>
  <c r="U7" i="6"/>
  <c r="T7" i="6"/>
  <c r="S7" i="6"/>
  <c r="R7" i="6"/>
  <c r="Q7" i="6"/>
  <c r="P7" i="6"/>
  <c r="O7" i="6"/>
  <c r="N7" i="6"/>
  <c r="M7" i="6"/>
  <c r="V6" i="6"/>
  <c r="U6" i="6"/>
  <c r="T6" i="6"/>
  <c r="S6" i="6"/>
  <c r="R6" i="6"/>
  <c r="Q6" i="6"/>
  <c r="P6" i="6"/>
  <c r="O6" i="6"/>
  <c r="N6" i="6"/>
  <c r="M6" i="6"/>
  <c r="V5" i="6"/>
  <c r="U5" i="6"/>
  <c r="T5" i="6"/>
  <c r="S5" i="6"/>
  <c r="R5" i="6"/>
  <c r="Q5" i="6"/>
  <c r="P5" i="6"/>
  <c r="O5" i="6"/>
  <c r="N5" i="6"/>
  <c r="M5" i="6"/>
  <c r="V4" i="6"/>
  <c r="U4" i="6"/>
  <c r="T4" i="6"/>
  <c r="S4" i="6"/>
  <c r="R4" i="6"/>
  <c r="Q4" i="6"/>
  <c r="P4" i="6"/>
  <c r="O4" i="6"/>
  <c r="N4" i="6"/>
  <c r="M4" i="6"/>
  <c r="V3" i="6"/>
  <c r="U3" i="6"/>
  <c r="T3" i="6"/>
  <c r="S3" i="6"/>
  <c r="R3" i="6"/>
  <c r="Q3" i="6"/>
  <c r="P3" i="6"/>
  <c r="O3" i="6"/>
  <c r="N3" i="6"/>
  <c r="M3" i="6"/>
  <c r="K238" i="2"/>
  <c r="N694" i="2"/>
  <c r="N695" i="2"/>
  <c r="N696" i="2"/>
  <c r="N693" i="2"/>
  <c r="N403" i="2"/>
  <c r="N404" i="2"/>
  <c r="N205" i="2"/>
  <c r="N405" i="2"/>
  <c r="N406" i="2"/>
  <c r="N407" i="2"/>
  <c r="N692" i="2"/>
  <c r="N408" i="2"/>
  <c r="N409" i="2"/>
  <c r="N410" i="2"/>
  <c r="N691" i="2"/>
  <c r="P204" i="2"/>
  <c r="R204" i="2" s="1"/>
  <c r="K204" i="2"/>
  <c r="K690" i="2"/>
  <c r="N690" i="2"/>
  <c r="N204" i="2"/>
  <c r="P197" i="2"/>
  <c r="R197" i="2" s="1"/>
  <c r="K197" i="2"/>
  <c r="K198" i="2"/>
  <c r="K199" i="2"/>
  <c r="K689" i="2"/>
  <c r="K200" i="2"/>
  <c r="K201" i="2"/>
  <c r="K202" i="2"/>
  <c r="K203" i="2"/>
  <c r="N198" i="2"/>
  <c r="N199" i="2"/>
  <c r="N689" i="2"/>
  <c r="N200" i="2"/>
  <c r="N201" i="2"/>
  <c r="N202" i="2"/>
  <c r="N203" i="2"/>
  <c r="N197" i="2"/>
  <c r="K687" i="2"/>
  <c r="K688" i="2"/>
  <c r="P684" i="2"/>
  <c r="R684" i="2" s="1"/>
  <c r="K684" i="2"/>
  <c r="K685" i="2"/>
  <c r="K686" i="2"/>
  <c r="K196" i="2"/>
  <c r="N685" i="2"/>
  <c r="N686" i="2"/>
  <c r="N196" i="2"/>
  <c r="N684" i="2"/>
  <c r="P682" i="2"/>
  <c r="R682" i="2" s="1"/>
  <c r="K662" i="2"/>
  <c r="K663" i="2"/>
  <c r="K664" i="2"/>
  <c r="K665" i="2"/>
  <c r="K393" i="2"/>
  <c r="K666" i="2"/>
  <c r="K394" i="2"/>
  <c r="K395" i="2"/>
  <c r="K396" i="2"/>
  <c r="K165" i="2"/>
  <c r="K667" i="2"/>
  <c r="K397" i="2"/>
  <c r="K398" i="2"/>
  <c r="K668" i="2"/>
  <c r="K669" i="2"/>
  <c r="K670" i="2"/>
  <c r="K671" i="2"/>
  <c r="K672" i="2"/>
  <c r="K673" i="2"/>
  <c r="K674" i="2"/>
  <c r="K166" i="2"/>
  <c r="K167" i="2"/>
  <c r="K168" i="2"/>
  <c r="K399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675" i="2"/>
  <c r="K676" i="2"/>
  <c r="K677" i="2"/>
  <c r="K678" i="2"/>
  <c r="K679" i="2"/>
  <c r="K680" i="2"/>
  <c r="K681" i="2"/>
  <c r="K400" i="2"/>
  <c r="K401" i="2"/>
  <c r="K402" i="2"/>
  <c r="K682" i="2"/>
  <c r="K190" i="2"/>
  <c r="K683" i="2"/>
  <c r="K191" i="2"/>
  <c r="K192" i="2"/>
  <c r="K193" i="2"/>
  <c r="K194" i="2"/>
  <c r="K195" i="2"/>
  <c r="N188" i="2"/>
  <c r="N189" i="2"/>
  <c r="N190" i="2"/>
  <c r="N683" i="2"/>
  <c r="N191" i="2"/>
  <c r="N192" i="2"/>
  <c r="N193" i="2"/>
  <c r="N194" i="2"/>
  <c r="N195" i="2"/>
  <c r="N682" i="2"/>
  <c r="P680" i="2"/>
  <c r="R680" i="2" s="1"/>
  <c r="N681" i="2"/>
  <c r="N400" i="2"/>
  <c r="N401" i="2"/>
  <c r="N402" i="2"/>
  <c r="N187" i="2"/>
  <c r="N680" i="2"/>
  <c r="P687" i="2"/>
  <c r="R687" i="2" s="1"/>
  <c r="N688" i="2"/>
  <c r="N687" i="2"/>
  <c r="P674" i="2"/>
  <c r="R674" i="2" s="1"/>
  <c r="N674" i="2"/>
  <c r="N675" i="2"/>
  <c r="N676" i="2"/>
  <c r="N677" i="2"/>
  <c r="N678" i="2"/>
  <c r="N679" i="2"/>
  <c r="P169" i="2"/>
  <c r="R169" i="2" s="1"/>
  <c r="N170" i="2"/>
  <c r="N171" i="2"/>
  <c r="N671" i="2"/>
  <c r="N172" i="2"/>
  <c r="N672" i="2"/>
  <c r="N173" i="2"/>
  <c r="N174" i="2"/>
  <c r="N175" i="2"/>
  <c r="N176" i="2"/>
  <c r="N673" i="2"/>
  <c r="N177" i="2"/>
  <c r="N178" i="2"/>
  <c r="N179" i="2"/>
  <c r="N180" i="2"/>
  <c r="N181" i="2"/>
  <c r="N182" i="2"/>
  <c r="N183" i="2"/>
  <c r="N184" i="2"/>
  <c r="N185" i="2"/>
  <c r="N186" i="2"/>
  <c r="N169" i="2"/>
  <c r="P668" i="2"/>
  <c r="R668" i="2" s="1"/>
  <c r="N166" i="2"/>
  <c r="N167" i="2"/>
  <c r="N669" i="2"/>
  <c r="N168" i="2"/>
  <c r="N399" i="2"/>
  <c r="N670" i="2"/>
  <c r="N668" i="2"/>
  <c r="P662" i="2"/>
  <c r="R662" i="2" s="1"/>
  <c r="K162" i="2"/>
  <c r="K163" i="2"/>
  <c r="K164" i="2"/>
  <c r="K386" i="2"/>
  <c r="K387" i="2"/>
  <c r="K388" i="2"/>
  <c r="K389" i="2"/>
  <c r="K390" i="2"/>
  <c r="K391" i="2"/>
  <c r="K392" i="2"/>
  <c r="N664" i="2"/>
  <c r="N665" i="2"/>
  <c r="N393" i="2"/>
  <c r="N666" i="2"/>
  <c r="N394" i="2"/>
  <c r="N395" i="2"/>
  <c r="N396" i="2"/>
  <c r="N165" i="2"/>
  <c r="N667" i="2"/>
  <c r="N397" i="2"/>
  <c r="N398" i="2"/>
  <c r="N663" i="2"/>
  <c r="N662" i="2"/>
  <c r="K385" i="2"/>
  <c r="K739" i="2"/>
  <c r="K159" i="2"/>
  <c r="K160" i="2"/>
  <c r="K161" i="2"/>
  <c r="K737" i="2"/>
  <c r="K738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156" i="2"/>
  <c r="K157" i="2"/>
  <c r="K158" i="2"/>
  <c r="K736" i="2"/>
  <c r="K153" i="2"/>
  <c r="K350" i="2"/>
  <c r="K351" i="2"/>
  <c r="K154" i="2"/>
  <c r="K155" i="2"/>
  <c r="K349" i="2"/>
  <c r="Q349" i="2" s="1"/>
  <c r="K735" i="2"/>
  <c r="Q735" i="2" s="1"/>
  <c r="K152" i="2"/>
  <c r="K347" i="2"/>
  <c r="K348" i="2"/>
  <c r="K661" i="2"/>
  <c r="K151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150" i="2"/>
  <c r="K326" i="2"/>
  <c r="K327" i="2"/>
  <c r="K146" i="2"/>
  <c r="K147" i="2"/>
  <c r="K148" i="2"/>
  <c r="K149" i="2"/>
  <c r="K321" i="2"/>
  <c r="K322" i="2"/>
  <c r="K323" i="2"/>
  <c r="K324" i="2"/>
  <c r="K325" i="2"/>
  <c r="K660" i="2"/>
  <c r="K143" i="2"/>
  <c r="K144" i="2"/>
  <c r="K145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295" i="2"/>
  <c r="K296" i="2"/>
  <c r="K297" i="2"/>
  <c r="K141" i="2"/>
  <c r="K142" i="2"/>
  <c r="K138" i="2"/>
  <c r="K139" i="2"/>
  <c r="K140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134" i="2"/>
  <c r="K135" i="2"/>
  <c r="K136" i="2"/>
  <c r="K137" i="2"/>
  <c r="K294" i="2"/>
  <c r="K636" i="2"/>
  <c r="K637" i="2"/>
  <c r="K638" i="2"/>
  <c r="K639" i="2"/>
  <c r="K640" i="2"/>
  <c r="K641" i="2"/>
  <c r="K131" i="2"/>
  <c r="K132" i="2"/>
  <c r="K133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125" i="2"/>
  <c r="K126" i="2"/>
  <c r="K127" i="2"/>
  <c r="K128" i="2"/>
  <c r="K129" i="2"/>
  <c r="K130" i="2"/>
  <c r="K291" i="2"/>
  <c r="K292" i="2"/>
  <c r="K293" i="2"/>
  <c r="K619" i="2"/>
  <c r="K620" i="2"/>
  <c r="K621" i="2"/>
  <c r="K622" i="2"/>
  <c r="K733" i="2"/>
  <c r="K734" i="2"/>
  <c r="K124" i="2"/>
  <c r="K280" i="2"/>
  <c r="K281" i="2"/>
  <c r="K282" i="2"/>
  <c r="K283" i="2"/>
  <c r="K284" i="2"/>
  <c r="K285" i="2"/>
  <c r="K286" i="2"/>
  <c r="K287" i="2"/>
  <c r="K288" i="2"/>
  <c r="K289" i="2"/>
  <c r="K290" i="2"/>
  <c r="K120" i="2"/>
  <c r="K121" i="2"/>
  <c r="K122" i="2"/>
  <c r="K123" i="2"/>
  <c r="K279" i="2"/>
  <c r="K732" i="2"/>
  <c r="K116" i="2"/>
  <c r="K117" i="2"/>
  <c r="K118" i="2"/>
  <c r="K119" i="2"/>
  <c r="K278" i="2"/>
  <c r="K731" i="2"/>
  <c r="K115" i="2"/>
  <c r="K277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P115" i="2"/>
  <c r="R115" i="2" s="1"/>
  <c r="K272" i="2"/>
  <c r="K273" i="2"/>
  <c r="K274" i="2"/>
  <c r="K275" i="2"/>
  <c r="K276" i="2"/>
  <c r="K114" i="2"/>
  <c r="Q114" i="2" s="1"/>
  <c r="K730" i="2"/>
  <c r="K265" i="2"/>
  <c r="K266" i="2"/>
  <c r="K267" i="2"/>
  <c r="K268" i="2"/>
  <c r="K269" i="2"/>
  <c r="K270" i="2"/>
  <c r="K271" i="2"/>
  <c r="K264" i="2"/>
  <c r="K603" i="2"/>
  <c r="K604" i="2"/>
  <c r="K605" i="2"/>
  <c r="K606" i="2"/>
  <c r="K729" i="2"/>
  <c r="K602" i="2"/>
  <c r="Q602" i="2" s="1"/>
  <c r="K592" i="2"/>
  <c r="K593" i="2"/>
  <c r="K113" i="2"/>
  <c r="K263" i="2"/>
  <c r="K594" i="2"/>
  <c r="K595" i="2"/>
  <c r="K596" i="2"/>
  <c r="K597" i="2"/>
  <c r="K598" i="2"/>
  <c r="K599" i="2"/>
  <c r="K600" i="2"/>
  <c r="K601" i="2"/>
  <c r="K262" i="2"/>
  <c r="Q262" i="2" s="1"/>
  <c r="K728" i="2"/>
  <c r="Q728" i="2" s="1"/>
  <c r="K255" i="2"/>
  <c r="K256" i="2"/>
  <c r="K257" i="2"/>
  <c r="K258" i="2"/>
  <c r="K259" i="2"/>
  <c r="K260" i="2"/>
  <c r="K261" i="2"/>
  <c r="K111" i="2"/>
  <c r="K112" i="2"/>
  <c r="K251" i="2"/>
  <c r="K252" i="2"/>
  <c r="K253" i="2"/>
  <c r="K254" i="2"/>
  <c r="K582" i="2"/>
  <c r="K583" i="2"/>
  <c r="K584" i="2"/>
  <c r="K585" i="2"/>
  <c r="K586" i="2"/>
  <c r="K587" i="2"/>
  <c r="K588" i="2"/>
  <c r="K589" i="2"/>
  <c r="K590" i="2"/>
  <c r="K591" i="2"/>
  <c r="K250" i="2"/>
  <c r="K727" i="2"/>
  <c r="K248" i="2"/>
  <c r="K249" i="2"/>
  <c r="K726" i="2"/>
  <c r="K580" i="2"/>
  <c r="K581" i="2"/>
  <c r="K244" i="2"/>
  <c r="K245" i="2"/>
  <c r="K246" i="2"/>
  <c r="K247" i="2"/>
  <c r="K109" i="2"/>
  <c r="K110" i="2"/>
  <c r="K578" i="2"/>
  <c r="K579" i="2"/>
  <c r="K241" i="2"/>
  <c r="K242" i="2"/>
  <c r="K243" i="2"/>
  <c r="K577" i="2"/>
  <c r="K576" i="2"/>
  <c r="Q576" i="2" s="1"/>
  <c r="K240" i="2"/>
  <c r="K574" i="2"/>
  <c r="K575" i="2"/>
  <c r="K563" i="2"/>
  <c r="K564" i="2"/>
  <c r="K565" i="2"/>
  <c r="K566" i="2"/>
  <c r="K567" i="2"/>
  <c r="K568" i="2"/>
  <c r="K569" i="2"/>
  <c r="K570" i="2"/>
  <c r="K571" i="2"/>
  <c r="K572" i="2"/>
  <c r="K573" i="2"/>
  <c r="P563" i="2"/>
  <c r="R563" i="2" s="1"/>
  <c r="K724" i="2"/>
  <c r="K725" i="2"/>
  <c r="K106" i="2"/>
  <c r="K107" i="2"/>
  <c r="K108" i="2"/>
  <c r="K554" i="2"/>
  <c r="K555" i="2"/>
  <c r="K556" i="2"/>
  <c r="K557" i="2"/>
  <c r="K558" i="2"/>
  <c r="K559" i="2"/>
  <c r="K560" i="2"/>
  <c r="K561" i="2"/>
  <c r="K562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237" i="2"/>
  <c r="K239" i="2"/>
  <c r="K723" i="2"/>
  <c r="Q723" i="2" s="1"/>
  <c r="K528" i="2"/>
  <c r="K529" i="2"/>
  <c r="K530" i="2"/>
  <c r="K531" i="2"/>
  <c r="K236" i="2"/>
  <c r="K520" i="2"/>
  <c r="K521" i="2"/>
  <c r="K522" i="2"/>
  <c r="K523" i="2"/>
  <c r="K524" i="2"/>
  <c r="K525" i="2"/>
  <c r="K526" i="2"/>
  <c r="K527" i="2"/>
  <c r="K226" i="2"/>
  <c r="K227" i="2"/>
  <c r="K228" i="2"/>
  <c r="K229" i="2"/>
  <c r="K230" i="2"/>
  <c r="K231" i="2"/>
  <c r="K232" i="2"/>
  <c r="K233" i="2"/>
  <c r="K234" i="2"/>
  <c r="K235" i="2"/>
  <c r="K104" i="2"/>
  <c r="K105" i="2"/>
  <c r="K518" i="2"/>
  <c r="K519" i="2"/>
  <c r="K514" i="2"/>
  <c r="K515" i="2"/>
  <c r="K516" i="2"/>
  <c r="K517" i="2"/>
  <c r="K225" i="2"/>
  <c r="K513" i="2"/>
  <c r="K512" i="2"/>
  <c r="K722" i="2"/>
  <c r="K103" i="2"/>
  <c r="K507" i="2"/>
  <c r="K508" i="2"/>
  <c r="K509" i="2"/>
  <c r="K510" i="2"/>
  <c r="K511" i="2"/>
  <c r="K505" i="2"/>
  <c r="K506" i="2"/>
  <c r="K721" i="2"/>
  <c r="Q721" i="2" s="1"/>
  <c r="K102" i="2"/>
  <c r="K224" i="2"/>
  <c r="K503" i="2"/>
  <c r="K504" i="2"/>
  <c r="K223" i="2"/>
  <c r="Q223" i="2" s="1"/>
  <c r="K101" i="2"/>
  <c r="K222" i="2"/>
  <c r="K95" i="2"/>
  <c r="K96" i="2"/>
  <c r="K97" i="2"/>
  <c r="K98" i="2"/>
  <c r="K99" i="2"/>
  <c r="K100" i="2"/>
  <c r="K501" i="2"/>
  <c r="K502" i="2"/>
  <c r="K93" i="2"/>
  <c r="K94" i="2"/>
  <c r="K500" i="2"/>
  <c r="K92" i="2"/>
  <c r="K220" i="2"/>
  <c r="K221" i="2"/>
  <c r="K720" i="2"/>
  <c r="K91" i="2"/>
  <c r="Q91" i="2" s="1"/>
  <c r="K499" i="2"/>
  <c r="Q499" i="2" s="1"/>
  <c r="K90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719" i="2"/>
  <c r="K484" i="2"/>
  <c r="K713" i="2"/>
  <c r="K714" i="2"/>
  <c r="K715" i="2"/>
  <c r="K716" i="2"/>
  <c r="K717" i="2"/>
  <c r="K718" i="2"/>
  <c r="K218" i="2"/>
  <c r="K219" i="2"/>
  <c r="K80" i="2"/>
  <c r="K81" i="2"/>
  <c r="K82" i="2"/>
  <c r="K83" i="2"/>
  <c r="K84" i="2"/>
  <c r="K85" i="2"/>
  <c r="K86" i="2"/>
  <c r="K87" i="2"/>
  <c r="K88" i="2"/>
  <c r="K89" i="2"/>
  <c r="K475" i="2"/>
  <c r="K476" i="2"/>
  <c r="K477" i="2"/>
  <c r="K478" i="2"/>
  <c r="K479" i="2"/>
  <c r="K480" i="2"/>
  <c r="K481" i="2"/>
  <c r="K482" i="2"/>
  <c r="K483" i="2"/>
  <c r="K712" i="2"/>
  <c r="K76" i="2"/>
  <c r="K77" i="2"/>
  <c r="K709" i="2"/>
  <c r="K710" i="2"/>
  <c r="K213" i="2"/>
  <c r="K214" i="2"/>
  <c r="K78" i="2"/>
  <c r="K711" i="2"/>
  <c r="Q711" i="2" s="1"/>
  <c r="K79" i="2"/>
  <c r="K215" i="2"/>
  <c r="K216" i="2"/>
  <c r="K217" i="2"/>
  <c r="K473" i="2"/>
  <c r="K474" i="2"/>
  <c r="K472" i="2"/>
  <c r="Q472" i="2" s="1"/>
  <c r="P472" i="2"/>
  <c r="R472" i="2" s="1"/>
  <c r="P473" i="2"/>
  <c r="R473" i="2" s="1"/>
  <c r="P75" i="2"/>
  <c r="R75" i="2" s="1"/>
  <c r="P76" i="2"/>
  <c r="R76" i="2" s="1"/>
  <c r="P469" i="2"/>
  <c r="R469" i="2" s="1"/>
  <c r="P711" i="2"/>
  <c r="R711" i="2" s="1"/>
  <c r="Q469" i="2"/>
  <c r="K708" i="2"/>
  <c r="P162" i="2"/>
  <c r="R162" i="2" s="1"/>
  <c r="N163" i="2"/>
  <c r="N164" i="2"/>
  <c r="N386" i="2"/>
  <c r="N387" i="2"/>
  <c r="N388" i="2"/>
  <c r="N389" i="2"/>
  <c r="N390" i="2"/>
  <c r="N391" i="2"/>
  <c r="N392" i="2"/>
  <c r="N162" i="2"/>
  <c r="R385" i="2"/>
  <c r="P159" i="2"/>
  <c r="R159" i="2" s="1"/>
  <c r="N159" i="2"/>
  <c r="N160" i="2"/>
  <c r="N161" i="2"/>
  <c r="N737" i="2"/>
  <c r="N738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15" i="2"/>
  <c r="R156" i="2"/>
  <c r="R153" i="2"/>
  <c r="R349" i="2"/>
  <c r="R735" i="2"/>
  <c r="N735" i="2"/>
  <c r="N349" i="2"/>
  <c r="N153" i="2"/>
  <c r="N350" i="2"/>
  <c r="N351" i="2"/>
  <c r="N154" i="2"/>
  <c r="N155" i="2"/>
  <c r="N156" i="2"/>
  <c r="N157" i="2"/>
  <c r="N158" i="2"/>
  <c r="N736" i="2"/>
  <c r="R152" i="2"/>
  <c r="P151" i="2"/>
  <c r="R151" i="2" s="1"/>
  <c r="R150" i="2"/>
  <c r="R14" i="2"/>
  <c r="R13" i="2"/>
  <c r="P146" i="2"/>
  <c r="R146" i="2" s="1"/>
  <c r="R580" i="2"/>
  <c r="P143" i="2"/>
  <c r="R143" i="2" s="1"/>
  <c r="R295" i="2"/>
  <c r="R141" i="2"/>
  <c r="P138" i="2"/>
  <c r="R138" i="2" s="1"/>
  <c r="R12" i="2"/>
  <c r="R11" i="2"/>
  <c r="P134" i="2"/>
  <c r="R134" i="2" s="1"/>
  <c r="P131" i="2"/>
  <c r="R131" i="2" s="1"/>
  <c r="P125" i="2"/>
  <c r="R125" i="2" s="1"/>
  <c r="P124" i="2"/>
  <c r="R124" i="2" s="1"/>
  <c r="R120" i="2"/>
  <c r="R116" i="2"/>
  <c r="R272" i="2"/>
  <c r="R10" i="2"/>
  <c r="R114" i="2"/>
  <c r="P265" i="2"/>
  <c r="R265" i="2" s="1"/>
  <c r="P264" i="2"/>
  <c r="R264" i="2" s="1"/>
  <c r="R602" i="2"/>
  <c r="P592" i="2"/>
  <c r="R592" i="2" s="1"/>
  <c r="R262" i="2"/>
  <c r="R728" i="2"/>
  <c r="R9" i="2"/>
  <c r="P255" i="2"/>
  <c r="R255" i="2" s="1"/>
  <c r="P111" i="2"/>
  <c r="R111" i="2" s="1"/>
  <c r="R250" i="2"/>
  <c r="R248" i="2"/>
  <c r="R244" i="2"/>
  <c r="R8" i="2"/>
  <c r="R7" i="2"/>
  <c r="R109" i="2"/>
  <c r="R241" i="2"/>
  <c r="R6" i="2"/>
  <c r="R5" i="2"/>
  <c r="R576" i="2"/>
  <c r="R4" i="2"/>
  <c r="R240" i="2"/>
  <c r="R3" i="2"/>
  <c r="R724" i="2"/>
  <c r="P106" i="2"/>
  <c r="R106" i="2" s="1"/>
  <c r="P532" i="2"/>
  <c r="R532" i="2" s="1"/>
  <c r="R2" i="2"/>
  <c r="R723" i="2"/>
  <c r="R528" i="2"/>
  <c r="P520" i="2"/>
  <c r="R520" i="2" s="1"/>
  <c r="P226" i="2"/>
  <c r="R226" i="2" s="1"/>
  <c r="R514" i="2"/>
  <c r="R225" i="2"/>
  <c r="R512" i="2"/>
  <c r="R103" i="2"/>
  <c r="N222" i="2"/>
  <c r="N223" i="2"/>
  <c r="N102" i="2"/>
  <c r="N224" i="2"/>
  <c r="N503" i="2"/>
  <c r="N504" i="2"/>
  <c r="N721" i="2"/>
  <c r="N706" i="2"/>
  <c r="N505" i="2"/>
  <c r="N506" i="2"/>
  <c r="N103" i="2"/>
  <c r="N507" i="2"/>
  <c r="N508" i="2"/>
  <c r="N509" i="2"/>
  <c r="N510" i="2"/>
  <c r="N511" i="2"/>
  <c r="N512" i="2"/>
  <c r="N722" i="2"/>
  <c r="N225" i="2"/>
  <c r="N513" i="2"/>
  <c r="N514" i="2"/>
  <c r="N515" i="2"/>
  <c r="N516" i="2"/>
  <c r="N517" i="2"/>
  <c r="N226" i="2"/>
  <c r="N227" i="2"/>
  <c r="N228" i="2"/>
  <c r="N229" i="2"/>
  <c r="N230" i="2"/>
  <c r="N231" i="2"/>
  <c r="N232" i="2"/>
  <c r="N233" i="2"/>
  <c r="N234" i="2"/>
  <c r="N235" i="2"/>
  <c r="N104" i="2"/>
  <c r="N105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236" i="2"/>
  <c r="N723" i="2"/>
  <c r="N2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237" i="2"/>
  <c r="N238" i="2"/>
  <c r="N239" i="2"/>
  <c r="N106" i="2"/>
  <c r="N107" i="2"/>
  <c r="N108" i="2"/>
  <c r="N554" i="2"/>
  <c r="N555" i="2"/>
  <c r="N556" i="2"/>
  <c r="N557" i="2"/>
  <c r="N558" i="2"/>
  <c r="N559" i="2"/>
  <c r="N560" i="2"/>
  <c r="N561" i="2"/>
  <c r="N562" i="2"/>
  <c r="N724" i="2"/>
  <c r="N725" i="2"/>
  <c r="N3" i="2"/>
  <c r="N563" i="2"/>
  <c r="N564" i="2"/>
  <c r="N565" i="2"/>
  <c r="N566" i="2"/>
  <c r="N567" i="2"/>
  <c r="N568" i="2"/>
  <c r="N569" i="2"/>
  <c r="N570" i="2"/>
  <c r="N571" i="2"/>
  <c r="N572" i="2"/>
  <c r="N573" i="2"/>
  <c r="N240" i="2"/>
  <c r="N574" i="2"/>
  <c r="N575" i="2"/>
  <c r="N4" i="2"/>
  <c r="N576" i="2"/>
  <c r="N5" i="2"/>
  <c r="N6" i="2"/>
  <c r="N241" i="2"/>
  <c r="N242" i="2"/>
  <c r="N243" i="2"/>
  <c r="N577" i="2"/>
  <c r="N109" i="2"/>
  <c r="N110" i="2"/>
  <c r="N578" i="2"/>
  <c r="N579" i="2"/>
  <c r="N7" i="2"/>
  <c r="N8" i="2"/>
  <c r="N244" i="2"/>
  <c r="N245" i="2"/>
  <c r="N246" i="2"/>
  <c r="N247" i="2"/>
  <c r="N580" i="2"/>
  <c r="N581" i="2"/>
  <c r="N248" i="2"/>
  <c r="N249" i="2"/>
  <c r="N726" i="2"/>
  <c r="N250" i="2"/>
  <c r="N727" i="2"/>
  <c r="N111" i="2"/>
  <c r="N112" i="2"/>
  <c r="N251" i="2"/>
  <c r="N252" i="2"/>
  <c r="N253" i="2"/>
  <c r="N254" i="2"/>
  <c r="N582" i="2"/>
  <c r="N583" i="2"/>
  <c r="N584" i="2"/>
  <c r="N585" i="2"/>
  <c r="N586" i="2"/>
  <c r="N587" i="2"/>
  <c r="N588" i="2"/>
  <c r="N589" i="2"/>
  <c r="N590" i="2"/>
  <c r="N591" i="2"/>
  <c r="N255" i="2"/>
  <c r="N256" i="2"/>
  <c r="N257" i="2"/>
  <c r="N258" i="2"/>
  <c r="N259" i="2"/>
  <c r="N260" i="2"/>
  <c r="N261" i="2"/>
  <c r="N9" i="2"/>
  <c r="N728" i="2"/>
  <c r="N262" i="2"/>
  <c r="N592" i="2"/>
  <c r="N593" i="2"/>
  <c r="N113" i="2"/>
  <c r="N263" i="2"/>
  <c r="N594" i="2"/>
  <c r="N595" i="2"/>
  <c r="N596" i="2"/>
  <c r="N597" i="2"/>
  <c r="N598" i="2"/>
  <c r="N599" i="2"/>
  <c r="N600" i="2"/>
  <c r="N601" i="2"/>
  <c r="N602" i="2"/>
  <c r="N264" i="2"/>
  <c r="N603" i="2"/>
  <c r="N604" i="2"/>
  <c r="N605" i="2"/>
  <c r="N606" i="2"/>
  <c r="N729" i="2"/>
  <c r="N265" i="2"/>
  <c r="N266" i="2"/>
  <c r="N267" i="2"/>
  <c r="N268" i="2"/>
  <c r="N269" i="2"/>
  <c r="N270" i="2"/>
  <c r="N271" i="2"/>
  <c r="N114" i="2"/>
  <c r="N730" i="2"/>
  <c r="N10" i="2"/>
  <c r="N272" i="2"/>
  <c r="N273" i="2"/>
  <c r="N274" i="2"/>
  <c r="N275" i="2"/>
  <c r="N276" i="2"/>
  <c r="N115" i="2"/>
  <c r="N277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116" i="2"/>
  <c r="N117" i="2"/>
  <c r="N118" i="2"/>
  <c r="N119" i="2"/>
  <c r="N278" i="2"/>
  <c r="N731" i="2"/>
  <c r="N120" i="2"/>
  <c r="N121" i="2"/>
  <c r="N122" i="2"/>
  <c r="N123" i="2"/>
  <c r="N279" i="2"/>
  <c r="N732" i="2"/>
  <c r="N124" i="2"/>
  <c r="N280" i="2"/>
  <c r="N281" i="2"/>
  <c r="N282" i="2"/>
  <c r="N283" i="2"/>
  <c r="N284" i="2"/>
  <c r="N285" i="2"/>
  <c r="N286" i="2"/>
  <c r="N287" i="2"/>
  <c r="N288" i="2"/>
  <c r="N289" i="2"/>
  <c r="N290" i="2"/>
  <c r="N125" i="2"/>
  <c r="N126" i="2"/>
  <c r="N127" i="2"/>
  <c r="N128" i="2"/>
  <c r="N129" i="2"/>
  <c r="N130" i="2"/>
  <c r="N291" i="2"/>
  <c r="N292" i="2"/>
  <c r="N293" i="2"/>
  <c r="N619" i="2"/>
  <c r="N620" i="2"/>
  <c r="N621" i="2"/>
  <c r="N622" i="2"/>
  <c r="N733" i="2"/>
  <c r="N734" i="2"/>
  <c r="N131" i="2"/>
  <c r="N132" i="2"/>
  <c r="N133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134" i="2"/>
  <c r="N135" i="2"/>
  <c r="N136" i="2"/>
  <c r="N137" i="2"/>
  <c r="N294" i="2"/>
  <c r="N636" i="2"/>
  <c r="N637" i="2"/>
  <c r="N638" i="2"/>
  <c r="N639" i="2"/>
  <c r="N640" i="2"/>
  <c r="N641" i="2"/>
  <c r="N11" i="2"/>
  <c r="N12" i="2"/>
  <c r="N138" i="2"/>
  <c r="N139" i="2"/>
  <c r="N140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141" i="2"/>
  <c r="N142" i="2"/>
  <c r="N295" i="2"/>
  <c r="N296" i="2"/>
  <c r="N297" i="2"/>
  <c r="N143" i="2"/>
  <c r="N144" i="2"/>
  <c r="N145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146" i="2"/>
  <c r="N147" i="2"/>
  <c r="N148" i="2"/>
  <c r="N149" i="2"/>
  <c r="N321" i="2"/>
  <c r="N322" i="2"/>
  <c r="N323" i="2"/>
  <c r="N324" i="2"/>
  <c r="N325" i="2"/>
  <c r="N660" i="2"/>
  <c r="N13" i="2"/>
  <c r="N14" i="2"/>
  <c r="N150" i="2"/>
  <c r="N326" i="2"/>
  <c r="N327" i="2"/>
  <c r="N151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152" i="2"/>
  <c r="N347" i="2"/>
  <c r="N348" i="2"/>
  <c r="N661" i="2"/>
  <c r="N101" i="2"/>
  <c r="R505" i="2"/>
  <c r="R706" i="2"/>
  <c r="R721" i="2"/>
  <c r="R102" i="2"/>
  <c r="R223" i="2"/>
  <c r="R101" i="2"/>
  <c r="R95" i="2"/>
  <c r="R93" i="2"/>
  <c r="R92" i="2"/>
  <c r="R91" i="2"/>
  <c r="R499" i="2"/>
  <c r="P90" i="2"/>
  <c r="R90" i="2" s="1"/>
  <c r="P697" i="2"/>
  <c r="R697" i="2" s="1"/>
  <c r="P699" i="2"/>
  <c r="R699" i="2" s="1"/>
  <c r="P719" i="2"/>
  <c r="R719" i="2" s="1"/>
  <c r="P713" i="2"/>
  <c r="R713" i="2" s="1"/>
  <c r="P80" i="2"/>
  <c r="R80" i="2" s="1"/>
  <c r="P79" i="2"/>
  <c r="R79" i="2" s="1"/>
  <c r="P709" i="2"/>
  <c r="R709" i="2" s="1"/>
  <c r="Q204" i="2" l="1"/>
  <c r="Q264" i="2"/>
  <c r="Q150" i="2"/>
  <c r="Q55" i="2"/>
  <c r="Q719" i="2"/>
  <c r="Q473" i="2"/>
  <c r="Q106" i="2"/>
  <c r="Q724" i="2"/>
  <c r="Q76" i="2"/>
  <c r="Q146" i="2"/>
  <c r="Q138" i="2"/>
  <c r="Q111" i="2"/>
  <c r="Q159" i="2"/>
  <c r="Q687" i="2"/>
  <c r="Q153" i="2"/>
  <c r="Q101" i="2"/>
  <c r="Q116" i="2"/>
  <c r="Q134" i="2"/>
  <c r="Q109" i="2"/>
  <c r="Q415" i="2"/>
  <c r="Q713" i="2"/>
  <c r="Q244" i="2"/>
  <c r="Q102" i="2"/>
  <c r="Q90" i="2"/>
  <c r="Q512" i="2"/>
  <c r="Q143" i="2"/>
  <c r="Q162" i="2"/>
  <c r="Q225" i="2"/>
  <c r="Q250" i="2"/>
  <c r="Q674" i="2"/>
  <c r="Q131" i="2"/>
  <c r="Q385" i="2"/>
  <c r="Q413" i="2"/>
  <c r="Q70" i="2"/>
  <c r="Q93" i="2"/>
  <c r="Q240" i="2"/>
  <c r="Q241" i="2"/>
  <c r="Q248" i="2"/>
  <c r="Q141" i="2"/>
  <c r="Q152" i="2"/>
  <c r="Q151" i="2"/>
  <c r="Q682" i="2"/>
  <c r="Q92" i="2"/>
  <c r="Q505" i="2"/>
  <c r="Q520" i="2"/>
  <c r="Q563" i="2"/>
  <c r="Q580" i="2"/>
  <c r="Q592" i="2"/>
  <c r="Q115" i="2"/>
  <c r="Q120" i="2"/>
  <c r="Q680" i="2"/>
  <c r="Q668" i="2"/>
  <c r="Q693" i="2"/>
  <c r="Q40" i="2"/>
  <c r="Q454" i="2"/>
  <c r="Q709" i="2"/>
  <c r="Q226" i="2"/>
  <c r="Q103" i="2"/>
  <c r="Q265" i="2"/>
  <c r="Q662" i="2"/>
  <c r="Q691" i="2"/>
  <c r="Q16" i="2"/>
  <c r="Q80" i="2"/>
  <c r="Q95" i="2"/>
  <c r="Q514" i="2"/>
  <c r="Q528" i="2"/>
  <c r="Q532" i="2"/>
  <c r="Q255" i="2"/>
  <c r="Q272" i="2"/>
  <c r="Q125" i="2"/>
  <c r="Q295" i="2"/>
  <c r="Q156" i="2"/>
  <c r="Q169" i="2"/>
  <c r="Q684" i="2"/>
  <c r="Q197" i="2"/>
  <c r="Q52" i="2"/>
  <c r="Q124" i="2"/>
  <c r="Q79" i="2"/>
</calcChain>
</file>

<file path=xl/sharedStrings.xml><?xml version="1.0" encoding="utf-8"?>
<sst xmlns="http://schemas.openxmlformats.org/spreadsheetml/2006/main" count="5676" uniqueCount="340">
  <si>
    <t>Outfall (shore2)</t>
    <phoneticPr fontId="7" type="noConversion"/>
  </si>
  <si>
    <t>Anchovies</t>
    <phoneticPr fontId="7" type="noConversion"/>
  </si>
  <si>
    <t>Area 4</t>
    <phoneticPr fontId="7" type="noConversion"/>
  </si>
  <si>
    <t>Area 4</t>
  </si>
  <si>
    <t>Outfall</t>
    <phoneticPr fontId="7" type="noConversion"/>
  </si>
  <si>
    <t>None</t>
    <phoneticPr fontId="7" type="noConversion"/>
  </si>
  <si>
    <t>Crop Circles</t>
    <phoneticPr fontId="7" type="noConversion"/>
  </si>
  <si>
    <t>Outfall</t>
    <phoneticPr fontId="7" type="noConversion"/>
  </si>
  <si>
    <t>C. antennarius</t>
    <phoneticPr fontId="7" type="noConversion"/>
  </si>
  <si>
    <t>6 Nucella, 7 fish, 3 Seahares</t>
  </si>
  <si>
    <t>5 Nucella, 1 fish</t>
  </si>
  <si>
    <t>8 Nucella, added two anchovies</t>
  </si>
  <si>
    <t>11 Nucella</t>
  </si>
  <si>
    <t>10:00</t>
  </si>
  <si>
    <t>10:15</t>
  </si>
  <si>
    <t>11:50</t>
  </si>
  <si>
    <t>12:00</t>
  </si>
  <si>
    <t>Outfall</t>
    <phoneticPr fontId="7" type="noConversion"/>
  </si>
  <si>
    <t>Hour diff</t>
    <phoneticPr fontId="7" type="noConversion"/>
  </si>
  <si>
    <t>Anchovies</t>
    <phoneticPr fontId="7" type="noConversion"/>
  </si>
  <si>
    <t>Outfall</t>
    <phoneticPr fontId="7" type="noConversion"/>
  </si>
  <si>
    <t>C. antennarius</t>
    <phoneticPr fontId="7" type="noConversion"/>
  </si>
  <si>
    <t>C. productus</t>
    <phoneticPr fontId="7" type="noConversion"/>
  </si>
  <si>
    <t>Outside Trap</t>
    <phoneticPr fontId="7" type="noConversion"/>
  </si>
  <si>
    <t>Anchovies</t>
    <phoneticPr fontId="7" type="noConversion"/>
  </si>
  <si>
    <t>C. productus</t>
    <phoneticPr fontId="7" type="noConversion"/>
  </si>
  <si>
    <t>Outfall</t>
    <phoneticPr fontId="7" type="noConversion"/>
  </si>
  <si>
    <t>C. antennarius</t>
    <phoneticPr fontId="7" type="noConversion"/>
  </si>
  <si>
    <t>15:46</t>
  </si>
  <si>
    <t>11:48</t>
  </si>
  <si>
    <t>12:05</t>
  </si>
  <si>
    <t>8:45</t>
  </si>
  <si>
    <t>9:00</t>
  </si>
  <si>
    <t>10:20</t>
  </si>
  <si>
    <t>10:40</t>
  </si>
  <si>
    <t>17:20</t>
  </si>
  <si>
    <t>16:05</t>
  </si>
  <si>
    <t>16:30</t>
  </si>
  <si>
    <t>16:45</t>
  </si>
  <si>
    <t>9:50</t>
  </si>
  <si>
    <t>10:05</t>
  </si>
  <si>
    <t>11:25</t>
  </si>
  <si>
    <t>8 sculpins, many Nucella</t>
    <phoneticPr fontId="7" type="noConversion"/>
  </si>
  <si>
    <t>Location</t>
    <phoneticPr fontId="7" type="noConversion"/>
  </si>
  <si>
    <t>Site</t>
    <phoneticPr fontId="7" type="noConversion"/>
  </si>
  <si>
    <t>Elkhorn Slough</t>
    <phoneticPr fontId="7" type="noConversion"/>
  </si>
  <si>
    <t>Tomales Bay</t>
    <phoneticPr fontId="7" type="noConversion"/>
  </si>
  <si>
    <t>TB North</t>
    <phoneticPr fontId="7" type="noConversion"/>
  </si>
  <si>
    <t>C. productus</t>
    <phoneticPr fontId="7" type="noConversion"/>
  </si>
  <si>
    <t>C. productus</t>
    <phoneticPr fontId="7" type="noConversion"/>
  </si>
  <si>
    <t>Green crab, recorded as C. productus</t>
    <phoneticPr fontId="7" type="noConversion"/>
  </si>
  <si>
    <t>TB South</t>
    <phoneticPr fontId="7" type="noConversion"/>
  </si>
  <si>
    <t>TB Central</t>
    <phoneticPr fontId="7" type="noConversion"/>
  </si>
  <si>
    <t>TB South</t>
    <phoneticPr fontId="7" type="noConversion"/>
  </si>
  <si>
    <t>TB Nick's Cove</t>
    <phoneticPr fontId="7" type="noConversion"/>
  </si>
  <si>
    <t>TB North</t>
    <phoneticPr fontId="7" type="noConversion"/>
  </si>
  <si>
    <t>TB Central</t>
    <phoneticPr fontId="7" type="noConversion"/>
  </si>
  <si>
    <t>Outfall (shore2)</t>
    <phoneticPr fontId="7" type="noConversion"/>
  </si>
  <si>
    <t>Anchovies</t>
    <phoneticPr fontId="7" type="noConversion"/>
  </si>
  <si>
    <t>12:40</t>
  </si>
  <si>
    <t>15:15</t>
  </si>
  <si>
    <t>15:05</t>
  </si>
  <si>
    <t>15:40</t>
  </si>
  <si>
    <t>15:50</t>
  </si>
  <si>
    <t>16:37</t>
  </si>
  <si>
    <t>Edible Biomass</t>
    <phoneticPr fontId="7" type="noConversion"/>
  </si>
  <si>
    <t>Start Date</t>
    <phoneticPr fontId="7" type="noConversion"/>
  </si>
  <si>
    <t>Species</t>
    <phoneticPr fontId="7" type="noConversion"/>
  </si>
  <si>
    <t>Size (mm)</t>
    <phoneticPr fontId="7" type="noConversion"/>
  </si>
  <si>
    <t>Start time</t>
    <phoneticPr fontId="7" type="noConversion"/>
  </si>
  <si>
    <t xml:space="preserve">Power Function parameter values: </t>
  </si>
  <si>
    <r>
      <t>y = a·x</t>
    </r>
    <r>
      <rPr>
        <b/>
        <vertAlign val="superscript"/>
        <sz val="12"/>
        <rFont val="Arial"/>
        <family val="2"/>
      </rPr>
      <t>b</t>
    </r>
  </si>
  <si>
    <r>
      <t>mass(g) = a*diam(mm)</t>
    </r>
    <r>
      <rPr>
        <b/>
        <vertAlign val="superscript"/>
        <sz val="12"/>
        <rFont val="Arial"/>
        <family val="2"/>
      </rPr>
      <t>b</t>
    </r>
  </si>
  <si>
    <t>Sizeclass: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</si>
  <si>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</si>
  <si>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</si>
  <si>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</si>
  <si>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</si>
  <si>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</si>
  <si>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</si>
  <si>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</si>
  <si>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</si>
  <si>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</si>
  <si>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4z</t>
  </si>
  <si>
    <t>Prey</t>
  </si>
  <si>
    <t>Class</t>
  </si>
  <si>
    <t>Type</t>
  </si>
  <si>
    <t>Par(a)</t>
  </si>
  <si>
    <r>
      <t>Par(a)CI</t>
    </r>
    <r>
      <rPr>
        <vertAlign val="subscript"/>
        <sz val="10"/>
        <rFont val="Arial"/>
        <family val="2"/>
      </rPr>
      <t>95</t>
    </r>
    <r>
      <rPr>
        <sz val="10"/>
        <rFont val="Arial"/>
        <family val="2"/>
      </rPr>
      <t>_L</t>
    </r>
  </si>
  <si>
    <r>
      <t>Par(a)CI</t>
    </r>
    <r>
      <rPr>
        <vertAlign val="subscript"/>
        <sz val="10"/>
        <rFont val="Arial"/>
        <family val="2"/>
      </rPr>
      <t>95</t>
    </r>
    <r>
      <rPr>
        <sz val="10"/>
        <rFont val="Arial"/>
        <family val="2"/>
      </rPr>
      <t>_U</t>
    </r>
  </si>
  <si>
    <t>Par(b)</t>
  </si>
  <si>
    <r>
      <t>Par(b)CI</t>
    </r>
    <r>
      <rPr>
        <vertAlign val="subscript"/>
        <sz val="10"/>
        <rFont val="Arial"/>
        <family val="2"/>
      </rPr>
      <t>95</t>
    </r>
    <r>
      <rPr>
        <sz val="10"/>
        <rFont val="Arial"/>
        <family val="2"/>
      </rPr>
      <t>_L</t>
    </r>
  </si>
  <si>
    <r>
      <t>Par(b)CI</t>
    </r>
    <r>
      <rPr>
        <vertAlign val="subscript"/>
        <sz val="10"/>
        <rFont val="Arial"/>
        <family val="2"/>
      </rPr>
      <t>95</t>
    </r>
    <r>
      <rPr>
        <sz val="10"/>
        <rFont val="Arial"/>
        <family val="2"/>
      </rPr>
      <t>_U</t>
    </r>
  </si>
  <si>
    <t>mm</t>
  </si>
  <si>
    <t>Haliotis cracherodii</t>
  </si>
  <si>
    <t>Gastropod</t>
  </si>
  <si>
    <t>Abalone</t>
  </si>
  <si>
    <t>Haliotis rufescens</t>
  </si>
  <si>
    <t>Lottia gigantea</t>
  </si>
  <si>
    <t>Limpet</t>
  </si>
  <si>
    <t>Acanthina spirata</t>
  </si>
  <si>
    <t>Snail</t>
  </si>
  <si>
    <t>Lithopoma gibberosum</t>
  </si>
  <si>
    <t>Tegula brunnea</t>
  </si>
  <si>
    <t>Tegula eiseni</t>
  </si>
  <si>
    <t>Tegula funebralis</t>
  </si>
  <si>
    <t>Tegula montereyi</t>
  </si>
  <si>
    <t>Tegula pulligo</t>
  </si>
  <si>
    <t>Average Snail</t>
  </si>
  <si>
    <t>Dendraster excentricus</t>
  </si>
  <si>
    <t>Echinoderm</t>
  </si>
  <si>
    <t>Sanddollar</t>
  </si>
  <si>
    <t>Pisaster ochraceus</t>
  </si>
  <si>
    <t>Star</t>
  </si>
  <si>
    <t>Stronglyocentrotus franciscanus</t>
  </si>
  <si>
    <t>Urchin</t>
  </si>
  <si>
    <t>Strongylocentrus purpuratus</t>
  </si>
  <si>
    <t>Decapod</t>
  </si>
  <si>
    <t>CancerCr</t>
  </si>
  <si>
    <t>Soak time (hr)</t>
    <phoneticPr fontId="7" type="noConversion"/>
  </si>
  <si>
    <t>Crab density</t>
    <phoneticPr fontId="7" type="noConversion"/>
  </si>
  <si>
    <t>Density_standrd</t>
    <phoneticPr fontId="7" type="noConversion"/>
  </si>
  <si>
    <t>Bait</t>
    <phoneticPr fontId="7" type="noConversion"/>
  </si>
  <si>
    <t>Notes</t>
    <phoneticPr fontId="7" type="noConversion"/>
  </si>
  <si>
    <t>Seal Bend</t>
    <phoneticPr fontId="7" type="noConversion"/>
  </si>
  <si>
    <t>16:42</t>
  </si>
  <si>
    <t>16:55</t>
  </si>
  <si>
    <t>17:10</t>
  </si>
  <si>
    <t>16:25</t>
  </si>
  <si>
    <t>17:45</t>
  </si>
  <si>
    <t>19:00</t>
  </si>
  <si>
    <t>11:00</t>
  </si>
  <si>
    <t>12:15</t>
  </si>
  <si>
    <t>12:55</t>
  </si>
  <si>
    <t>13:25</t>
  </si>
  <si>
    <t>12:10</t>
  </si>
  <si>
    <t>12:25</t>
  </si>
  <si>
    <t>12:45</t>
  </si>
  <si>
    <t>12:50</t>
  </si>
  <si>
    <t>15:30</t>
  </si>
  <si>
    <t>15:37</t>
  </si>
  <si>
    <t>None</t>
    <phoneticPr fontId="7" type="noConversion"/>
  </si>
  <si>
    <t>N/A</t>
    <phoneticPr fontId="7" type="noConversion"/>
  </si>
  <si>
    <t>C. antennarius</t>
    <phoneticPr fontId="7" type="noConversion"/>
  </si>
  <si>
    <t>Outfall</t>
    <phoneticPr fontId="7" type="noConversion"/>
  </si>
  <si>
    <t>Bait sucked bone dry, Nucella?</t>
    <phoneticPr fontId="7" type="noConversion"/>
  </si>
  <si>
    <t>Crop Circles</t>
    <phoneticPr fontId="7" type="noConversion"/>
  </si>
  <si>
    <t>C. antennarius</t>
    <phoneticPr fontId="7" type="noConversion"/>
  </si>
  <si>
    <t>Anchovies</t>
    <phoneticPr fontId="7" type="noConversion"/>
  </si>
  <si>
    <t>Outfall</t>
    <phoneticPr fontId="7" type="noConversion"/>
  </si>
  <si>
    <t>C. antennarius</t>
    <phoneticPr fontId="7" type="noConversion"/>
  </si>
  <si>
    <t>6 Nucella</t>
    <phoneticPr fontId="7" type="noConversion"/>
  </si>
  <si>
    <t>1 sculpin, 1 perch</t>
    <phoneticPr fontId="7" type="noConversion"/>
  </si>
  <si>
    <t>Seal Bend</t>
    <phoneticPr fontId="7" type="noConversion"/>
  </si>
  <si>
    <t>C. antennarius</t>
    <phoneticPr fontId="7" type="noConversion"/>
  </si>
  <si>
    <t>Anchovies</t>
    <phoneticPr fontId="7" type="noConversion"/>
  </si>
  <si>
    <t>2 perch</t>
    <phoneticPr fontId="7" type="noConversion"/>
  </si>
  <si>
    <t>Seal Bend</t>
  </si>
  <si>
    <t>C. magister</t>
    <phoneticPr fontId="7" type="noConversion"/>
  </si>
  <si>
    <t>Anchovies</t>
    <phoneticPr fontId="7" type="noConversion"/>
  </si>
  <si>
    <t>Crop Circles</t>
    <phoneticPr fontId="7" type="noConversion"/>
  </si>
  <si>
    <t>Pugettia</t>
    <phoneticPr fontId="7" type="noConversion"/>
  </si>
  <si>
    <t>added two anchovies</t>
  </si>
  <si>
    <t>5 sculpins, 4 perch</t>
  </si>
  <si>
    <t>1 sculpin</t>
  </si>
  <si>
    <t>C. antennarius</t>
    <phoneticPr fontId="7" type="noConversion"/>
  </si>
  <si>
    <t>Anchovies</t>
    <phoneticPr fontId="7" type="noConversion"/>
  </si>
  <si>
    <t>Seal Bend</t>
    <phoneticPr fontId="7" type="noConversion"/>
  </si>
  <si>
    <t>TB Nick's Cove</t>
    <phoneticPr fontId="7" type="noConversion"/>
  </si>
  <si>
    <t>only skeletons left of bait</t>
    <phoneticPr fontId="7" type="noConversion"/>
  </si>
  <si>
    <t>Outfall (shore1)</t>
    <phoneticPr fontId="7" type="noConversion"/>
  </si>
  <si>
    <t>16:40</t>
  </si>
  <si>
    <t>16:50</t>
  </si>
  <si>
    <t>17:05</t>
  </si>
  <si>
    <t>Protothaca staminea</t>
  </si>
  <si>
    <t>Tresus nuttalli</t>
  </si>
  <si>
    <t>Saxidomus gigantea</t>
  </si>
  <si>
    <t>Average Clam</t>
  </si>
  <si>
    <t>Mytilus californianus</t>
  </si>
  <si>
    <t>Mussel</t>
  </si>
  <si>
    <t>Nereis vexillosa</t>
  </si>
  <si>
    <t>Annelid</t>
  </si>
  <si>
    <t>worm</t>
  </si>
  <si>
    <t>Urechis caupo</t>
  </si>
  <si>
    <r>
      <t xml:space="preserve">Platichthys stellatus, </t>
    </r>
    <r>
      <rPr>
        <sz val="10"/>
        <rFont val="Arial"/>
        <family val="2"/>
      </rPr>
      <t>starry flounder</t>
    </r>
  </si>
  <si>
    <r>
      <t xml:space="preserve">Hexagrammos decagrammus, </t>
    </r>
    <r>
      <rPr>
        <sz val="10"/>
        <rFont val="Arial"/>
        <family val="2"/>
      </rPr>
      <t>kelp greening</t>
    </r>
  </si>
  <si>
    <r>
      <t xml:space="preserve">Leptocottus armatus, </t>
    </r>
    <r>
      <rPr>
        <sz val="10"/>
        <rFont val="Arial"/>
        <family val="2"/>
      </rPr>
      <t>staghorn scuplin</t>
    </r>
  </si>
  <si>
    <r>
      <t xml:space="preserve">Ammodytes hexapterus, </t>
    </r>
    <r>
      <rPr>
        <sz val="10"/>
        <rFont val="Arial"/>
        <family val="2"/>
      </rPr>
      <t>sand lance</t>
    </r>
    <r>
      <rPr>
        <i/>
        <sz val="10"/>
        <rFont val="Arial"/>
        <family val="2"/>
      </rPr>
      <t xml:space="preserve">   </t>
    </r>
  </si>
  <si>
    <t>Weight (g)</t>
  </si>
  <si>
    <t>Avg mass</t>
  </si>
  <si>
    <t>Avg. E</t>
  </si>
  <si>
    <t>Average</t>
  </si>
  <si>
    <t>purple urchin</t>
  </si>
  <si>
    <t>size 1b</t>
  </si>
  <si>
    <t>kelp crab</t>
  </si>
  <si>
    <t>size 2a</t>
  </si>
  <si>
    <t>Region</t>
  </si>
  <si>
    <t>C. antennarius</t>
    <phoneticPr fontId="7" type="noConversion"/>
  </si>
  <si>
    <t>C. magister</t>
    <phoneticPr fontId="7" type="noConversion"/>
  </si>
  <si>
    <t>C. productus</t>
    <phoneticPr fontId="7" type="noConversion"/>
  </si>
  <si>
    <t>Pugettia</t>
    <phoneticPr fontId="7" type="noConversion"/>
  </si>
  <si>
    <t>Recorded as C. gracillis</t>
    <phoneticPr fontId="7" type="noConversion"/>
  </si>
  <si>
    <t>Pugettia</t>
    <phoneticPr fontId="7" type="noConversion"/>
  </si>
  <si>
    <t xml:space="preserve">Sheep crab, but used Pugettia </t>
    <phoneticPr fontId="7" type="noConversion"/>
  </si>
  <si>
    <t>L. crispatus, used Pugettia for biomass</t>
    <phoneticPr fontId="7" type="noConversion"/>
  </si>
  <si>
    <t>Unable to check, trap caught on outfall</t>
    <phoneticPr fontId="7" type="noConversion"/>
  </si>
  <si>
    <t>Outfall</t>
    <phoneticPr fontId="7" type="noConversion"/>
  </si>
  <si>
    <t>Added three new anchovies to each trap</t>
  </si>
  <si>
    <t>4 perch</t>
  </si>
  <si>
    <t>2 otters foraging</t>
  </si>
  <si>
    <t>No otters foraging</t>
  </si>
  <si>
    <t>1 perch</t>
  </si>
  <si>
    <t>5 perch, 1 sculpin</t>
  </si>
  <si>
    <t>Moved to N36 48 57.0 W121 45 54.1</t>
  </si>
  <si>
    <t>Species</t>
  </si>
  <si>
    <t>Size (mm)</t>
  </si>
  <si>
    <t>11:15</t>
  </si>
  <si>
    <t>13:45</t>
  </si>
  <si>
    <t>14:05</t>
  </si>
  <si>
    <t>11:45</t>
  </si>
  <si>
    <t>9:30</t>
  </si>
  <si>
    <t>9:45</t>
  </si>
  <si>
    <t>10:10</t>
  </si>
  <si>
    <t>13:30</t>
  </si>
  <si>
    <t>9:10</t>
  </si>
  <si>
    <t>12:30</t>
  </si>
  <si>
    <t>C. antennarius</t>
    <phoneticPr fontId="7" type="noConversion"/>
  </si>
  <si>
    <t>C. productus</t>
    <phoneticPr fontId="7" type="noConversion"/>
  </si>
  <si>
    <t>C. magister</t>
    <phoneticPr fontId="7" type="noConversion"/>
  </si>
  <si>
    <t>5 Staghorn sculpins, Hemigrapsus but used C. antennarius to calculate</t>
    <phoneticPr fontId="7" type="noConversion"/>
  </si>
  <si>
    <t>Pugettia</t>
    <phoneticPr fontId="7" type="noConversion"/>
  </si>
  <si>
    <t>C. antennarius</t>
    <phoneticPr fontId="7" type="noConversion"/>
  </si>
  <si>
    <t>1 perch, mlved to N36 48 46.5 W121 46 10.1</t>
  </si>
  <si>
    <t>Moved to N36 48 46.9 W121 46 26.4</t>
  </si>
  <si>
    <t>Moved to N36 48 43.1 W121 46 52.2</t>
  </si>
  <si>
    <t>1 sculpin, 2 perch</t>
  </si>
  <si>
    <t>Added bait</t>
  </si>
  <si>
    <t>Gravid</t>
  </si>
  <si>
    <t>20 Otters in area</t>
  </si>
  <si>
    <t>9 otters in area, moved to N 36 48.689 W 121 46.907</t>
  </si>
  <si>
    <t>2 otters in area resting, moved to N 36 48.804 W 121 46.155</t>
  </si>
  <si>
    <t>No otters in area</t>
  </si>
  <si>
    <t>Stop Time</t>
    <phoneticPr fontId="7" type="noConversion"/>
  </si>
  <si>
    <t>17:00</t>
  </si>
  <si>
    <t>16:15</t>
  </si>
  <si>
    <t>C. productus</t>
    <phoneticPr fontId="7" type="noConversion"/>
  </si>
  <si>
    <t>Seal Bend</t>
    <phoneticPr fontId="7" type="noConversion"/>
  </si>
  <si>
    <t>Pugettia</t>
    <phoneticPr fontId="7" type="noConversion"/>
  </si>
  <si>
    <t>Anchovies</t>
    <phoneticPr fontId="7" type="noConversion"/>
  </si>
  <si>
    <t>Crop Circles</t>
    <phoneticPr fontId="7" type="noConversion"/>
  </si>
  <si>
    <t>N/A</t>
    <phoneticPr fontId="7" type="noConversion"/>
  </si>
  <si>
    <t>Anchovies</t>
    <phoneticPr fontId="7" type="noConversion"/>
  </si>
  <si>
    <t>Outfall</t>
    <phoneticPr fontId="7" type="noConversion"/>
  </si>
  <si>
    <t>C. productus</t>
    <phoneticPr fontId="7" type="noConversion"/>
  </si>
  <si>
    <t>Biomass Conversion</t>
    <phoneticPr fontId="7" type="noConversion"/>
  </si>
  <si>
    <t>Hemigrapsis nudis</t>
  </si>
  <si>
    <t>Crab</t>
  </si>
  <si>
    <t>Pachygrapsus crassipes</t>
  </si>
  <si>
    <t>KelpCr</t>
  </si>
  <si>
    <t>Average Crab</t>
  </si>
  <si>
    <t>Blepharipoda occidentalis</t>
  </si>
  <si>
    <t>Molecrab</t>
  </si>
  <si>
    <t>Emerita analoga</t>
  </si>
  <si>
    <t>Loligo opalesnens</t>
  </si>
  <si>
    <t>Cephalapod</t>
  </si>
  <si>
    <t>Squid</t>
  </si>
  <si>
    <t>Chlamys sp</t>
  </si>
  <si>
    <t>Bivalve</t>
  </si>
  <si>
    <t>clam</t>
  </si>
  <si>
    <t>Clinocardium nuttalli</t>
  </si>
  <si>
    <t>Clam</t>
  </si>
  <si>
    <t>Crassedoma giganteum</t>
  </si>
  <si>
    <t>Macoma nasuta</t>
  </si>
  <si>
    <t>Macoma secta</t>
  </si>
  <si>
    <t>Anchovies</t>
    <phoneticPr fontId="7" type="noConversion"/>
  </si>
  <si>
    <t>C. productus</t>
  </si>
  <si>
    <t>Pugettia</t>
  </si>
  <si>
    <t>Crop Circles</t>
  </si>
  <si>
    <t>C. magister</t>
  </si>
  <si>
    <t>Outfall</t>
  </si>
  <si>
    <t>C. antennarius</t>
  </si>
  <si>
    <t>Added Bait</t>
  </si>
  <si>
    <t>1 large perch</t>
  </si>
  <si>
    <t>1 fish</t>
  </si>
  <si>
    <t>2 small fish, added two anchovies</t>
  </si>
  <si>
    <t>Drakes</t>
  </si>
  <si>
    <t>ZM_up1</t>
  </si>
  <si>
    <t>Habitat</t>
  </si>
  <si>
    <t>Eelgrass</t>
  </si>
  <si>
    <t>NA</t>
  </si>
  <si>
    <t>Sex</t>
  </si>
  <si>
    <t>f</t>
  </si>
  <si>
    <t>m</t>
  </si>
  <si>
    <t>ZM_up2</t>
  </si>
  <si>
    <t>ZM_mid2</t>
  </si>
  <si>
    <t>C. magister is C. gracilis, used C. magister biomass conversion</t>
  </si>
  <si>
    <t>ZM_mid1</t>
  </si>
  <si>
    <t>ZM_low4</t>
  </si>
  <si>
    <t>ZM_low5</t>
  </si>
  <si>
    <t>ZM_low3</t>
  </si>
  <si>
    <t>6/24/16</t>
  </si>
  <si>
    <t>6/25/16</t>
  </si>
  <si>
    <t>6/26/16</t>
  </si>
  <si>
    <t>6/28/16</t>
  </si>
  <si>
    <t>6/29/16</t>
  </si>
  <si>
    <t>6/30/16</t>
  </si>
  <si>
    <t>C. gracilis</t>
  </si>
  <si>
    <t>P. xantusii</t>
  </si>
  <si>
    <t>Xantus</t>
  </si>
  <si>
    <t>M</t>
  </si>
  <si>
    <t>F</t>
  </si>
  <si>
    <t>10:50:00</t>
  </si>
  <si>
    <t>12:30:00</t>
  </si>
  <si>
    <t>12:00:00</t>
  </si>
  <si>
    <t>9:00:00</t>
  </si>
  <si>
    <t>11:40:00</t>
  </si>
  <si>
    <t>12:46:00</t>
  </si>
  <si>
    <t>9:32:00</t>
  </si>
  <si>
    <t>13:34:00</t>
  </si>
  <si>
    <t>11:00:00</t>
  </si>
  <si>
    <t>10:41:00</t>
  </si>
  <si>
    <t>11:21:00</t>
  </si>
  <si>
    <t>9:03:00</t>
  </si>
  <si>
    <t>12:28:00</t>
  </si>
  <si>
    <t>10:20:00</t>
  </si>
  <si>
    <t>12:20:00</t>
  </si>
  <si>
    <t>11:32:00</t>
  </si>
  <si>
    <t>15:26:00</t>
  </si>
  <si>
    <t>10:22:00</t>
  </si>
  <si>
    <t>11:36:00</t>
  </si>
  <si>
    <t>13:46:00</t>
  </si>
  <si>
    <t>15:19:00</t>
  </si>
  <si>
    <t>13:31:00</t>
  </si>
  <si>
    <t>13:16:00</t>
  </si>
  <si>
    <t>10:23:00</t>
  </si>
  <si>
    <t>11:04:00</t>
  </si>
  <si>
    <t>Elkhorn Slough</t>
  </si>
  <si>
    <t>Record_ID</t>
  </si>
  <si>
    <t>Num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</si>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</sst>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;@"/>
    <numFmt numFmtId="165" formatCode="0.0000000"/>
    <numFmt numFmtId="166" formatCode="0.00000"/>
    <numFmt numFmtId="167" formatCode="0.0000"/>
    <numFmt numFmtId="168" formatCode="0.000"/>
    <numFmt numFmtId="169" formatCode="d/m/yy"/>
  </numFmts>
  <fonts count="19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u/>
      <sz val="10"/>
      <color theme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3">
    <xf numFmtId="0" fontId="0" fillId="0" borderId="0"/>
    <xf numFmtId="0" fontId="1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8" fillId="0" borderId="0" xfId="0" applyFont="1"/>
    <xf numFmtId="20" fontId="5" fillId="0" borderId="0" xfId="0" applyNumberFormat="1" applyFont="1"/>
    <xf numFmtId="20" fontId="0" fillId="0" borderId="0" xfId="0" applyNumberFormat="1"/>
    <xf numFmtId="164" fontId="0" fillId="0" borderId="0" xfId="0" applyNumberFormat="1"/>
    <xf numFmtId="20" fontId="5" fillId="0" borderId="0" xfId="0" applyNumberFormat="1" applyFont="1"/>
    <xf numFmtId="20" fontId="6" fillId="0" borderId="0" xfId="0" applyNumberFormat="1" applyFont="1"/>
    <xf numFmtId="20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0" fontId="4" fillId="0" borderId="0" xfId="0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165" fontId="0" fillId="0" borderId="0" xfId="0" applyNumberFormat="1"/>
    <xf numFmtId="0" fontId="9" fillId="0" borderId="0" xfId="1" applyFont="1"/>
    <xf numFmtId="0" fontId="11" fillId="0" borderId="0" xfId="1" applyFont="1"/>
    <xf numFmtId="166" fontId="10" fillId="0" borderId="0" xfId="1" applyNumberFormat="1"/>
    <xf numFmtId="167" fontId="10" fillId="0" borderId="0" xfId="1" applyNumberFormat="1"/>
    <xf numFmtId="0" fontId="10" fillId="0" borderId="0" xfId="1" applyAlignment="1">
      <alignment horizontal="center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10" fillId="0" borderId="0" xfId="1"/>
    <xf numFmtId="0" fontId="10" fillId="0" borderId="1" xfId="1" applyBorder="1"/>
    <xf numFmtId="166" fontId="10" fillId="0" borderId="1" xfId="1" applyNumberFormat="1" applyBorder="1"/>
    <xf numFmtId="166" fontId="10" fillId="0" borderId="0" xfId="1" applyNumberFormat="1" applyFill="1" applyBorder="1"/>
    <xf numFmtId="167" fontId="10" fillId="0" borderId="1" xfId="1" applyNumberFormat="1" applyBorder="1"/>
    <xf numFmtId="167" fontId="10" fillId="0" borderId="0" xfId="1" applyNumberFormat="1" applyFill="1" applyBorder="1"/>
    <xf numFmtId="0" fontId="9" fillId="0" borderId="1" xfId="1" applyFont="1" applyBorder="1" applyAlignment="1">
      <alignment horizontal="right"/>
    </xf>
    <xf numFmtId="0" fontId="14" fillId="0" borderId="0" xfId="1" applyFont="1" applyBorder="1"/>
    <xf numFmtId="166" fontId="10" fillId="0" borderId="0" xfId="1" applyNumberFormat="1" applyBorder="1"/>
    <xf numFmtId="0" fontId="14" fillId="0" borderId="0" xfId="1" applyFont="1" applyFill="1" applyBorder="1"/>
    <xf numFmtId="0" fontId="14" fillId="0" borderId="0" xfId="1" applyFont="1" applyFill="1" applyBorder="1" applyAlignment="1">
      <alignment horizontal="left"/>
    </xf>
    <xf numFmtId="0" fontId="10" fillId="0" borderId="0" xfId="1" applyBorder="1"/>
    <xf numFmtId="0" fontId="10" fillId="0" borderId="0" xfId="1" applyBorder="1" applyAlignment="1">
      <alignment horizontal="center"/>
    </xf>
    <xf numFmtId="0" fontId="10" fillId="0" borderId="0" xfId="1" applyFill="1" applyBorder="1"/>
    <xf numFmtId="0" fontId="14" fillId="0" borderId="0" xfId="1" applyFont="1" applyFill="1" applyAlignment="1">
      <alignment horizontal="left"/>
    </xf>
    <xf numFmtId="0" fontId="10" fillId="0" borderId="0" xfId="1" applyFont="1" applyAlignment="1">
      <alignment horizontal="right"/>
    </xf>
    <xf numFmtId="0" fontId="14" fillId="0" borderId="0" xfId="1" applyFont="1" applyFill="1" applyBorder="1" applyAlignment="1"/>
    <xf numFmtId="0" fontId="10" fillId="0" borderId="0" xfId="1" applyFill="1" applyBorder="1" applyAlignment="1">
      <alignment horizontal="center"/>
    </xf>
    <xf numFmtId="0" fontId="14" fillId="0" borderId="0" xfId="1" applyFont="1"/>
    <xf numFmtId="168" fontId="14" fillId="0" borderId="0" xfId="1" applyNumberFormat="1" applyFont="1" applyBorder="1"/>
    <xf numFmtId="0" fontId="10" fillId="0" borderId="0" xfId="1" applyFont="1"/>
    <xf numFmtId="0" fontId="10" fillId="0" borderId="2" xfId="1" applyBorder="1"/>
    <xf numFmtId="0" fontId="15" fillId="0" borderId="0" xfId="1" applyFont="1"/>
    <xf numFmtId="0" fontId="16" fillId="0" borderId="0" xfId="1" applyFont="1"/>
    <xf numFmtId="166" fontId="16" fillId="0" borderId="0" xfId="1" applyNumberFormat="1" applyFont="1"/>
    <xf numFmtId="167" fontId="16" fillId="0" borderId="0" xfId="1" applyNumberFormat="1" applyFont="1"/>
    <xf numFmtId="0" fontId="17" fillId="0" borderId="0" xfId="1" applyFont="1"/>
    <xf numFmtId="166" fontId="9" fillId="0" borderId="0" xfId="1" applyNumberFormat="1" applyFont="1"/>
    <xf numFmtId="166" fontId="10" fillId="0" borderId="1" xfId="1" applyNumberFormat="1" applyBorder="1" applyAlignment="1">
      <alignment horizontal="center"/>
    </xf>
    <xf numFmtId="0" fontId="10" fillId="0" borderId="0" xfId="1" applyFill="1" applyBorder="1" applyAlignment="1">
      <alignment vertical="justify"/>
    </xf>
    <xf numFmtId="168" fontId="10" fillId="0" borderId="0" xfId="1" applyNumberFormat="1"/>
    <xf numFmtId="0" fontId="9" fillId="0" borderId="0" xfId="1" applyFont="1" applyBorder="1"/>
    <xf numFmtId="0" fontId="10" fillId="0" borderId="0" xfId="1" applyBorder="1" applyAlignment="1">
      <alignment horizontal="right"/>
    </xf>
    <xf numFmtId="0" fontId="10" fillId="0" borderId="0" xfId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8" fillId="2" borderId="0" xfId="0" applyFont="1" applyFill="1"/>
    <xf numFmtId="0" fontId="0" fillId="0" borderId="0" xfId="0" applyFont="1"/>
    <xf numFmtId="16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3" fillId="0" borderId="0" xfId="0" applyNumberFormat="1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1" fontId="3" fillId="0" borderId="0" xfId="0" applyNumberFormat="1" applyFont="1"/>
  </cellXfs>
  <cellStyles count="9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Normal" xfId="0" builtinId="0"/>
    <cellStyle name="Normal 2" xfId="1" xr:uid="{00000000-0005-0000-0000-00005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179294</xdr:colOff>
      <xdr:row>4</xdr:row>
      <xdr:rowOff>13448</xdr:rowOff>
    </xdr:from>
    <xdr:to>
      <xdr:col>31</xdr:col>
      <xdr:colOff>26894</xdr:colOff>
      <xdr:row>28</xdr:row>
      <xdr:rowOff>122704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286694" y="775448"/>
          <a:ext cx="7962900" cy="37668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22</xdr:col>
      <xdr:colOff>319306</xdr:colOff>
      <xdr:row>30</xdr:row>
      <xdr:rowOff>40715</xdr:rowOff>
    </xdr:from>
    <xdr:to>
      <xdr:col>31</xdr:col>
      <xdr:colOff>97491</xdr:colOff>
      <xdr:row>54</xdr:row>
      <xdr:rowOff>47439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426706" y="4765115"/>
          <a:ext cx="7893485" cy="37405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fishbase.org/PopDyn/FishLWSummary.php?ID=4032%09&amp;id2=4364%09&amp;genusname=Hexagrammos%09&amp;speciesname=decagrammus%09&amp;fc=271&amp;variable_Length=10%09&amp;gm_a=0.01558%09&amp;gm_b=3" TargetMode="External"/><Relationship Id="rId1" Type="http://schemas.openxmlformats.org/officeDocument/2006/relationships/hyperlink" Target="http://www.fishbase.org/PopDyn/FishLWSummary.php?ID=4249%09&amp;id2=4417%09&amp;genusname=Platichthys%09&amp;speciesname=stellatus%09&amp;fc=440&amp;variable_Length=10%09&amp;gm_a=0.0088238859082543%09&amp;gm_b=3.11008436649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0"/>
  <sheetViews>
    <sheetView tabSelected="1" zoomScale="125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ColWidth="11" defaultRowHeight="12.75" x14ac:dyDescent="0.2"/>
  <cols>
    <col min="1" max="1" width="15.625" style="5" customWidth="1"/>
    <col min="2" max="2" width="11.375" style="17" customWidth="1"/>
    <col min="3" max="3" width="40.375" style="18" customWidth="1"/>
    <col min="4" max="4" width="19.75" style="18" customWidth="1"/>
    <col min="5" max="6" width="13.5" customWidth="1"/>
    <col min="7" max="7" width="7.125" customWidth="1"/>
    <col min="8" max="8" width="14.875" style="79" customWidth="1"/>
    <col min="11" max="11" width="22.875" customWidth="1"/>
    <col min="12" max="12" width="11" style="12"/>
    <col min="13" max="14" width="11" style="8"/>
    <col min="15" max="15" width="16.75" style="14" customWidth="1"/>
    <col min="16" max="16" width="13.5" customWidth="1"/>
    <col min="17" max="17" width="19.5" style="65" customWidth="1"/>
    <col min="18" max="18" width="15.5" customWidth="1"/>
  </cols>
  <sheetData>
    <row r="1" spans="1:21" s="1" customFormat="1" x14ac:dyDescent="0.2">
      <c r="A1" s="3" t="s">
        <v>66</v>
      </c>
      <c r="B1" s="89" t="s">
        <v>339</v>
      </c>
      <c r="C1" s="76" t="s">
        <v>337</v>
      </c>
      <c r="D1" s="3" t="s">
        <v>44</v>
      </c>
      <c r="E1" s="1" t="s">
        <v>43</v>
      </c>
      <c r="F1" s="16" t="s">
        <v>287</v>
      </c>
      <c r="G1" s="16" t="s">
        <v>338</v>
      </c>
      <c r="H1" s="78" t="s">
        <v>67</v>
      </c>
      <c r="I1" s="1" t="s">
        <v>68</v>
      </c>
      <c r="J1" s="16" t="s">
        <v>290</v>
      </c>
      <c r="K1" s="1" t="s">
        <v>254</v>
      </c>
      <c r="L1" s="10" t="s">
        <v>69</v>
      </c>
      <c r="M1" s="7" t="s">
        <v>242</v>
      </c>
      <c r="N1" s="7" t="s">
        <v>18</v>
      </c>
      <c r="O1" s="13" t="s">
        <v>119</v>
      </c>
      <c r="P1" s="1" t="s">
        <v>120</v>
      </c>
      <c r="Q1" s="63" t="s">
        <v>65</v>
      </c>
      <c r="R1" s="1" t="s">
        <v>121</v>
      </c>
      <c r="S1" s="1" t="s">
        <v>122</v>
      </c>
      <c r="T1" s="1" t="s">
        <v>123</v>
      </c>
    </row>
    <row r="2" spans="1:21" s="1" customFormat="1" x14ac:dyDescent="0.2">
      <c r="A2" s="18">
        <v>39646</v>
      </c>
      <c r="B2" s="17">
        <v>2012</v>
      </c>
      <c r="C2" s="18" t="str">
        <f>CONCATENATE(D2,"_",A2,"_",E2,"_",ROUND(L2,4))</f>
        <v>Elkhorn Slough_39646_Seal Bend_0.5729</v>
      </c>
      <c r="D2" s="4" t="s">
        <v>45</v>
      </c>
      <c r="E2" t="s">
        <v>157</v>
      </c>
      <c r="F2" s="70" t="s">
        <v>288</v>
      </c>
      <c r="G2" s="70">
        <v>0</v>
      </c>
      <c r="H2" s="79"/>
      <c r="I2" s="70" t="s">
        <v>289</v>
      </c>
      <c r="J2" s="70" t="s">
        <v>289</v>
      </c>
      <c r="K2"/>
      <c r="L2" s="12">
        <v>0.57291666666666663</v>
      </c>
      <c r="M2" s="12" t="s">
        <v>223</v>
      </c>
      <c r="N2" s="12">
        <f t="shared" ref="N2:N15" si="0">L2-M2</f>
        <v>1.041666666666663E-2</v>
      </c>
      <c r="O2" s="65">
        <v>47.75</v>
      </c>
      <c r="P2">
        <v>0</v>
      </c>
      <c r="Q2" s="65">
        <v>0</v>
      </c>
      <c r="R2" s="15">
        <f t="shared" ref="R2:R14" si="1">P2/O2</f>
        <v>0</v>
      </c>
      <c r="S2" t="s">
        <v>148</v>
      </c>
      <c r="T2"/>
      <c r="U2"/>
    </row>
    <row r="3" spans="1:21" s="1" customFormat="1" x14ac:dyDescent="0.2">
      <c r="A3" s="18">
        <v>39647</v>
      </c>
      <c r="B3" s="17">
        <v>2012</v>
      </c>
      <c r="C3" s="18" t="str">
        <f t="shared" ref="C3:C66" si="2">CONCATENATE(D3,"_",A3,"_",E3,"_",ROUND(L3,4))</f>
        <v>Elkhorn Slough_39647_Seal Bend_0.5625</v>
      </c>
      <c r="D3" s="4" t="s">
        <v>45</v>
      </c>
      <c r="E3" t="s">
        <v>157</v>
      </c>
      <c r="F3" s="70" t="s">
        <v>288</v>
      </c>
      <c r="G3" s="70">
        <v>0</v>
      </c>
      <c r="H3" s="77"/>
      <c r="I3" s="70" t="s">
        <v>289</v>
      </c>
      <c r="J3" s="70" t="s">
        <v>289</v>
      </c>
      <c r="K3"/>
      <c r="L3" s="12">
        <v>0.5625</v>
      </c>
      <c r="M3" s="12" t="s">
        <v>59</v>
      </c>
      <c r="N3" s="12">
        <f t="shared" si="0"/>
        <v>3.472222222222221E-2</v>
      </c>
      <c r="O3" s="65">
        <v>23.5</v>
      </c>
      <c r="P3">
        <v>0</v>
      </c>
      <c r="Q3" s="65">
        <v>0</v>
      </c>
      <c r="R3" s="15">
        <f t="shared" si="1"/>
        <v>0</v>
      </c>
      <c r="S3" t="s">
        <v>148</v>
      </c>
      <c r="T3"/>
      <c r="U3"/>
    </row>
    <row r="4" spans="1:21" s="1" customFormat="1" x14ac:dyDescent="0.2">
      <c r="A4" s="18">
        <v>39648</v>
      </c>
      <c r="B4" s="17">
        <v>2012</v>
      </c>
      <c r="C4" s="18" t="str">
        <f t="shared" si="2"/>
        <v>Elkhorn Slough_39648_Crop Circles_0.5208</v>
      </c>
      <c r="D4" s="75" t="s">
        <v>336</v>
      </c>
      <c r="E4" t="s">
        <v>277</v>
      </c>
      <c r="F4" s="70" t="s">
        <v>288</v>
      </c>
      <c r="G4" s="70">
        <v>0</v>
      </c>
      <c r="H4" s="77"/>
      <c r="I4" s="70" t="s">
        <v>289</v>
      </c>
      <c r="J4" s="70" t="s">
        <v>289</v>
      </c>
      <c r="K4"/>
      <c r="L4" s="12">
        <v>0.52083333333333337</v>
      </c>
      <c r="M4" s="12" t="s">
        <v>62</v>
      </c>
      <c r="N4" s="12">
        <f t="shared" si="0"/>
        <v>-0.13194444444444442</v>
      </c>
      <c r="O4" s="65">
        <v>27.25</v>
      </c>
      <c r="P4">
        <v>0</v>
      </c>
      <c r="Q4" s="65">
        <v>0</v>
      </c>
      <c r="R4" s="15">
        <f t="shared" si="1"/>
        <v>0</v>
      </c>
      <c r="S4" t="s">
        <v>148</v>
      </c>
      <c r="T4"/>
      <c r="U4"/>
    </row>
    <row r="5" spans="1:21" s="1" customFormat="1" x14ac:dyDescent="0.2">
      <c r="A5" s="18">
        <v>39649</v>
      </c>
      <c r="B5" s="17">
        <v>2012</v>
      </c>
      <c r="C5" s="18" t="str">
        <f t="shared" si="2"/>
        <v>Elkhorn Slough_39649_Crop Circles_0.6528</v>
      </c>
      <c r="D5" s="4" t="s">
        <v>45</v>
      </c>
      <c r="E5" t="s">
        <v>277</v>
      </c>
      <c r="F5" s="70" t="s">
        <v>288</v>
      </c>
      <c r="G5" s="70">
        <v>0</v>
      </c>
      <c r="H5" s="77"/>
      <c r="I5" s="70" t="s">
        <v>289</v>
      </c>
      <c r="J5" s="70" t="s">
        <v>289</v>
      </c>
      <c r="K5"/>
      <c r="L5" s="12">
        <v>0.65277777777777779</v>
      </c>
      <c r="M5" s="12" t="s">
        <v>64</v>
      </c>
      <c r="N5" s="12">
        <f t="shared" si="0"/>
        <v>-3.9583333333333304E-2</v>
      </c>
      <c r="O5" s="65">
        <v>25</v>
      </c>
      <c r="P5">
        <v>0</v>
      </c>
      <c r="Q5" s="65">
        <v>0</v>
      </c>
      <c r="R5" s="15">
        <f t="shared" si="1"/>
        <v>0</v>
      </c>
      <c r="S5" t="s">
        <v>148</v>
      </c>
      <c r="T5"/>
      <c r="U5"/>
    </row>
    <row r="6" spans="1:21" s="1" customFormat="1" x14ac:dyDescent="0.2">
      <c r="A6" s="18">
        <v>39649</v>
      </c>
      <c r="B6" s="17">
        <v>2012</v>
      </c>
      <c r="C6" s="18" t="str">
        <f t="shared" si="2"/>
        <v>Elkhorn Slough_39649_Seal Bend_0.6597</v>
      </c>
      <c r="D6" s="4" t="s">
        <v>45</v>
      </c>
      <c r="E6" t="s">
        <v>157</v>
      </c>
      <c r="F6" s="70" t="s">
        <v>288</v>
      </c>
      <c r="G6" s="70">
        <v>0</v>
      </c>
      <c r="H6" s="77"/>
      <c r="I6" s="70" t="s">
        <v>289</v>
      </c>
      <c r="J6" s="70" t="s">
        <v>289</v>
      </c>
      <c r="K6"/>
      <c r="L6" s="12">
        <v>0.65972222222222221</v>
      </c>
      <c r="M6" s="12" t="s">
        <v>125</v>
      </c>
      <c r="N6" s="12">
        <f t="shared" si="0"/>
        <v>-3.6111111111111094E-2</v>
      </c>
      <c r="O6" s="65">
        <v>25</v>
      </c>
      <c r="P6">
        <v>0</v>
      </c>
      <c r="Q6" s="65">
        <v>0</v>
      </c>
      <c r="R6" s="15">
        <f t="shared" si="1"/>
        <v>0</v>
      </c>
      <c r="S6" t="s">
        <v>148</v>
      </c>
      <c r="T6"/>
      <c r="U6"/>
    </row>
    <row r="7" spans="1:21" s="1" customFormat="1" x14ac:dyDescent="0.2">
      <c r="A7" s="18">
        <v>39650</v>
      </c>
      <c r="B7" s="17">
        <v>2012</v>
      </c>
      <c r="C7" s="18" t="str">
        <f t="shared" si="2"/>
        <v>Elkhorn Slough_39650_Seal Bend_0.6958</v>
      </c>
      <c r="D7" s="4" t="s">
        <v>45</v>
      </c>
      <c r="E7" t="s">
        <v>157</v>
      </c>
      <c r="F7" s="70" t="s">
        <v>288</v>
      </c>
      <c r="G7" s="70">
        <v>0</v>
      </c>
      <c r="H7" s="77"/>
      <c r="I7" s="70" t="s">
        <v>289</v>
      </c>
      <c r="J7" s="70" t="s">
        <v>289</v>
      </c>
      <c r="K7"/>
      <c r="L7" s="12">
        <v>0.6958333333333333</v>
      </c>
      <c r="M7" s="12" t="s">
        <v>128</v>
      </c>
      <c r="N7" s="12">
        <f t="shared" si="0"/>
        <v>1.1805555555555514E-2</v>
      </c>
      <c r="O7" s="65">
        <v>23.75</v>
      </c>
      <c r="P7">
        <v>0</v>
      </c>
      <c r="Q7" s="65">
        <v>0</v>
      </c>
      <c r="R7" s="15">
        <f t="shared" si="1"/>
        <v>0</v>
      </c>
      <c r="S7" t="s">
        <v>148</v>
      </c>
      <c r="T7" t="s">
        <v>284</v>
      </c>
      <c r="U7"/>
    </row>
    <row r="8" spans="1:21" s="1" customFormat="1" x14ac:dyDescent="0.2">
      <c r="A8" s="18">
        <v>39650</v>
      </c>
      <c r="B8" s="17">
        <v>2012</v>
      </c>
      <c r="C8" s="18" t="str">
        <f t="shared" si="2"/>
        <v>Elkhorn Slough_39650_Crop Circles_0.6924</v>
      </c>
      <c r="D8" s="4" t="s">
        <v>45</v>
      </c>
      <c r="E8" t="s">
        <v>277</v>
      </c>
      <c r="F8" s="70" t="s">
        <v>288</v>
      </c>
      <c r="G8" s="70">
        <v>0</v>
      </c>
      <c r="H8" s="77"/>
      <c r="I8" s="70" t="s">
        <v>289</v>
      </c>
      <c r="J8" s="70" t="s">
        <v>289</v>
      </c>
      <c r="K8"/>
      <c r="L8" s="12">
        <v>0.69236111111111109</v>
      </c>
      <c r="M8" s="12" t="s">
        <v>126</v>
      </c>
      <c r="N8" s="12">
        <f t="shared" si="0"/>
        <v>-1.2500000000000067E-2</v>
      </c>
      <c r="O8" s="65">
        <v>24.75</v>
      </c>
      <c r="P8">
        <v>0</v>
      </c>
      <c r="Q8" s="65">
        <v>0</v>
      </c>
      <c r="R8" s="15">
        <f t="shared" si="1"/>
        <v>0</v>
      </c>
      <c r="S8" t="s">
        <v>148</v>
      </c>
      <c r="T8" t="s">
        <v>162</v>
      </c>
      <c r="U8"/>
    </row>
    <row r="9" spans="1:21" s="1" customFormat="1" x14ac:dyDescent="0.2">
      <c r="A9" s="18">
        <v>39653</v>
      </c>
      <c r="B9" s="17">
        <v>2012</v>
      </c>
      <c r="C9" s="18" t="str">
        <f t="shared" si="2"/>
        <v>Elkhorn Slough_39653_Seal Bend_0.5104</v>
      </c>
      <c r="D9" s="4" t="s">
        <v>45</v>
      </c>
      <c r="E9" s="6" t="s">
        <v>157</v>
      </c>
      <c r="F9" s="70" t="s">
        <v>288</v>
      </c>
      <c r="G9" s="70">
        <v>0</v>
      </c>
      <c r="H9" s="77"/>
      <c r="I9" s="70" t="s">
        <v>289</v>
      </c>
      <c r="J9" s="70" t="s">
        <v>289</v>
      </c>
      <c r="K9" s="6"/>
      <c r="L9" s="12">
        <v>0.51041666666666663</v>
      </c>
      <c r="M9" s="12" t="s">
        <v>135</v>
      </c>
      <c r="N9" s="12">
        <f t="shared" si="0"/>
        <v>3.4722222222222099E-3</v>
      </c>
      <c r="O9" s="65">
        <v>24</v>
      </c>
      <c r="P9">
        <v>0</v>
      </c>
      <c r="Q9" s="65">
        <v>0</v>
      </c>
      <c r="R9" s="15">
        <f t="shared" si="1"/>
        <v>0</v>
      </c>
      <c r="S9" t="s">
        <v>148</v>
      </c>
      <c r="T9" s="6" t="s">
        <v>207</v>
      </c>
      <c r="U9"/>
    </row>
    <row r="10" spans="1:21" s="1" customFormat="1" x14ac:dyDescent="0.2">
      <c r="A10" s="18">
        <v>39655</v>
      </c>
      <c r="B10" s="17">
        <v>2012</v>
      </c>
      <c r="C10" s="18" t="str">
        <f t="shared" si="2"/>
        <v>Elkhorn Slough_39655_Crop Circles_0.6507</v>
      </c>
      <c r="D10" s="4" t="s">
        <v>45</v>
      </c>
      <c r="E10" s="6" t="s">
        <v>277</v>
      </c>
      <c r="F10" s="70" t="s">
        <v>288</v>
      </c>
      <c r="G10" s="70">
        <v>0</v>
      </c>
      <c r="H10" s="77"/>
      <c r="I10" s="70" t="s">
        <v>289</v>
      </c>
      <c r="J10" s="70" t="s">
        <v>289</v>
      </c>
      <c r="K10" s="6"/>
      <c r="L10" s="12">
        <v>0.65069444444444446</v>
      </c>
      <c r="M10" s="12" t="s">
        <v>30</v>
      </c>
      <c r="N10" s="12">
        <f t="shared" si="0"/>
        <v>0.14722222222222225</v>
      </c>
      <c r="O10" s="65">
        <v>20.5</v>
      </c>
      <c r="P10">
        <v>1</v>
      </c>
      <c r="Q10" s="65">
        <v>0</v>
      </c>
      <c r="R10" s="15">
        <f t="shared" si="1"/>
        <v>4.878048780487805E-2</v>
      </c>
      <c r="S10" t="s">
        <v>148</v>
      </c>
      <c r="T10" s="6" t="s">
        <v>210</v>
      </c>
      <c r="U10"/>
    </row>
    <row r="11" spans="1:21" s="1" customFormat="1" x14ac:dyDescent="0.2">
      <c r="A11" s="18">
        <v>39658</v>
      </c>
      <c r="B11" s="17">
        <v>2012</v>
      </c>
      <c r="C11" s="18" t="str">
        <f t="shared" si="2"/>
        <v>Elkhorn Slough_39658_Seal Bend_0.375</v>
      </c>
      <c r="D11" s="4" t="s">
        <v>45</v>
      </c>
      <c r="E11" s="6" t="s">
        <v>157</v>
      </c>
      <c r="F11" s="70" t="s">
        <v>288</v>
      </c>
      <c r="G11" s="70">
        <v>0</v>
      </c>
      <c r="H11" s="77"/>
      <c r="I11" s="70" t="s">
        <v>289</v>
      </c>
      <c r="J11" s="70" t="s">
        <v>289</v>
      </c>
      <c r="K11" s="6"/>
      <c r="L11" s="12">
        <v>0.375</v>
      </c>
      <c r="M11" s="12" t="s">
        <v>36</v>
      </c>
      <c r="N11" s="12">
        <f t="shared" si="0"/>
        <v>-0.29513888888888884</v>
      </c>
      <c r="O11" s="65">
        <v>31</v>
      </c>
      <c r="P11">
        <v>0</v>
      </c>
      <c r="Q11" s="65">
        <v>0</v>
      </c>
      <c r="R11" s="15">
        <f t="shared" si="1"/>
        <v>0</v>
      </c>
      <c r="S11" t="s">
        <v>148</v>
      </c>
      <c r="T11" s="6" t="s">
        <v>213</v>
      </c>
      <c r="U11"/>
    </row>
    <row r="12" spans="1:21" s="1" customFormat="1" x14ac:dyDescent="0.2">
      <c r="A12" s="18">
        <v>39658</v>
      </c>
      <c r="B12" s="17">
        <v>2012</v>
      </c>
      <c r="C12" s="18" t="str">
        <f t="shared" si="2"/>
        <v>Elkhorn Slough_39658_Crop Circles_0.4444</v>
      </c>
      <c r="D12" s="4" t="s">
        <v>45</v>
      </c>
      <c r="E12" s="6" t="s">
        <v>277</v>
      </c>
      <c r="F12" s="70" t="s">
        <v>288</v>
      </c>
      <c r="G12" s="70">
        <v>0</v>
      </c>
      <c r="H12" s="77"/>
      <c r="I12" s="70" t="s">
        <v>289</v>
      </c>
      <c r="J12" s="70" t="s">
        <v>289</v>
      </c>
      <c r="K12" s="6"/>
      <c r="L12" s="12">
        <v>0.44444444444444442</v>
      </c>
      <c r="M12" s="12" t="s">
        <v>37</v>
      </c>
      <c r="N12" s="12">
        <f t="shared" si="0"/>
        <v>-0.24305555555555558</v>
      </c>
      <c r="O12" s="65">
        <v>29.75</v>
      </c>
      <c r="P12">
        <v>0</v>
      </c>
      <c r="Q12" s="65">
        <v>0</v>
      </c>
      <c r="R12" s="15">
        <f t="shared" si="1"/>
        <v>0</v>
      </c>
      <c r="S12" t="s">
        <v>148</v>
      </c>
      <c r="T12" s="6" t="s">
        <v>232</v>
      </c>
      <c r="U12"/>
    </row>
    <row r="13" spans="1:21" s="1" customFormat="1" x14ac:dyDescent="0.2">
      <c r="A13" s="18">
        <v>39661</v>
      </c>
      <c r="B13" s="17">
        <v>2012</v>
      </c>
      <c r="C13" s="18" t="str">
        <f t="shared" si="2"/>
        <v>Elkhorn Slough_39661_Seal Bend_0.4097</v>
      </c>
      <c r="D13" s="4" t="s">
        <v>45</v>
      </c>
      <c r="E13" s="6" t="s">
        <v>157</v>
      </c>
      <c r="F13" s="70" t="s">
        <v>288</v>
      </c>
      <c r="G13" s="70">
        <v>0</v>
      </c>
      <c r="H13" s="77"/>
      <c r="I13" s="70" t="s">
        <v>289</v>
      </c>
      <c r="J13" s="70" t="s">
        <v>289</v>
      </c>
      <c r="K13" s="6"/>
      <c r="L13" s="12">
        <v>0.40972222222222227</v>
      </c>
      <c r="M13" s="12" t="s">
        <v>131</v>
      </c>
      <c r="N13" s="12">
        <f t="shared" si="0"/>
        <v>-4.8611111111111049E-2</v>
      </c>
      <c r="O13" s="65">
        <v>49.25</v>
      </c>
      <c r="P13">
        <v>0</v>
      </c>
      <c r="Q13" s="65">
        <v>0</v>
      </c>
      <c r="R13" s="15">
        <f t="shared" si="1"/>
        <v>0</v>
      </c>
      <c r="S13" t="s">
        <v>148</v>
      </c>
      <c r="T13" s="6" t="s">
        <v>239</v>
      </c>
      <c r="U13"/>
    </row>
    <row r="14" spans="1:21" s="1" customFormat="1" x14ac:dyDescent="0.2">
      <c r="A14" s="18">
        <v>39661</v>
      </c>
      <c r="B14" s="17">
        <v>2012</v>
      </c>
      <c r="C14" s="18" t="str">
        <f t="shared" si="2"/>
        <v>Elkhorn Slough_39661_Seal Bend_0.4583</v>
      </c>
      <c r="D14" s="4" t="s">
        <v>45</v>
      </c>
      <c r="E14" s="6" t="s">
        <v>157</v>
      </c>
      <c r="F14" s="70" t="s">
        <v>288</v>
      </c>
      <c r="G14" s="70">
        <v>0</v>
      </c>
      <c r="H14" s="77"/>
      <c r="I14" s="70" t="s">
        <v>289</v>
      </c>
      <c r="J14" s="70" t="s">
        <v>289</v>
      </c>
      <c r="K14" s="6"/>
      <c r="L14" s="12">
        <v>0.45833333333333331</v>
      </c>
      <c r="M14" s="12" t="s">
        <v>171</v>
      </c>
      <c r="N14" s="12">
        <f t="shared" si="0"/>
        <v>-0.23611111111111122</v>
      </c>
      <c r="O14" s="65">
        <v>5.75</v>
      </c>
      <c r="P14">
        <v>0</v>
      </c>
      <c r="Q14" s="65">
        <v>0</v>
      </c>
      <c r="R14" s="15">
        <f t="shared" si="1"/>
        <v>0</v>
      </c>
      <c r="S14" t="s">
        <v>148</v>
      </c>
      <c r="T14" s="6" t="s">
        <v>238</v>
      </c>
      <c r="U14"/>
    </row>
    <row r="15" spans="1:21" s="1" customFormat="1" x14ac:dyDescent="0.2">
      <c r="A15" s="18">
        <v>39665</v>
      </c>
      <c r="B15" s="17">
        <v>2012</v>
      </c>
      <c r="C15" s="18" t="str">
        <f t="shared" si="2"/>
        <v>Elkhorn Slough_39665_Seal Bend_0.4167</v>
      </c>
      <c r="D15" s="4" t="s">
        <v>45</v>
      </c>
      <c r="E15" s="19" t="s">
        <v>157</v>
      </c>
      <c r="F15" s="70" t="s">
        <v>288</v>
      </c>
      <c r="G15" s="70">
        <v>0</v>
      </c>
      <c r="H15" s="77"/>
      <c r="I15" s="70" t="s">
        <v>289</v>
      </c>
      <c r="J15" s="70" t="s">
        <v>289</v>
      </c>
      <c r="K15" s="19"/>
      <c r="L15" s="12">
        <v>0.41666666666666669</v>
      </c>
      <c r="M15" s="12">
        <v>0.73263888888888884</v>
      </c>
      <c r="N15" s="12">
        <f t="shared" si="0"/>
        <v>-0.31597222222222215</v>
      </c>
      <c r="O15" s="65">
        <v>79.5</v>
      </c>
      <c r="P15" s="17">
        <v>0</v>
      </c>
      <c r="Q15" s="65">
        <v>0</v>
      </c>
      <c r="R15" s="21">
        <v>0</v>
      </c>
      <c r="S15" t="s">
        <v>148</v>
      </c>
      <c r="T15"/>
      <c r="U15"/>
    </row>
    <row r="16" spans="1:21" s="1" customFormat="1" x14ac:dyDescent="0.2">
      <c r="A16" s="18">
        <v>41213</v>
      </c>
      <c r="B16" s="17">
        <v>2016</v>
      </c>
      <c r="C16" s="18" t="str">
        <f t="shared" si="2"/>
        <v>Drakes_41213_ZM_up1_0.5417</v>
      </c>
      <c r="D16" s="18" t="s">
        <v>285</v>
      </c>
      <c r="E16" s="70" t="s">
        <v>286</v>
      </c>
      <c r="F16" s="70" t="s">
        <v>288</v>
      </c>
      <c r="G16" s="70">
        <v>1</v>
      </c>
      <c r="H16" s="77" t="s">
        <v>280</v>
      </c>
      <c r="I16" s="70">
        <v>92</v>
      </c>
      <c r="J16" s="70" t="s">
        <v>289</v>
      </c>
      <c r="K16" s="2">
        <f>(VLOOKUP(H16,'functions and szcl estimates'!$A$14:$I$23,4, FALSE))*(('raw data'!I628)^(VLOOKUP('raw data'!H628,'functions and szcl estimates'!$A$14:$I$23, 7, FALSE)))</f>
        <v>485.37316406488418</v>
      </c>
      <c r="L16" s="12">
        <v>0.54166666666666663</v>
      </c>
      <c r="M16" s="12">
        <v>0.50138888888888888</v>
      </c>
      <c r="N16" s="12">
        <f t="shared" ref="N16:N47" si="3">L16-M16</f>
        <v>4.0277777777777746E-2</v>
      </c>
      <c r="O16" s="65">
        <v>23</v>
      </c>
      <c r="P16">
        <f>COUNT(O16:O26)</f>
        <v>11</v>
      </c>
      <c r="Q16" s="65">
        <f>SUM(K16:K26)</f>
        <v>6791.1113985697139</v>
      </c>
      <c r="R16" s="15">
        <f>P16/O16</f>
        <v>0.47826086956521741</v>
      </c>
      <c r="S16" t="s">
        <v>148</v>
      </c>
      <c r="T16"/>
      <c r="U16"/>
    </row>
    <row r="17" spans="1:19" x14ac:dyDescent="0.2">
      <c r="A17" s="5">
        <v>41213</v>
      </c>
      <c r="B17" s="17">
        <v>2016</v>
      </c>
      <c r="C17" s="18" t="str">
        <f t="shared" si="2"/>
        <v>Drakes_41213_ZM_up1_0.5417</v>
      </c>
      <c r="D17" s="18" t="s">
        <v>285</v>
      </c>
      <c r="E17" s="70" t="s">
        <v>286</v>
      </c>
      <c r="F17" s="70" t="s">
        <v>288</v>
      </c>
      <c r="G17" s="70">
        <v>1</v>
      </c>
      <c r="H17" s="77" t="s">
        <v>280</v>
      </c>
      <c r="I17" s="70">
        <v>71</v>
      </c>
      <c r="J17" s="70" t="s">
        <v>291</v>
      </c>
      <c r="K17" s="2">
        <f>(VLOOKUP(H17,'functions and szcl estimates'!$A$14:$I$23,4, FALSE))*(('raw data'!I629)^(VLOOKUP('raw data'!H629,'functions and szcl estimates'!$A$14:$I$23, 7, FALSE)))</f>
        <v>499.72648760366565</v>
      </c>
      <c r="L17" s="12">
        <v>0.54166666666666663</v>
      </c>
      <c r="M17" s="8">
        <v>0.50138888888888888</v>
      </c>
      <c r="N17" s="8">
        <f t="shared" si="3"/>
        <v>4.0277777777777746E-2</v>
      </c>
      <c r="O17" s="14">
        <v>23</v>
      </c>
      <c r="S17" t="s">
        <v>148</v>
      </c>
    </row>
    <row r="18" spans="1:19" x14ac:dyDescent="0.2">
      <c r="A18" s="5">
        <v>41213</v>
      </c>
      <c r="B18" s="17">
        <v>2016</v>
      </c>
      <c r="C18" s="18" t="str">
        <f t="shared" si="2"/>
        <v>Drakes_41213_ZM_up1_0.5417</v>
      </c>
      <c r="D18" s="18" t="s">
        <v>285</v>
      </c>
      <c r="E18" s="70" t="s">
        <v>286</v>
      </c>
      <c r="F18" s="70" t="s">
        <v>288</v>
      </c>
      <c r="G18" s="70">
        <v>1</v>
      </c>
      <c r="H18" s="77" t="s">
        <v>280</v>
      </c>
      <c r="I18" s="70">
        <v>70</v>
      </c>
      <c r="J18" s="70" t="s">
        <v>292</v>
      </c>
      <c r="K18" s="2">
        <f>(VLOOKUP(H18,'functions and szcl estimates'!$A$14:$I$23,4, FALSE))*(('raw data'!I630)^(VLOOKUP('raw data'!H630,'functions and szcl estimates'!$A$14:$I$23, 7, FALSE)))</f>
        <v>640.27669801258082</v>
      </c>
      <c r="L18" s="12">
        <v>0.54166666666666696</v>
      </c>
      <c r="M18" s="8">
        <v>0.50138888888888899</v>
      </c>
      <c r="N18" s="8">
        <f t="shared" si="3"/>
        <v>4.0277777777777968E-2</v>
      </c>
      <c r="O18" s="14">
        <v>23</v>
      </c>
      <c r="S18" t="s">
        <v>148</v>
      </c>
    </row>
    <row r="19" spans="1:19" x14ac:dyDescent="0.2">
      <c r="A19" s="5">
        <v>41213</v>
      </c>
      <c r="B19" s="17">
        <v>2016</v>
      </c>
      <c r="C19" s="18" t="str">
        <f t="shared" si="2"/>
        <v>Drakes_41213_ZM_up1_0.5417</v>
      </c>
      <c r="D19" s="18" t="s">
        <v>285</v>
      </c>
      <c r="E19" s="70" t="s">
        <v>286</v>
      </c>
      <c r="F19" s="70" t="s">
        <v>288</v>
      </c>
      <c r="G19" s="70">
        <v>1</v>
      </c>
      <c r="H19" s="77" t="s">
        <v>280</v>
      </c>
      <c r="I19" s="70">
        <v>90</v>
      </c>
      <c r="J19" s="70" t="s">
        <v>289</v>
      </c>
      <c r="K19" s="2">
        <f>(VLOOKUP(H19,'functions and szcl estimates'!$A$14:$I$23,4, FALSE))*(('raw data'!I631)^(VLOOKUP('raw data'!H631,'functions and szcl estimates'!$A$14:$I$23, 7, FALSE)))</f>
        <v>657.18093368869233</v>
      </c>
      <c r="L19" s="12">
        <v>0.54166666666666696</v>
      </c>
      <c r="M19" s="8">
        <v>0.50138888888888899</v>
      </c>
      <c r="N19" s="8">
        <f t="shared" si="3"/>
        <v>4.0277777777777968E-2</v>
      </c>
      <c r="O19" s="14">
        <v>23</v>
      </c>
      <c r="S19" t="s">
        <v>148</v>
      </c>
    </row>
    <row r="20" spans="1:19" x14ac:dyDescent="0.2">
      <c r="A20" s="5">
        <v>41213</v>
      </c>
      <c r="B20" s="17">
        <v>2016</v>
      </c>
      <c r="C20" s="18" t="str">
        <f t="shared" si="2"/>
        <v>Drakes_41213_ZM_up1_0.5417</v>
      </c>
      <c r="D20" s="18" t="s">
        <v>285</v>
      </c>
      <c r="E20" s="70" t="s">
        <v>286</v>
      </c>
      <c r="F20" s="70" t="s">
        <v>288</v>
      </c>
      <c r="G20" s="70">
        <v>1</v>
      </c>
      <c r="H20" s="77" t="s">
        <v>280</v>
      </c>
      <c r="I20" s="70">
        <v>100</v>
      </c>
      <c r="J20" s="70" t="s">
        <v>292</v>
      </c>
      <c r="K20" s="2">
        <f>(VLOOKUP(H20,'functions and szcl estimates'!$A$14:$I$23,4, FALSE))*(('raw data'!I632)^(VLOOKUP('raw data'!H632,'functions and szcl estimates'!$A$14:$I$23, 7, FALSE)))</f>
        <v>727.43317112368709</v>
      </c>
      <c r="L20" s="12">
        <v>0.54166666666666696</v>
      </c>
      <c r="M20" s="8">
        <v>0.50138888888888899</v>
      </c>
      <c r="N20" s="8">
        <f t="shared" si="3"/>
        <v>4.0277777777777968E-2</v>
      </c>
      <c r="O20" s="14">
        <v>23</v>
      </c>
      <c r="S20" t="s">
        <v>148</v>
      </c>
    </row>
    <row r="21" spans="1:19" x14ac:dyDescent="0.2">
      <c r="A21" s="5">
        <v>41213</v>
      </c>
      <c r="B21" s="17">
        <v>2016</v>
      </c>
      <c r="C21" s="18" t="str">
        <f t="shared" si="2"/>
        <v>Drakes_41213_ZM_up1_0.5417</v>
      </c>
      <c r="D21" s="18" t="s">
        <v>285</v>
      </c>
      <c r="E21" s="70" t="s">
        <v>286</v>
      </c>
      <c r="F21" s="70" t="s">
        <v>288</v>
      </c>
      <c r="G21" s="70">
        <v>1</v>
      </c>
      <c r="H21" s="77" t="s">
        <v>280</v>
      </c>
      <c r="I21" s="70">
        <v>80</v>
      </c>
      <c r="J21" s="70" t="s">
        <v>292</v>
      </c>
      <c r="K21" s="2">
        <f>(VLOOKUP(H21,'functions and szcl estimates'!$A$14:$I$23,4, FALSE))*(('raw data'!I633)^(VLOOKUP('raw data'!H633,'functions and szcl estimates'!$A$14:$I$23, 7, FALSE)))</f>
        <v>801.96224629032679</v>
      </c>
      <c r="L21" s="12">
        <v>0.54166666666666696</v>
      </c>
      <c r="M21" s="8">
        <v>0.50138888888888899</v>
      </c>
      <c r="N21" s="8">
        <f t="shared" si="3"/>
        <v>4.0277777777777968E-2</v>
      </c>
      <c r="O21" s="14">
        <v>23</v>
      </c>
      <c r="S21" t="s">
        <v>148</v>
      </c>
    </row>
    <row r="22" spans="1:19" x14ac:dyDescent="0.2">
      <c r="A22" s="5">
        <v>41213</v>
      </c>
      <c r="B22" s="17">
        <v>2016</v>
      </c>
      <c r="C22" s="18" t="str">
        <f t="shared" si="2"/>
        <v>Drakes_41213_ZM_up1_0.5417</v>
      </c>
      <c r="D22" s="18" t="s">
        <v>285</v>
      </c>
      <c r="E22" s="70" t="s">
        <v>286</v>
      </c>
      <c r="F22" s="70" t="s">
        <v>288</v>
      </c>
      <c r="G22" s="70">
        <v>1</v>
      </c>
      <c r="H22" s="77" t="s">
        <v>280</v>
      </c>
      <c r="I22" s="70">
        <v>71</v>
      </c>
      <c r="J22" s="70" t="s">
        <v>292</v>
      </c>
      <c r="K22" s="2">
        <f>(VLOOKUP(H22,'functions and szcl estimates'!$A$14:$I$23,4, FALSE))*(('raw data'!I634)^(VLOOKUP('raw data'!H634,'functions and szcl estimates'!$A$14:$I$23, 7, FALSE)))</f>
        <v>1007.5111266231708</v>
      </c>
      <c r="L22" s="12">
        <v>0.54166666666666696</v>
      </c>
      <c r="M22" s="8">
        <v>0.50138888888888899</v>
      </c>
      <c r="N22" s="8">
        <f t="shared" si="3"/>
        <v>4.0277777777777968E-2</v>
      </c>
      <c r="O22" s="14">
        <v>23</v>
      </c>
      <c r="S22" t="s">
        <v>148</v>
      </c>
    </row>
    <row r="23" spans="1:19" x14ac:dyDescent="0.2">
      <c r="A23" s="5">
        <v>41213</v>
      </c>
      <c r="B23" s="17">
        <v>2016</v>
      </c>
      <c r="C23" s="18" t="str">
        <f t="shared" si="2"/>
        <v>Drakes_41213_ZM_up1_0.5417</v>
      </c>
      <c r="D23" s="18" t="s">
        <v>285</v>
      </c>
      <c r="E23" s="70" t="s">
        <v>286</v>
      </c>
      <c r="F23" s="70" t="s">
        <v>288</v>
      </c>
      <c r="G23" s="70">
        <v>1</v>
      </c>
      <c r="H23" s="77" t="s">
        <v>280</v>
      </c>
      <c r="I23" s="70">
        <v>71</v>
      </c>
      <c r="J23" s="70" t="s">
        <v>292</v>
      </c>
      <c r="K23" s="2">
        <f>(VLOOKUP(H23,'functions and szcl estimates'!$A$14:$I$23,4, FALSE))*(('raw data'!I635)^(VLOOKUP('raw data'!H635,'functions and szcl estimates'!$A$14:$I$23, 7, FALSE)))</f>
        <v>1168.2324131968965</v>
      </c>
      <c r="L23" s="12">
        <v>0.54166666666666696</v>
      </c>
      <c r="M23" s="8">
        <v>0.50138888888888899</v>
      </c>
      <c r="N23" s="8">
        <f t="shared" si="3"/>
        <v>4.0277777777777968E-2</v>
      </c>
      <c r="O23" s="14">
        <v>23</v>
      </c>
      <c r="S23" t="s">
        <v>148</v>
      </c>
    </row>
    <row r="24" spans="1:19" x14ac:dyDescent="0.2">
      <c r="A24" s="5">
        <v>41213</v>
      </c>
      <c r="B24" s="17">
        <v>2016</v>
      </c>
      <c r="C24" s="18" t="str">
        <f t="shared" si="2"/>
        <v>Drakes_41213_ZM_up1_0.5417</v>
      </c>
      <c r="D24" s="18" t="s">
        <v>285</v>
      </c>
      <c r="E24" s="70" t="s">
        <v>286</v>
      </c>
      <c r="F24" s="70" t="s">
        <v>288</v>
      </c>
      <c r="G24" s="70">
        <v>1</v>
      </c>
      <c r="H24" s="77" t="s">
        <v>280</v>
      </c>
      <c r="I24" s="70">
        <v>74</v>
      </c>
      <c r="J24" s="70" t="s">
        <v>292</v>
      </c>
      <c r="K24" s="2">
        <f>(VLOOKUP(H24,'functions and szcl estimates'!$A$14:$I$23,4, FALSE))*(('raw data'!I636)^(VLOOKUP('raw data'!H636,'functions and szcl estimates'!$A$14:$I$23, 7, FALSE)))</f>
        <v>171.06940248758849</v>
      </c>
      <c r="L24" s="12">
        <v>0.54166666666666696</v>
      </c>
      <c r="M24" s="8">
        <v>0.50138888888888899</v>
      </c>
      <c r="N24" s="8">
        <f t="shared" si="3"/>
        <v>4.0277777777777968E-2</v>
      </c>
      <c r="O24" s="14">
        <v>23</v>
      </c>
      <c r="S24" t="s">
        <v>148</v>
      </c>
    </row>
    <row r="25" spans="1:19" x14ac:dyDescent="0.2">
      <c r="A25" s="5">
        <v>41213</v>
      </c>
      <c r="B25" s="17">
        <v>2016</v>
      </c>
      <c r="C25" s="18" t="str">
        <f t="shared" si="2"/>
        <v>Drakes_41213_ZM_up2_0.5417</v>
      </c>
      <c r="D25" s="18" t="s">
        <v>285</v>
      </c>
      <c r="E25" s="70" t="s">
        <v>293</v>
      </c>
      <c r="F25" s="70" t="s">
        <v>288</v>
      </c>
      <c r="G25" s="70">
        <v>1</v>
      </c>
      <c r="H25" s="77" t="s">
        <v>280</v>
      </c>
      <c r="I25" s="70">
        <v>75</v>
      </c>
      <c r="J25" s="70" t="s">
        <v>292</v>
      </c>
      <c r="K25" s="2">
        <f>(VLOOKUP(H25,'functions and szcl estimates'!$A$14:$I$23,4, FALSE))*(('raw data'!I641)^(VLOOKUP('raw data'!H641,'functions and szcl estimates'!$A$14:$I$23, 7, FALSE)))</f>
        <v>544.28650441850334</v>
      </c>
      <c r="L25" s="12">
        <v>0.54166666666666696</v>
      </c>
      <c r="M25" s="8">
        <v>0.50138888888888899</v>
      </c>
      <c r="N25" s="8">
        <f t="shared" si="3"/>
        <v>4.0277777777777968E-2</v>
      </c>
      <c r="O25" s="14">
        <v>23</v>
      </c>
      <c r="S25" t="s">
        <v>148</v>
      </c>
    </row>
    <row r="26" spans="1:19" x14ac:dyDescent="0.2">
      <c r="A26" s="5">
        <v>41213</v>
      </c>
      <c r="B26" s="17">
        <v>2016</v>
      </c>
      <c r="C26" s="18" t="str">
        <f t="shared" si="2"/>
        <v>Drakes_41213_ZM_up2_0.5417</v>
      </c>
      <c r="D26" s="18" t="s">
        <v>285</v>
      </c>
      <c r="E26" s="70" t="s">
        <v>293</v>
      </c>
      <c r="F26" s="70" t="s">
        <v>288</v>
      </c>
      <c r="G26" s="70">
        <v>1</v>
      </c>
      <c r="H26" s="77" t="s">
        <v>280</v>
      </c>
      <c r="I26" s="70">
        <v>84</v>
      </c>
      <c r="J26" s="70" t="s">
        <v>291</v>
      </c>
      <c r="K26" s="2">
        <f>(VLOOKUP(H26,'functions and szcl estimates'!$A$14:$I$23,4, FALSE))*(('raw data'!I642)^(VLOOKUP('raw data'!H642,'functions and szcl estimates'!$A$14:$I$23, 7, FALSE)))</f>
        <v>88.059251059718179</v>
      </c>
      <c r="L26" s="12">
        <v>0.54166666666666696</v>
      </c>
      <c r="M26" s="8">
        <v>0.50138888888888899</v>
      </c>
      <c r="N26" s="8">
        <f t="shared" si="3"/>
        <v>4.0277777777777968E-2</v>
      </c>
      <c r="O26" s="14">
        <v>23</v>
      </c>
      <c r="S26" t="s">
        <v>148</v>
      </c>
    </row>
    <row r="27" spans="1:19" x14ac:dyDescent="0.2">
      <c r="A27" s="5">
        <v>41213</v>
      </c>
      <c r="B27" s="17">
        <v>2016</v>
      </c>
      <c r="C27" s="18" t="str">
        <f t="shared" si="2"/>
        <v>Drakes_41213_ZM_up2_0.5417</v>
      </c>
      <c r="D27" s="18" t="s">
        <v>285</v>
      </c>
      <c r="E27" s="70" t="s">
        <v>293</v>
      </c>
      <c r="F27" s="70" t="s">
        <v>288</v>
      </c>
      <c r="G27" s="70">
        <v>1</v>
      </c>
      <c r="H27" s="77" t="s">
        <v>280</v>
      </c>
      <c r="I27" s="70">
        <v>75</v>
      </c>
      <c r="J27" s="70" t="s">
        <v>292</v>
      </c>
      <c r="K27" s="2">
        <f>(VLOOKUP(H27,'functions and szcl estimates'!$A$14:$I$23,4, FALSE))*(('raw data'!I643)^(VLOOKUP('raw data'!H643,'functions and szcl estimates'!$A$14:$I$23, 7, FALSE)))</f>
        <v>98.747655390766809</v>
      </c>
      <c r="L27" s="12">
        <v>0.54166666666666696</v>
      </c>
      <c r="M27" s="8">
        <v>0.50138888888888899</v>
      </c>
      <c r="N27" s="8">
        <f t="shared" si="3"/>
        <v>4.0277777777777968E-2</v>
      </c>
      <c r="O27" s="14">
        <v>23</v>
      </c>
      <c r="S27" t="s">
        <v>148</v>
      </c>
    </row>
    <row r="28" spans="1:19" x14ac:dyDescent="0.2">
      <c r="A28" s="5">
        <v>41213</v>
      </c>
      <c r="B28" s="17">
        <v>2016</v>
      </c>
      <c r="C28" s="18" t="str">
        <f t="shared" si="2"/>
        <v>Drakes_41213_ZM_up2_0.5417</v>
      </c>
      <c r="D28" s="18" t="s">
        <v>285</v>
      </c>
      <c r="E28" s="70" t="s">
        <v>293</v>
      </c>
      <c r="F28" s="70" t="s">
        <v>288</v>
      </c>
      <c r="G28" s="70">
        <v>1</v>
      </c>
      <c r="H28" s="77" t="s">
        <v>280</v>
      </c>
      <c r="I28" s="70">
        <v>95</v>
      </c>
      <c r="J28" s="70" t="s">
        <v>292</v>
      </c>
      <c r="K28" s="2">
        <f>(VLOOKUP(H28,'functions and szcl estimates'!$A$14:$I$23,4, FALSE))*(('raw data'!I644)^(VLOOKUP('raw data'!H644,'functions and szcl estimates'!$A$14:$I$23, 7, FALSE)))</f>
        <v>98.747655390766809</v>
      </c>
      <c r="L28" s="12">
        <v>0.54166666666666696</v>
      </c>
      <c r="M28" s="8">
        <v>0.50138888888888899</v>
      </c>
      <c r="N28" s="8">
        <f t="shared" si="3"/>
        <v>4.0277777777777968E-2</v>
      </c>
      <c r="O28" s="14">
        <v>23</v>
      </c>
      <c r="S28" t="s">
        <v>148</v>
      </c>
    </row>
    <row r="29" spans="1:19" x14ac:dyDescent="0.2">
      <c r="A29" s="5">
        <v>41213</v>
      </c>
      <c r="B29" s="17">
        <v>2016</v>
      </c>
      <c r="C29" s="18" t="str">
        <f t="shared" si="2"/>
        <v>Drakes_41213_ZM_up2_0.5417</v>
      </c>
      <c r="D29" s="18" t="s">
        <v>285</v>
      </c>
      <c r="E29" s="70" t="s">
        <v>293</v>
      </c>
      <c r="F29" s="70" t="s">
        <v>288</v>
      </c>
      <c r="G29" s="70">
        <v>1</v>
      </c>
      <c r="H29" s="77" t="s">
        <v>280</v>
      </c>
      <c r="I29" s="70">
        <v>68</v>
      </c>
      <c r="J29" s="70" t="s">
        <v>291</v>
      </c>
      <c r="K29" s="2">
        <f>(VLOOKUP(H29,'functions and szcl estimates'!$A$14:$I$23,4, FALSE))*(('raw data'!I645)^(VLOOKUP('raw data'!H645,'functions and szcl estimates'!$A$14:$I$23, 7, FALSE)))</f>
        <v>104.36643749570572</v>
      </c>
      <c r="L29" s="12">
        <v>0.54166666666666696</v>
      </c>
      <c r="M29" s="8">
        <v>0.50138888888888899</v>
      </c>
      <c r="N29" s="8">
        <f t="shared" si="3"/>
        <v>4.0277777777777968E-2</v>
      </c>
      <c r="O29" s="14">
        <v>23</v>
      </c>
      <c r="S29" t="s">
        <v>148</v>
      </c>
    </row>
    <row r="30" spans="1:19" x14ac:dyDescent="0.2">
      <c r="A30" s="5">
        <v>41213</v>
      </c>
      <c r="B30" s="17">
        <v>2016</v>
      </c>
      <c r="C30" s="18" t="str">
        <f t="shared" si="2"/>
        <v>Drakes_41213_ZM_up2_0.5417</v>
      </c>
      <c r="D30" s="18" t="s">
        <v>285</v>
      </c>
      <c r="E30" s="70" t="s">
        <v>293</v>
      </c>
      <c r="F30" s="70" t="s">
        <v>288</v>
      </c>
      <c r="G30" s="70">
        <v>1</v>
      </c>
      <c r="H30" s="77" t="s">
        <v>280</v>
      </c>
      <c r="I30" s="70">
        <v>74</v>
      </c>
      <c r="J30" s="70" t="s">
        <v>291</v>
      </c>
      <c r="K30" s="2">
        <f>(VLOOKUP(H30,'functions and szcl estimates'!$A$14:$I$23,4, FALSE))*(('raw data'!I646)^(VLOOKUP('raw data'!H646,'functions and szcl estimates'!$A$14:$I$23, 7, FALSE)))</f>
        <v>110.17084019446192</v>
      </c>
      <c r="L30" s="12">
        <v>0.54166666666666696</v>
      </c>
      <c r="M30" s="8">
        <v>0.50138888888888899</v>
      </c>
      <c r="N30" s="8">
        <f t="shared" si="3"/>
        <v>4.0277777777777968E-2</v>
      </c>
      <c r="O30" s="14">
        <v>23</v>
      </c>
      <c r="S30" t="s">
        <v>148</v>
      </c>
    </row>
    <row r="31" spans="1:19" x14ac:dyDescent="0.2">
      <c r="A31" s="5">
        <v>41213</v>
      </c>
      <c r="B31" s="17">
        <v>2016</v>
      </c>
      <c r="C31" s="18" t="str">
        <f t="shared" si="2"/>
        <v>Drakes_41213_ZM_up2_0.5417</v>
      </c>
      <c r="D31" s="18" t="s">
        <v>285</v>
      </c>
      <c r="E31" s="70" t="s">
        <v>293</v>
      </c>
      <c r="F31" s="70" t="s">
        <v>288</v>
      </c>
      <c r="G31" s="70">
        <v>1</v>
      </c>
      <c r="H31" s="77" t="s">
        <v>280</v>
      </c>
      <c r="I31" s="70">
        <v>94</v>
      </c>
      <c r="J31" s="70" t="s">
        <v>292</v>
      </c>
      <c r="K31" s="2">
        <f>(VLOOKUP(H31,'functions and szcl estimates'!$A$14:$I$23,4, FALSE))*(('raw data'!I647)^(VLOOKUP('raw data'!H647,'functions and szcl estimates'!$A$14:$I$23, 7, FALSE)))</f>
        <v>110.17084019446192</v>
      </c>
      <c r="L31" s="12">
        <v>0.54166666666666696</v>
      </c>
      <c r="M31" s="8">
        <v>0.50138888888888899</v>
      </c>
      <c r="N31" s="8">
        <f t="shared" si="3"/>
        <v>4.0277777777777968E-2</v>
      </c>
      <c r="O31" s="14">
        <v>23</v>
      </c>
      <c r="S31" t="s">
        <v>148</v>
      </c>
    </row>
    <row r="32" spans="1:19" x14ac:dyDescent="0.2">
      <c r="A32" s="5">
        <v>41213</v>
      </c>
      <c r="B32" s="17">
        <v>2016</v>
      </c>
      <c r="C32" s="18" t="str">
        <f t="shared" si="2"/>
        <v>Drakes_41213_ZM_up2_0.5417</v>
      </c>
      <c r="D32" s="18" t="s">
        <v>285</v>
      </c>
      <c r="E32" s="70" t="s">
        <v>293</v>
      </c>
      <c r="F32" s="70" t="s">
        <v>288</v>
      </c>
      <c r="G32" s="70">
        <v>1</v>
      </c>
      <c r="H32" s="77" t="s">
        <v>280</v>
      </c>
      <c r="I32" s="70">
        <v>97</v>
      </c>
      <c r="J32" s="70" t="s">
        <v>292</v>
      </c>
      <c r="K32" s="2">
        <f>(VLOOKUP(H32,'functions and szcl estimates'!$A$14:$I$23,4, FALSE))*(('raw data'!I648)^(VLOOKUP('raw data'!H648,'functions and szcl estimates'!$A$14:$I$23, 7, FALSE)))</f>
        <v>116.16276026838595</v>
      </c>
      <c r="L32" s="12">
        <v>0.54166666666666696</v>
      </c>
      <c r="M32" s="8">
        <v>0.50138888888888899</v>
      </c>
      <c r="N32" s="8">
        <f t="shared" si="3"/>
        <v>4.0277777777777968E-2</v>
      </c>
      <c r="O32" s="14">
        <v>23</v>
      </c>
      <c r="S32" t="s">
        <v>148</v>
      </c>
    </row>
    <row r="33" spans="1:19" x14ac:dyDescent="0.2">
      <c r="A33" s="5">
        <v>41213</v>
      </c>
      <c r="B33" s="17">
        <v>2016</v>
      </c>
      <c r="C33" s="18" t="str">
        <f t="shared" si="2"/>
        <v>Drakes_41213_ZM_up2_0.5417</v>
      </c>
      <c r="D33" s="18" t="s">
        <v>285</v>
      </c>
      <c r="E33" s="70" t="s">
        <v>293</v>
      </c>
      <c r="F33" s="70" t="s">
        <v>288</v>
      </c>
      <c r="G33" s="70">
        <v>1</v>
      </c>
      <c r="H33" s="77" t="s">
        <v>280</v>
      </c>
      <c r="I33" s="70">
        <v>54</v>
      </c>
      <c r="J33" s="70" t="s">
        <v>292</v>
      </c>
      <c r="K33" s="2">
        <f>(VLOOKUP(H33,'functions and szcl estimates'!$A$14:$I$23,4, FALSE))*(('raw data'!I649)^(VLOOKUP('raw data'!H649,'functions and szcl estimates'!$A$14:$I$23, 7, FALSE)))</f>
        <v>122.34407246144272</v>
      </c>
      <c r="L33" s="12">
        <v>0.54166666666666696</v>
      </c>
      <c r="M33" s="8">
        <v>0.50138888888888899</v>
      </c>
      <c r="N33" s="8">
        <f t="shared" si="3"/>
        <v>4.0277777777777968E-2</v>
      </c>
      <c r="O33" s="14">
        <v>23</v>
      </c>
      <c r="S33" t="s">
        <v>148</v>
      </c>
    </row>
    <row r="34" spans="1:19" x14ac:dyDescent="0.2">
      <c r="A34" s="5">
        <v>41213</v>
      </c>
      <c r="B34" s="17">
        <v>2016</v>
      </c>
      <c r="C34" s="18" t="str">
        <f t="shared" si="2"/>
        <v>Drakes_41213_ZM_up2_0.5417</v>
      </c>
      <c r="D34" s="18" t="s">
        <v>285</v>
      </c>
      <c r="E34" s="70" t="s">
        <v>293</v>
      </c>
      <c r="F34" s="70" t="s">
        <v>288</v>
      </c>
      <c r="G34" s="70">
        <v>1</v>
      </c>
      <c r="H34" s="77" t="s">
        <v>280</v>
      </c>
      <c r="I34" s="70">
        <v>64</v>
      </c>
      <c r="J34" s="70" t="s">
        <v>292</v>
      </c>
      <c r="K34" s="2">
        <f>(VLOOKUP(H34,'functions and szcl estimates'!$A$14:$I$23,4, FALSE))*(('raw data'!I650)^(VLOOKUP('raw data'!H650,'functions and szcl estimates'!$A$14:$I$23, 7, FALSE)))</f>
        <v>135.28226625830433</v>
      </c>
      <c r="L34" s="12">
        <v>0.54166666666666696</v>
      </c>
      <c r="M34" s="8">
        <v>0.50138888888888899</v>
      </c>
      <c r="N34" s="8">
        <f t="shared" si="3"/>
        <v>4.0277777777777968E-2</v>
      </c>
      <c r="O34" s="14">
        <v>23</v>
      </c>
      <c r="S34" t="s">
        <v>148</v>
      </c>
    </row>
    <row r="35" spans="1:19" x14ac:dyDescent="0.2">
      <c r="A35" s="5">
        <v>41213</v>
      </c>
      <c r="B35" s="17">
        <v>2016</v>
      </c>
      <c r="C35" s="18" t="str">
        <f t="shared" si="2"/>
        <v>Drakes_41213_ZM_up2_0.5417</v>
      </c>
      <c r="D35" s="18" t="s">
        <v>285</v>
      </c>
      <c r="E35" s="70" t="s">
        <v>293</v>
      </c>
      <c r="F35" s="70" t="s">
        <v>288</v>
      </c>
      <c r="G35" s="70">
        <v>1</v>
      </c>
      <c r="H35" s="77" t="s">
        <v>280</v>
      </c>
      <c r="I35" s="70">
        <v>77</v>
      </c>
      <c r="J35" s="70" t="s">
        <v>292</v>
      </c>
      <c r="K35" s="2">
        <f>(VLOOKUP(H35,'functions and szcl estimates'!$A$14:$I$23,4, FALSE))*(('raw data'!I651)^(VLOOKUP('raw data'!H651,'functions and szcl estimates'!$A$14:$I$23, 7, FALSE)))</f>
        <v>142.04279343046431</v>
      </c>
      <c r="L35" s="12">
        <v>0.54166666666666696</v>
      </c>
      <c r="M35" s="8">
        <v>0.50138888888888899</v>
      </c>
      <c r="N35" s="8">
        <f t="shared" si="3"/>
        <v>4.0277777777777968E-2</v>
      </c>
      <c r="O35" s="14">
        <v>23</v>
      </c>
      <c r="S35" t="s">
        <v>148</v>
      </c>
    </row>
    <row r="36" spans="1:19" x14ac:dyDescent="0.2">
      <c r="A36" s="5">
        <v>41213</v>
      </c>
      <c r="B36" s="17">
        <v>2016</v>
      </c>
      <c r="C36" s="18" t="str">
        <f t="shared" si="2"/>
        <v>Drakes_41213_ZM_up2_0.5417</v>
      </c>
      <c r="D36" s="18" t="s">
        <v>285</v>
      </c>
      <c r="E36" s="70" t="s">
        <v>293</v>
      </c>
      <c r="F36" s="70" t="s">
        <v>288</v>
      </c>
      <c r="G36" s="70">
        <v>1</v>
      </c>
      <c r="H36" s="77" t="s">
        <v>280</v>
      </c>
      <c r="I36" s="70">
        <v>82</v>
      </c>
      <c r="J36" s="70" t="s">
        <v>291</v>
      </c>
      <c r="K36" s="2">
        <f>(VLOOKUP(H36,'functions and szcl estimates'!$A$14:$I$23,4, FALSE))*(('raw data'!I652)^(VLOOKUP('raw data'!H652,'functions and szcl estimates'!$A$14:$I$23, 7, FALSE)))</f>
        <v>142.04279343046431</v>
      </c>
      <c r="L36" s="12">
        <v>0.54166666666666696</v>
      </c>
      <c r="M36" s="8">
        <v>0.50138888888888899</v>
      </c>
      <c r="N36" s="8">
        <f t="shared" si="3"/>
        <v>4.0277777777777968E-2</v>
      </c>
      <c r="O36" s="14">
        <v>23</v>
      </c>
      <c r="S36" t="s">
        <v>148</v>
      </c>
    </row>
    <row r="37" spans="1:19" x14ac:dyDescent="0.2">
      <c r="A37" s="5">
        <v>41213</v>
      </c>
      <c r="B37" s="17">
        <v>2016</v>
      </c>
      <c r="C37" s="18" t="str">
        <f t="shared" si="2"/>
        <v>Drakes_41213_ZM_up2_0.5417</v>
      </c>
      <c r="D37" s="18" t="s">
        <v>285</v>
      </c>
      <c r="E37" s="70" t="s">
        <v>293</v>
      </c>
      <c r="F37" s="70" t="s">
        <v>288</v>
      </c>
      <c r="G37" s="70">
        <v>1</v>
      </c>
      <c r="H37" s="77" t="s">
        <v>280</v>
      </c>
      <c r="I37" s="70">
        <v>82</v>
      </c>
      <c r="J37" s="70" t="s">
        <v>292</v>
      </c>
      <c r="K37" s="2">
        <f>(VLOOKUP(H37,'functions and szcl estimates'!$A$14:$I$23,4, FALSE))*(('raw data'!I653)^(VLOOKUP('raw data'!H653,'functions and szcl estimates'!$A$14:$I$23, 7, FALSE)))</f>
        <v>156.15567590791991</v>
      </c>
      <c r="L37" s="12">
        <v>0.54166666666666696</v>
      </c>
      <c r="M37" s="8">
        <v>0.50138888888888899</v>
      </c>
      <c r="N37" s="8">
        <f t="shared" si="3"/>
        <v>4.0277777777777968E-2</v>
      </c>
      <c r="O37" s="14">
        <v>23</v>
      </c>
      <c r="S37" t="s">
        <v>148</v>
      </c>
    </row>
    <row r="38" spans="1:19" x14ac:dyDescent="0.2">
      <c r="A38" s="5">
        <v>41213</v>
      </c>
      <c r="B38" s="17">
        <v>2016</v>
      </c>
      <c r="C38" s="18" t="str">
        <f t="shared" si="2"/>
        <v>Drakes_41213_ZM_up2_0.5417</v>
      </c>
      <c r="D38" s="18" t="s">
        <v>285</v>
      </c>
      <c r="E38" s="70" t="s">
        <v>293</v>
      </c>
      <c r="F38" s="70" t="s">
        <v>288</v>
      </c>
      <c r="G38" s="70">
        <v>1</v>
      </c>
      <c r="H38" s="77" t="s">
        <v>280</v>
      </c>
      <c r="I38" s="70">
        <v>84</v>
      </c>
      <c r="J38" s="70" t="s">
        <v>292</v>
      </c>
      <c r="K38" s="2">
        <f>(VLOOKUP(H38,'functions and szcl estimates'!$A$14:$I$23,4, FALSE))*(('raw data'!I654)^(VLOOKUP('raw data'!H654,'functions and szcl estimates'!$A$14:$I$23, 7, FALSE)))</f>
        <v>156.15567590791991</v>
      </c>
      <c r="L38" s="12">
        <v>0.54166666666666696</v>
      </c>
      <c r="M38" s="8">
        <v>0.50138888888888899</v>
      </c>
      <c r="N38" s="8">
        <f t="shared" si="3"/>
        <v>4.0277777777777968E-2</v>
      </c>
      <c r="O38" s="14">
        <v>23</v>
      </c>
      <c r="S38" t="s">
        <v>148</v>
      </c>
    </row>
    <row r="39" spans="1:19" x14ac:dyDescent="0.2">
      <c r="A39" s="5">
        <v>41213</v>
      </c>
      <c r="B39" s="17">
        <v>2016</v>
      </c>
      <c r="C39" s="18" t="str">
        <f t="shared" si="2"/>
        <v>Drakes_41213_ZM_up2_0.5417</v>
      </c>
      <c r="D39" s="18" t="s">
        <v>285</v>
      </c>
      <c r="E39" s="70" t="s">
        <v>293</v>
      </c>
      <c r="F39" s="70" t="s">
        <v>288</v>
      </c>
      <c r="G39" s="70">
        <v>1</v>
      </c>
      <c r="H39" s="77" t="s">
        <v>280</v>
      </c>
      <c r="I39" s="70">
        <v>68</v>
      </c>
      <c r="J39" s="70" t="s">
        <v>291</v>
      </c>
      <c r="K39" s="2">
        <f>(VLOOKUP(H39,'functions and szcl estimates'!$A$14:$I$23,4, FALSE))*(('raw data'!I655)^(VLOOKUP('raw data'!H655,'functions and szcl estimates'!$A$14:$I$23, 7, FALSE)))</f>
        <v>156.15567590791991</v>
      </c>
      <c r="L39" s="12">
        <v>0.54166666666666696</v>
      </c>
      <c r="M39" s="8">
        <v>0.50138888888888899</v>
      </c>
      <c r="N39" s="8">
        <f t="shared" si="3"/>
        <v>4.0277777777777968E-2</v>
      </c>
      <c r="O39" s="14">
        <v>23</v>
      </c>
      <c r="S39" t="s">
        <v>148</v>
      </c>
    </row>
    <row r="40" spans="1:19" x14ac:dyDescent="0.2">
      <c r="A40" s="5">
        <v>41214</v>
      </c>
      <c r="B40" s="17">
        <v>2016</v>
      </c>
      <c r="C40" s="18" t="str">
        <f t="shared" si="2"/>
        <v>Drakes_41214_ZM_mid2_0.5208</v>
      </c>
      <c r="D40" s="18" t="s">
        <v>285</v>
      </c>
      <c r="E40" s="70" t="s">
        <v>294</v>
      </c>
      <c r="F40" s="70" t="s">
        <v>288</v>
      </c>
      <c r="G40" s="70">
        <v>1</v>
      </c>
      <c r="H40" s="77" t="s">
        <v>280</v>
      </c>
      <c r="I40" s="70">
        <v>74</v>
      </c>
      <c r="J40" s="70" t="s">
        <v>292</v>
      </c>
      <c r="K40" s="2">
        <f>(VLOOKUP(H40,'functions and szcl estimates'!$A$14:$I$23,4, FALSE))*(('raw data'!I656)^(VLOOKUP('raw data'!H656,'functions and szcl estimates'!$A$14:$I$23, 7, FALSE)))</f>
        <v>163.51156215768202</v>
      </c>
      <c r="L40" s="12">
        <v>0.52083333333333337</v>
      </c>
      <c r="M40" s="8">
        <v>0.51527777777777783</v>
      </c>
      <c r="N40" s="8">
        <f t="shared" si="3"/>
        <v>5.5555555555555358E-3</v>
      </c>
      <c r="O40" s="14">
        <v>23.75</v>
      </c>
      <c r="P40">
        <f>COUNT(O40:O51)</f>
        <v>12</v>
      </c>
      <c r="Q40" s="65">
        <f>SUM(K40:K51)</f>
        <v>6443.9359809149237</v>
      </c>
      <c r="R40" s="15">
        <f>P40/O40</f>
        <v>0.50526315789473686</v>
      </c>
      <c r="S40" t="s">
        <v>148</v>
      </c>
    </row>
    <row r="41" spans="1:19" x14ac:dyDescent="0.2">
      <c r="A41" s="5">
        <v>41214</v>
      </c>
      <c r="B41" s="17">
        <v>2016</v>
      </c>
      <c r="C41" s="18" t="str">
        <f t="shared" si="2"/>
        <v>Drakes_41214_ZM_mid2_0.5208</v>
      </c>
      <c r="D41" s="18" t="s">
        <v>285</v>
      </c>
      <c r="E41" s="70" t="s">
        <v>294</v>
      </c>
      <c r="F41" s="70" t="s">
        <v>288</v>
      </c>
      <c r="G41" s="70">
        <v>1</v>
      </c>
      <c r="H41" s="77" t="s">
        <v>280</v>
      </c>
      <c r="I41" s="70">
        <v>85</v>
      </c>
      <c r="J41" s="70" t="s">
        <v>291</v>
      </c>
      <c r="K41" s="2">
        <f>(VLOOKUP(H41,'functions and szcl estimates'!$A$14:$I$23,4, FALSE))*(('raw data'!I657)^(VLOOKUP('raw data'!H657,'functions and szcl estimates'!$A$14:$I$23, 7, FALSE)))</f>
        <v>171.06940248758849</v>
      </c>
      <c r="L41" s="12">
        <v>0.52083333333333337</v>
      </c>
      <c r="M41" s="8">
        <v>0.51527777777777783</v>
      </c>
      <c r="N41" s="8">
        <f t="shared" si="3"/>
        <v>5.5555555555555358E-3</v>
      </c>
      <c r="O41" s="14">
        <v>23.75</v>
      </c>
      <c r="S41" t="s">
        <v>148</v>
      </c>
    </row>
    <row r="42" spans="1:19" x14ac:dyDescent="0.2">
      <c r="A42" s="5">
        <v>41214</v>
      </c>
      <c r="B42" s="17">
        <v>2016</v>
      </c>
      <c r="C42" s="18" t="str">
        <f t="shared" si="2"/>
        <v>Drakes_41214_ZM_mid2_0.5208</v>
      </c>
      <c r="D42" s="18" t="s">
        <v>285</v>
      </c>
      <c r="E42" s="70" t="s">
        <v>294</v>
      </c>
      <c r="F42" s="70" t="s">
        <v>288</v>
      </c>
      <c r="G42" s="70">
        <v>1</v>
      </c>
      <c r="H42" s="77" t="s">
        <v>280</v>
      </c>
      <c r="I42" s="70">
        <v>101</v>
      </c>
      <c r="J42" s="70" t="s">
        <v>292</v>
      </c>
      <c r="K42" s="2">
        <f>(VLOOKUP(H42,'functions and szcl estimates'!$A$14:$I$23,4, FALSE))*(('raw data'!I658)^(VLOOKUP('raw data'!H658,'functions and szcl estimates'!$A$14:$I$23, 7, FALSE)))</f>
        <v>171.06940248758849</v>
      </c>
      <c r="L42" s="12">
        <v>0.52083333333333337</v>
      </c>
      <c r="M42" s="8">
        <v>0.51527777777777783</v>
      </c>
      <c r="N42" s="8">
        <f t="shared" si="3"/>
        <v>5.5555555555555358E-3</v>
      </c>
      <c r="O42" s="14">
        <v>23.75</v>
      </c>
      <c r="S42" t="s">
        <v>148</v>
      </c>
    </row>
    <row r="43" spans="1:19" x14ac:dyDescent="0.2">
      <c r="A43" s="5">
        <v>41214</v>
      </c>
      <c r="B43" s="17">
        <v>2016</v>
      </c>
      <c r="C43" s="18" t="str">
        <f t="shared" si="2"/>
        <v>Drakes_41214_ZM_mid2_0.5208</v>
      </c>
      <c r="D43" s="18" t="s">
        <v>285</v>
      </c>
      <c r="E43" s="70" t="s">
        <v>294</v>
      </c>
      <c r="F43" s="70" t="s">
        <v>288</v>
      </c>
      <c r="G43" s="70">
        <v>1</v>
      </c>
      <c r="H43" s="77" t="s">
        <v>280</v>
      </c>
      <c r="I43" s="70">
        <v>94</v>
      </c>
      <c r="J43" s="70" t="s">
        <v>292</v>
      </c>
      <c r="K43" s="2">
        <f>(VLOOKUP(H43,'functions and szcl estimates'!$A$14:$I$23,4, FALSE))*(('raw data'!I659)^(VLOOKUP('raw data'!H659,'functions and szcl estimates'!$A$14:$I$23, 7, FALSE)))</f>
        <v>178.83091830026504</v>
      </c>
      <c r="L43" s="12">
        <v>0.52083333333333337</v>
      </c>
      <c r="M43" s="8">
        <v>0.51527777777777783</v>
      </c>
      <c r="N43" s="8">
        <f t="shared" si="3"/>
        <v>5.5555555555555358E-3</v>
      </c>
      <c r="O43" s="14">
        <v>23.75</v>
      </c>
      <c r="S43" t="s">
        <v>148</v>
      </c>
    </row>
    <row r="44" spans="1:19" x14ac:dyDescent="0.2">
      <c r="A44" s="5">
        <v>41214</v>
      </c>
      <c r="B44" s="17">
        <v>2016</v>
      </c>
      <c r="C44" s="18" t="str">
        <f t="shared" si="2"/>
        <v>Drakes_41214_ZM_mid2_0.5208</v>
      </c>
      <c r="D44" s="18" t="s">
        <v>285</v>
      </c>
      <c r="E44" s="70" t="s">
        <v>294</v>
      </c>
      <c r="F44" s="70" t="s">
        <v>288</v>
      </c>
      <c r="G44" s="70">
        <v>1</v>
      </c>
      <c r="H44" s="77" t="s">
        <v>280</v>
      </c>
      <c r="I44" s="70">
        <v>78</v>
      </c>
      <c r="J44" s="70" t="s">
        <v>292</v>
      </c>
      <c r="K44" s="2">
        <f>(VLOOKUP(H44,'functions and szcl estimates'!$A$14:$I$23,4, FALSE))*(('raw data'!I660)^(VLOOKUP('raw data'!H660,'functions and szcl estimates'!$A$14:$I$23, 7, FALSE)))</f>
        <v>391.75957589698982</v>
      </c>
      <c r="L44" s="12">
        <v>0.52083333333333337</v>
      </c>
      <c r="M44" s="8">
        <v>0.51527777777777783</v>
      </c>
      <c r="N44" s="8">
        <f t="shared" si="3"/>
        <v>5.5555555555555358E-3</v>
      </c>
      <c r="O44" s="14">
        <v>23.75</v>
      </c>
      <c r="S44" t="s">
        <v>148</v>
      </c>
    </row>
    <row r="45" spans="1:19" x14ac:dyDescent="0.2">
      <c r="A45" s="5">
        <v>41214</v>
      </c>
      <c r="B45" s="17">
        <v>2016</v>
      </c>
      <c r="C45" s="18" t="str">
        <f t="shared" si="2"/>
        <v>Drakes_41214_ZM_mid2_0.5208</v>
      </c>
      <c r="D45" s="18" t="s">
        <v>285</v>
      </c>
      <c r="E45" s="70" t="s">
        <v>294</v>
      </c>
      <c r="F45" s="70" t="s">
        <v>288</v>
      </c>
      <c r="G45" s="70">
        <v>1</v>
      </c>
      <c r="H45" s="77" t="s">
        <v>280</v>
      </c>
      <c r="I45" s="70">
        <v>65</v>
      </c>
      <c r="J45" s="70" t="s">
        <v>291</v>
      </c>
      <c r="K45" s="2">
        <f>(VLOOKUP(H45,'functions and szcl estimates'!$A$14:$I$23,4, FALSE))*(('raw data'!I661)^(VLOOKUP('raw data'!H661,'functions and szcl estimates'!$A$14:$I$23, 7, FALSE)))</f>
        <v>355.23724546029581</v>
      </c>
      <c r="L45" s="12">
        <v>0.52083333333333337</v>
      </c>
      <c r="M45" s="8">
        <v>0.51527777777777783</v>
      </c>
      <c r="N45" s="8">
        <f t="shared" si="3"/>
        <v>5.5555555555555358E-3</v>
      </c>
      <c r="O45" s="14">
        <v>23.75</v>
      </c>
      <c r="S45" t="s">
        <v>148</v>
      </c>
    </row>
    <row r="46" spans="1:19" x14ac:dyDescent="0.2">
      <c r="A46" s="5">
        <v>41214</v>
      </c>
      <c r="B46" s="17">
        <v>2016</v>
      </c>
      <c r="C46" s="18" t="str">
        <f t="shared" si="2"/>
        <v>Drakes_41214_ZM_mid2_0.5208</v>
      </c>
      <c r="D46" s="18" t="s">
        <v>285</v>
      </c>
      <c r="E46" s="70" t="s">
        <v>294</v>
      </c>
      <c r="F46" s="70" t="s">
        <v>288</v>
      </c>
      <c r="G46" s="70">
        <v>1</v>
      </c>
      <c r="H46" s="77" t="s">
        <v>280</v>
      </c>
      <c r="I46" s="70">
        <v>86</v>
      </c>
      <c r="J46" s="70" t="s">
        <v>292</v>
      </c>
      <c r="K46" s="2">
        <f>(VLOOKUP(H46,'functions and szcl estimates'!$A$14:$I$23,4, FALSE))*(('raw data'!I662)^(VLOOKUP('raw data'!H662,'functions and szcl estimates'!$A$14:$I$23, 7, FALSE)))</f>
        <v>2023.8335796569511</v>
      </c>
      <c r="L46" s="12">
        <v>0.52083333333333337</v>
      </c>
      <c r="M46" s="8">
        <v>0.51527777777777783</v>
      </c>
      <c r="N46" s="8">
        <f t="shared" si="3"/>
        <v>5.5555555555555358E-3</v>
      </c>
      <c r="O46" s="14">
        <v>23.75</v>
      </c>
      <c r="S46" t="s">
        <v>148</v>
      </c>
    </row>
    <row r="47" spans="1:19" x14ac:dyDescent="0.2">
      <c r="A47" s="5">
        <v>41214</v>
      </c>
      <c r="B47" s="17">
        <v>2016</v>
      </c>
      <c r="C47" s="18" t="str">
        <f t="shared" si="2"/>
        <v>Drakes_41214_ZM_mid1_0.5208</v>
      </c>
      <c r="D47" s="18" t="s">
        <v>285</v>
      </c>
      <c r="E47" s="70" t="s">
        <v>296</v>
      </c>
      <c r="F47" s="70" t="s">
        <v>288</v>
      </c>
      <c r="G47" s="70">
        <v>1</v>
      </c>
      <c r="H47" s="77" t="s">
        <v>280</v>
      </c>
      <c r="I47" s="70">
        <v>86</v>
      </c>
      <c r="J47" s="70" t="s">
        <v>292</v>
      </c>
      <c r="K47" s="2">
        <f>(VLOOKUP(H47,'functions and szcl estimates'!$A$14:$I$23,4, FALSE))*(('raw data'!I682)^(VLOOKUP('raw data'!H682,'functions and szcl estimates'!$A$14:$I$23, 7, FALSE)))</f>
        <v>640.27669801258082</v>
      </c>
      <c r="L47" s="12">
        <v>0.52083333333333304</v>
      </c>
      <c r="M47" s="8">
        <v>0.59583333333333299</v>
      </c>
      <c r="N47" s="8">
        <f t="shared" si="3"/>
        <v>-7.4999999999999956E-2</v>
      </c>
      <c r="O47" s="14">
        <v>25.75</v>
      </c>
      <c r="S47" t="s">
        <v>148</v>
      </c>
    </row>
    <row r="48" spans="1:19" x14ac:dyDescent="0.2">
      <c r="A48" s="5">
        <v>41214</v>
      </c>
      <c r="B48" s="17">
        <v>2016</v>
      </c>
      <c r="C48" s="18" t="str">
        <f t="shared" si="2"/>
        <v>Drakes_41214_ZM_mid1_0.5208</v>
      </c>
      <c r="D48" s="18" t="s">
        <v>285</v>
      </c>
      <c r="E48" s="70" t="s">
        <v>296</v>
      </c>
      <c r="F48" s="70" t="s">
        <v>288</v>
      </c>
      <c r="G48" s="70">
        <v>1</v>
      </c>
      <c r="H48" s="77" t="s">
        <v>280</v>
      </c>
      <c r="I48" s="70">
        <v>73</v>
      </c>
      <c r="J48" s="70" t="s">
        <v>291</v>
      </c>
      <c r="K48" s="2">
        <f>(VLOOKUP(H48,'functions and szcl estimates'!$A$14:$I$23,4, FALSE))*(('raw data'!I683)^(VLOOKUP('raw data'!H683,'functions and szcl estimates'!$A$14:$I$23, 7, FALSE)))</f>
        <v>417.29526367896335</v>
      </c>
      <c r="L48" s="12">
        <v>0.52083333333333304</v>
      </c>
      <c r="M48" s="8">
        <v>0.59583333333333299</v>
      </c>
      <c r="N48" s="8">
        <f t="shared" ref="N48:N69" si="4">L48-M48</f>
        <v>-7.4999999999999956E-2</v>
      </c>
      <c r="O48" s="14">
        <v>25.75</v>
      </c>
      <c r="S48" t="s">
        <v>148</v>
      </c>
    </row>
    <row r="49" spans="1:19" x14ac:dyDescent="0.2">
      <c r="A49" s="5">
        <v>41214</v>
      </c>
      <c r="B49" s="17">
        <v>2016</v>
      </c>
      <c r="C49" s="18" t="str">
        <f t="shared" si="2"/>
        <v>Drakes_41214_ZM_mid1_0.5208</v>
      </c>
      <c r="D49" s="18" t="s">
        <v>285</v>
      </c>
      <c r="E49" s="70" t="s">
        <v>296</v>
      </c>
      <c r="F49" s="70" t="s">
        <v>288</v>
      </c>
      <c r="G49" s="70">
        <v>1</v>
      </c>
      <c r="H49" s="77" t="s">
        <v>280</v>
      </c>
      <c r="I49" s="70">
        <v>71</v>
      </c>
      <c r="J49" s="70" t="s">
        <v>292</v>
      </c>
      <c r="K49" s="2">
        <f>(VLOOKUP(H49,'functions and szcl estimates'!$A$14:$I$23,4, FALSE))*(('raw data'!I684)^(VLOOKUP('raw data'!H684,'functions and szcl estimates'!$A$14:$I$23, 7, FALSE)))</f>
        <v>559.64433530230451</v>
      </c>
      <c r="L49" s="12">
        <v>0.52083333333333304</v>
      </c>
      <c r="M49" s="8">
        <v>0.59583333333333299</v>
      </c>
      <c r="N49" s="8">
        <f t="shared" si="4"/>
        <v>-7.4999999999999956E-2</v>
      </c>
      <c r="O49" s="14">
        <v>25.75</v>
      </c>
      <c r="S49" t="s">
        <v>148</v>
      </c>
    </row>
    <row r="50" spans="1:19" x14ac:dyDescent="0.2">
      <c r="A50" s="5">
        <v>41214</v>
      </c>
      <c r="B50" s="17">
        <v>2016</v>
      </c>
      <c r="C50" s="18" t="str">
        <f t="shared" si="2"/>
        <v>Drakes_41214_ZM_mid1_0.5208</v>
      </c>
      <c r="D50" s="18" t="s">
        <v>285</v>
      </c>
      <c r="E50" s="70" t="s">
        <v>296</v>
      </c>
      <c r="F50" s="70" t="s">
        <v>288</v>
      </c>
      <c r="G50" s="70">
        <v>1</v>
      </c>
      <c r="H50" s="77" t="s">
        <v>280</v>
      </c>
      <c r="I50" s="70">
        <v>94</v>
      </c>
      <c r="J50" s="70" t="s">
        <v>292</v>
      </c>
      <c r="K50" s="2">
        <f>(VLOOKUP(H50,'functions and szcl estimates'!$A$14:$I$23,4, FALSE))*(('raw data'!I685)^(VLOOKUP('raw data'!H685,'functions and szcl estimates'!$A$14:$I$23, 7, FALSE)))</f>
        <v>764.15812140323897</v>
      </c>
      <c r="L50" s="12">
        <v>0.52083333333333304</v>
      </c>
      <c r="M50" s="8">
        <v>0.59583333333333299</v>
      </c>
      <c r="N50" s="8">
        <f t="shared" si="4"/>
        <v>-7.4999999999999956E-2</v>
      </c>
      <c r="O50" s="14">
        <v>25.75</v>
      </c>
      <c r="S50" t="s">
        <v>148</v>
      </c>
    </row>
    <row r="51" spans="1:19" x14ac:dyDescent="0.2">
      <c r="A51" s="5">
        <v>41214</v>
      </c>
      <c r="B51" s="17">
        <v>2016</v>
      </c>
      <c r="C51" s="18" t="str">
        <f t="shared" si="2"/>
        <v>Drakes_41214_ZM_mid1_0.5208</v>
      </c>
      <c r="D51" s="18" t="s">
        <v>285</v>
      </c>
      <c r="E51" s="70" t="s">
        <v>296</v>
      </c>
      <c r="F51" s="70" t="s">
        <v>288</v>
      </c>
      <c r="G51" s="70">
        <v>1</v>
      </c>
      <c r="H51" s="77" t="s">
        <v>280</v>
      </c>
      <c r="I51" s="70">
        <v>79</v>
      </c>
      <c r="J51" s="70" t="s">
        <v>292</v>
      </c>
      <c r="K51" s="2">
        <f>(VLOOKUP(H51,'functions and szcl estimates'!$A$14:$I$23,4, FALSE))*(('raw data'!I686)^(VLOOKUP('raw data'!H686,'functions and szcl estimates'!$A$14:$I$23, 7, FALSE)))</f>
        <v>607.24987607047603</v>
      </c>
      <c r="L51" s="12">
        <v>0.52083333333333304</v>
      </c>
      <c r="M51" s="8">
        <v>0.59583333333333299</v>
      </c>
      <c r="N51" s="8">
        <f t="shared" si="4"/>
        <v>-7.4999999999999956E-2</v>
      </c>
      <c r="O51" s="14">
        <v>25.75</v>
      </c>
      <c r="S51" t="s">
        <v>148</v>
      </c>
    </row>
    <row r="52" spans="1:19" x14ac:dyDescent="0.2">
      <c r="A52" s="5">
        <v>41215</v>
      </c>
      <c r="B52" s="17">
        <v>2016</v>
      </c>
      <c r="C52" s="18" t="str">
        <f t="shared" si="2"/>
        <v>Drakes_41215_ZM_low4_0.6069</v>
      </c>
      <c r="D52" s="18" t="s">
        <v>285</v>
      </c>
      <c r="E52" s="70" t="s">
        <v>297</v>
      </c>
      <c r="F52" s="70" t="s">
        <v>288</v>
      </c>
      <c r="G52" s="70">
        <v>1</v>
      </c>
      <c r="H52" s="77" t="s">
        <v>280</v>
      </c>
      <c r="I52" s="70">
        <v>85</v>
      </c>
      <c r="J52" s="70" t="s">
        <v>292</v>
      </c>
      <c r="K52" s="2">
        <f>(VLOOKUP(H52,'functions and szcl estimates'!$A$14:$I$23,4, FALSE))*(('raw data'!I689)^(VLOOKUP('raw data'!H689,'functions and szcl estimates'!$A$14:$I$23, 7, FALSE)))</f>
        <v>745.66136806150985</v>
      </c>
      <c r="L52" s="12">
        <v>0.6069444444444444</v>
      </c>
      <c r="M52" s="8">
        <v>0.38541666666666669</v>
      </c>
      <c r="N52" s="8">
        <f t="shared" si="4"/>
        <v>0.22152777777777771</v>
      </c>
      <c r="O52" s="14">
        <v>18.75</v>
      </c>
      <c r="P52">
        <f>COUNT(O52:O74)</f>
        <v>23</v>
      </c>
      <c r="Q52" s="65" t="e">
        <f>SUM(K52:K74)</f>
        <v>#VALUE!</v>
      </c>
      <c r="R52" s="15">
        <f>P52/O52</f>
        <v>1.2266666666666666</v>
      </c>
      <c r="S52" t="s">
        <v>148</v>
      </c>
    </row>
    <row r="53" spans="1:19" x14ac:dyDescent="0.2">
      <c r="A53" s="5">
        <v>41215</v>
      </c>
      <c r="B53" s="17">
        <v>2016</v>
      </c>
      <c r="C53" s="18" t="str">
        <f t="shared" si="2"/>
        <v>Drakes_41215_ZM_low4_0.6069</v>
      </c>
      <c r="D53" s="18" t="s">
        <v>285</v>
      </c>
      <c r="E53" s="70" t="s">
        <v>297</v>
      </c>
      <c r="F53" s="70" t="s">
        <v>288</v>
      </c>
      <c r="G53" s="70">
        <v>1</v>
      </c>
      <c r="H53" s="77" t="s">
        <v>280</v>
      </c>
      <c r="I53" s="70">
        <v>119</v>
      </c>
      <c r="J53" s="70" t="s">
        <v>292</v>
      </c>
      <c r="K53" s="2">
        <f>(VLOOKUP(H53,'functions and szcl estimates'!$A$14:$I$23,4, FALSE))*(('raw data'!I690)^(VLOOKUP('raw data'!H690,'functions and szcl estimates'!$A$14:$I$23, 7, FALSE)))</f>
        <v>309.80480720146375</v>
      </c>
      <c r="L53" s="12">
        <v>0.6069444444444444</v>
      </c>
      <c r="M53" s="8">
        <v>0.38541666666666669</v>
      </c>
      <c r="N53" s="8">
        <f t="shared" si="4"/>
        <v>0.22152777777777771</v>
      </c>
      <c r="O53" s="14">
        <v>18.75</v>
      </c>
      <c r="S53" t="s">
        <v>148</v>
      </c>
    </row>
    <row r="54" spans="1:19" x14ac:dyDescent="0.2">
      <c r="A54" s="5">
        <v>41215</v>
      </c>
      <c r="B54" s="17">
        <v>2016</v>
      </c>
      <c r="C54" s="18" t="str">
        <f t="shared" si="2"/>
        <v>Drakes_41215_ZM_low4_0.6069</v>
      </c>
      <c r="D54" s="18" t="s">
        <v>285</v>
      </c>
      <c r="E54" s="70" t="s">
        <v>297</v>
      </c>
      <c r="F54" s="70" t="s">
        <v>288</v>
      </c>
      <c r="G54" s="70">
        <v>1</v>
      </c>
      <c r="H54" s="77" t="s">
        <v>280</v>
      </c>
      <c r="I54" s="70">
        <v>94</v>
      </c>
      <c r="J54" s="70" t="s">
        <v>292</v>
      </c>
      <c r="K54" s="2">
        <f>(VLOOKUP(H54,'functions and szcl estimates'!$A$14:$I$23,4, FALSE))*(('raw data'!I691)^(VLOOKUP('raw data'!H691,'functions and szcl estimates'!$A$14:$I$23, 7, FALSE)))</f>
        <v>430.42362187994303</v>
      </c>
      <c r="L54" s="12">
        <v>0.6069444444444444</v>
      </c>
      <c r="M54" s="8">
        <v>0.38541666666666669</v>
      </c>
      <c r="N54" s="8">
        <f t="shared" si="4"/>
        <v>0.22152777777777771</v>
      </c>
      <c r="O54" s="14">
        <v>18.75</v>
      </c>
      <c r="S54" t="s">
        <v>148</v>
      </c>
    </row>
    <row r="55" spans="1:19" x14ac:dyDescent="0.2">
      <c r="A55" s="5">
        <v>41215</v>
      </c>
      <c r="B55" s="17">
        <v>2016</v>
      </c>
      <c r="C55" s="18" t="str">
        <f t="shared" si="2"/>
        <v>Drakes_41215_ZM_low5_0.6111</v>
      </c>
      <c r="D55" s="18" t="s">
        <v>285</v>
      </c>
      <c r="E55" s="70" t="s">
        <v>298</v>
      </c>
      <c r="F55" s="70" t="s">
        <v>288</v>
      </c>
      <c r="G55" s="70">
        <v>1</v>
      </c>
      <c r="H55" s="77" t="s">
        <v>280</v>
      </c>
      <c r="I55" s="70">
        <v>111</v>
      </c>
      <c r="J55" s="70" t="s">
        <v>292</v>
      </c>
      <c r="K55" s="2">
        <f>(VLOOKUP(H55,'functions and szcl estimates'!$A$14:$I$23,4, FALSE))*(('raw data'!I712)^(VLOOKUP('raw data'!H712,'functions and szcl estimates'!$A$14:$I$23, 7, FALSE)))</f>
        <v>711.91226602617735</v>
      </c>
      <c r="L55" s="12">
        <v>0.61111111111111105</v>
      </c>
      <c r="M55" s="8">
        <v>0.39999999999999997</v>
      </c>
      <c r="N55" s="8">
        <f t="shared" si="4"/>
        <v>0.21111111111111108</v>
      </c>
      <c r="O55" s="14">
        <v>19</v>
      </c>
      <c r="P55">
        <f>COUNT(O55:O64)</f>
        <v>10</v>
      </c>
      <c r="Q55" s="65">
        <f>SUM(K55:K64)</f>
        <v>961.55554929881009</v>
      </c>
      <c r="R55" s="15">
        <f>P55/O55</f>
        <v>0.52631578947368418</v>
      </c>
      <c r="S55" t="s">
        <v>148</v>
      </c>
    </row>
    <row r="56" spans="1:19" x14ac:dyDescent="0.2">
      <c r="A56" s="5">
        <v>41215</v>
      </c>
      <c r="B56" s="17">
        <v>2016</v>
      </c>
      <c r="C56" s="18" t="str">
        <f t="shared" si="2"/>
        <v>Drakes_41215_ZM_low5_0.6111</v>
      </c>
      <c r="D56" s="18" t="s">
        <v>285</v>
      </c>
      <c r="E56" s="70" t="s">
        <v>298</v>
      </c>
      <c r="F56" s="70" t="s">
        <v>288</v>
      </c>
      <c r="G56" s="70">
        <v>1</v>
      </c>
      <c r="H56" s="77" t="s">
        <v>280</v>
      </c>
      <c r="I56" s="70">
        <v>84</v>
      </c>
      <c r="J56" s="70" t="s">
        <v>291</v>
      </c>
      <c r="K56" s="2">
        <f>(VLOOKUP(H56,'functions and szcl estimates'!$A$14:$I$23,4, FALSE))*(('raw data'!I713)^(VLOOKUP('raw data'!H713,'functions and szcl estimates'!$A$14:$I$23, 7, FALSE)))</f>
        <v>22.279464918349749</v>
      </c>
      <c r="L56" s="12">
        <v>0.61111111111111105</v>
      </c>
      <c r="M56" s="8">
        <v>0.39999999999999997</v>
      </c>
      <c r="N56" s="8">
        <f t="shared" si="4"/>
        <v>0.21111111111111108</v>
      </c>
      <c r="O56" s="14">
        <v>19</v>
      </c>
      <c r="S56" t="s">
        <v>148</v>
      </c>
    </row>
    <row r="57" spans="1:19" x14ac:dyDescent="0.2">
      <c r="A57" s="5">
        <v>41215</v>
      </c>
      <c r="B57" s="17">
        <v>2016</v>
      </c>
      <c r="C57" s="18" t="str">
        <f t="shared" si="2"/>
        <v>Drakes_41215_ZM_low5_0.6111</v>
      </c>
      <c r="D57" s="18" t="s">
        <v>285</v>
      </c>
      <c r="E57" s="70" t="s">
        <v>298</v>
      </c>
      <c r="F57" s="70" t="s">
        <v>288</v>
      </c>
      <c r="G57" s="70">
        <v>1</v>
      </c>
      <c r="H57" s="77" t="s">
        <v>280</v>
      </c>
      <c r="I57" s="70">
        <v>74</v>
      </c>
      <c r="J57" s="70" t="s">
        <v>291</v>
      </c>
      <c r="K57" s="2">
        <f>(VLOOKUP(H57,'functions and szcl estimates'!$A$14:$I$23,4, FALSE))*(('raw data'!I714)^(VLOOKUP('raw data'!H714,'functions and szcl estimates'!$A$14:$I$23, 7, FALSE)))</f>
        <v>23.56063277041557</v>
      </c>
      <c r="L57" s="12">
        <v>0.61111111111111105</v>
      </c>
      <c r="M57" s="8">
        <v>0.39999999999999997</v>
      </c>
      <c r="N57" s="8">
        <f t="shared" si="4"/>
        <v>0.21111111111111108</v>
      </c>
      <c r="O57" s="14">
        <v>19</v>
      </c>
      <c r="S57" t="s">
        <v>148</v>
      </c>
    </row>
    <row r="58" spans="1:19" x14ac:dyDescent="0.2">
      <c r="A58" s="5">
        <v>41215</v>
      </c>
      <c r="B58" s="17">
        <v>2016</v>
      </c>
      <c r="C58" s="18" t="str">
        <f t="shared" si="2"/>
        <v>Drakes_41215_ZM_low5_0.6111</v>
      </c>
      <c r="D58" s="18" t="s">
        <v>285</v>
      </c>
      <c r="E58" s="70" t="s">
        <v>298</v>
      </c>
      <c r="F58" s="70" t="s">
        <v>288</v>
      </c>
      <c r="G58" s="70">
        <v>1</v>
      </c>
      <c r="H58" s="77" t="s">
        <v>280</v>
      </c>
      <c r="I58" s="70">
        <v>86</v>
      </c>
      <c r="J58" s="70" t="s">
        <v>291</v>
      </c>
      <c r="K58" s="2">
        <f>(VLOOKUP(H58,'functions and szcl estimates'!$A$14:$I$23,4, FALSE))*(('raw data'!I715)^(VLOOKUP('raw data'!H715,'functions and szcl estimates'!$A$14:$I$23, 7, FALSE)))</f>
        <v>26.238396261631905</v>
      </c>
      <c r="L58" s="12">
        <v>0.61111111111111105</v>
      </c>
      <c r="M58" s="8">
        <v>0.39999999999999997</v>
      </c>
      <c r="N58" s="8">
        <f t="shared" si="4"/>
        <v>0.21111111111111108</v>
      </c>
      <c r="O58" s="14">
        <v>19</v>
      </c>
      <c r="S58" t="s">
        <v>148</v>
      </c>
    </row>
    <row r="59" spans="1:19" x14ac:dyDescent="0.2">
      <c r="A59" s="5">
        <v>41215</v>
      </c>
      <c r="B59" s="17">
        <v>2016</v>
      </c>
      <c r="C59" s="18" t="str">
        <f t="shared" si="2"/>
        <v>Drakes_41215_ZM_low5_0.6111</v>
      </c>
      <c r="D59" s="18" t="s">
        <v>285</v>
      </c>
      <c r="E59" s="70" t="s">
        <v>298</v>
      </c>
      <c r="F59" s="70" t="s">
        <v>288</v>
      </c>
      <c r="G59" s="70">
        <v>1</v>
      </c>
      <c r="H59" s="77" t="s">
        <v>280</v>
      </c>
      <c r="I59" s="70">
        <v>118</v>
      </c>
      <c r="J59" s="70" t="s">
        <v>292</v>
      </c>
      <c r="K59" s="2">
        <f>(VLOOKUP(H59,'functions and szcl estimates'!$A$14:$I$23,4, FALSE))*(('raw data'!I716)^(VLOOKUP('raw data'!H716,'functions and szcl estimates'!$A$14:$I$23, 7, FALSE)))</f>
        <v>27.635286078403688</v>
      </c>
      <c r="L59" s="12">
        <v>0.61111111111111105</v>
      </c>
      <c r="M59" s="8">
        <v>0.39999999999999997</v>
      </c>
      <c r="N59" s="8">
        <f t="shared" si="4"/>
        <v>0.21111111111111108</v>
      </c>
      <c r="O59" s="14">
        <v>19</v>
      </c>
      <c r="S59" t="s">
        <v>148</v>
      </c>
    </row>
    <row r="60" spans="1:19" x14ac:dyDescent="0.2">
      <c r="A60" s="5">
        <v>41215</v>
      </c>
      <c r="B60" s="17">
        <v>2016</v>
      </c>
      <c r="C60" s="18" t="str">
        <f t="shared" si="2"/>
        <v>Drakes_41215_ZM_low3_0.5736</v>
      </c>
      <c r="D60" s="18" t="s">
        <v>285</v>
      </c>
      <c r="E60" s="70" t="s">
        <v>299</v>
      </c>
      <c r="F60" s="70" t="s">
        <v>288</v>
      </c>
      <c r="G60" s="70">
        <v>1</v>
      </c>
      <c r="H60" s="77" t="s">
        <v>280</v>
      </c>
      <c r="I60" s="70">
        <v>91</v>
      </c>
      <c r="J60" s="70" t="s">
        <v>291</v>
      </c>
      <c r="K60" s="2">
        <f>(VLOOKUP(H60,'functions and szcl estimates'!$A$14:$I$23,4, FALSE))*(('raw data'!I729)^(VLOOKUP('raw data'!H729,'functions and szcl estimates'!$A$14:$I$23, 7, FALSE)))</f>
        <v>18.664983186775448</v>
      </c>
      <c r="L60" s="12">
        <v>0.57361111111111096</v>
      </c>
      <c r="M60" s="8">
        <v>0.41388888888888897</v>
      </c>
      <c r="N60" s="8">
        <f t="shared" si="4"/>
        <v>0.15972222222222199</v>
      </c>
      <c r="O60" s="14">
        <v>21.75</v>
      </c>
      <c r="S60" t="s">
        <v>148</v>
      </c>
    </row>
    <row r="61" spans="1:19" x14ac:dyDescent="0.2">
      <c r="A61" s="5">
        <v>41215</v>
      </c>
      <c r="B61" s="17">
        <v>2016</v>
      </c>
      <c r="C61" s="18" t="str">
        <f t="shared" si="2"/>
        <v>Drakes_41215_ZM_low3_0.5736</v>
      </c>
      <c r="D61" s="18" t="s">
        <v>285</v>
      </c>
      <c r="E61" s="70" t="s">
        <v>299</v>
      </c>
      <c r="F61" s="70" t="s">
        <v>288</v>
      </c>
      <c r="G61" s="70">
        <v>1</v>
      </c>
      <c r="H61" s="77" t="s">
        <v>280</v>
      </c>
      <c r="I61" s="70">
        <v>76</v>
      </c>
      <c r="J61" s="70" t="s">
        <v>292</v>
      </c>
      <c r="K61" s="2">
        <f>(VLOOKUP(H61,'functions and szcl estimates'!$A$14:$I$23,4, FALSE))*(('raw data'!I730)^(VLOOKUP('raw data'!H730,'functions and szcl estimates'!$A$14:$I$23, 7, FALSE)))</f>
        <v>38.509320475803023</v>
      </c>
      <c r="L61" s="12">
        <v>0.57361111111111096</v>
      </c>
      <c r="M61" s="8">
        <v>0.41388888888888897</v>
      </c>
      <c r="N61" s="8">
        <f t="shared" si="4"/>
        <v>0.15972222222222199</v>
      </c>
      <c r="O61" s="14">
        <v>21.75</v>
      </c>
      <c r="S61" t="s">
        <v>148</v>
      </c>
    </row>
    <row r="62" spans="1:19" x14ac:dyDescent="0.2">
      <c r="A62" s="5">
        <v>41215</v>
      </c>
      <c r="B62" s="17">
        <v>2016</v>
      </c>
      <c r="C62" s="18" t="str">
        <f t="shared" si="2"/>
        <v>Drakes_41215_ZM_low3_0.5736</v>
      </c>
      <c r="D62" s="18" t="s">
        <v>285</v>
      </c>
      <c r="E62" s="70" t="s">
        <v>299</v>
      </c>
      <c r="F62" s="70" t="s">
        <v>288</v>
      </c>
      <c r="G62" s="70">
        <v>1</v>
      </c>
      <c r="H62" s="77" t="s">
        <v>280</v>
      </c>
      <c r="I62" s="70">
        <v>92</v>
      </c>
      <c r="J62" s="70" t="s">
        <v>291</v>
      </c>
      <c r="K62" s="2">
        <f>(VLOOKUP(H62,'functions and szcl estimates'!$A$14:$I$23,4, FALSE))*(('raw data'!I731)^(VLOOKUP('raw data'!H731,'functions and szcl estimates'!$A$14:$I$23, 7, FALSE)))</f>
        <v>22.279464918349749</v>
      </c>
      <c r="L62" s="12">
        <v>0.57361111111111096</v>
      </c>
      <c r="M62" s="8">
        <v>0.41388888888888897</v>
      </c>
      <c r="N62" s="8">
        <f t="shared" si="4"/>
        <v>0.15972222222222199</v>
      </c>
      <c r="O62" s="14">
        <v>21.75</v>
      </c>
      <c r="S62" t="s">
        <v>148</v>
      </c>
    </row>
    <row r="63" spans="1:19" x14ac:dyDescent="0.2">
      <c r="A63" s="5">
        <v>41215</v>
      </c>
      <c r="B63" s="17">
        <v>2016</v>
      </c>
      <c r="C63" s="18" t="str">
        <f t="shared" si="2"/>
        <v>Drakes_41215_ZM_low3_0.5736</v>
      </c>
      <c r="D63" s="18" t="s">
        <v>285</v>
      </c>
      <c r="E63" s="70" t="s">
        <v>299</v>
      </c>
      <c r="F63" s="70" t="s">
        <v>288</v>
      </c>
      <c r="G63" s="70">
        <v>1</v>
      </c>
      <c r="H63" s="77" t="s">
        <v>280</v>
      </c>
      <c r="I63" s="70">
        <v>101</v>
      </c>
      <c r="J63" s="70" t="s">
        <v>291</v>
      </c>
      <c r="K63" s="2">
        <f>(VLOOKUP(H63,'functions and szcl estimates'!$A$14:$I$23,4, FALSE))*(('raw data'!I732)^(VLOOKUP('raw data'!H732,'functions and szcl estimates'!$A$14:$I$23, 7, FALSE)))</f>
        <v>24.880227002331193</v>
      </c>
      <c r="L63" s="12">
        <v>0.57361111111111096</v>
      </c>
      <c r="M63" s="8">
        <v>0.41388888888888897</v>
      </c>
      <c r="N63" s="8">
        <f t="shared" si="4"/>
        <v>0.15972222222222199</v>
      </c>
      <c r="O63" s="14">
        <v>21.75</v>
      </c>
      <c r="S63" t="s">
        <v>148</v>
      </c>
    </row>
    <row r="64" spans="1:19" x14ac:dyDescent="0.2">
      <c r="A64" s="5">
        <v>41215</v>
      </c>
      <c r="B64" s="17">
        <v>2016</v>
      </c>
      <c r="C64" s="18" t="str">
        <f t="shared" si="2"/>
        <v>Drakes_41215_ZM_low3_0.5736</v>
      </c>
      <c r="D64" s="18" t="s">
        <v>285</v>
      </c>
      <c r="E64" s="70" t="s">
        <v>299</v>
      </c>
      <c r="F64" s="70" t="s">
        <v>288</v>
      </c>
      <c r="G64" s="70">
        <v>1</v>
      </c>
      <c r="H64" s="77" t="s">
        <v>280</v>
      </c>
      <c r="I64" s="70">
        <v>108</v>
      </c>
      <c r="J64" s="70" t="s">
        <v>291</v>
      </c>
      <c r="K64" s="2">
        <f>(VLOOKUP(H64,'functions and szcl estimates'!$A$14:$I$23,4, FALSE))*(('raw data'!I733)^(VLOOKUP('raw data'!H733,'functions and szcl estimates'!$A$14:$I$23, 7, FALSE)))</f>
        <v>45.595507660572423</v>
      </c>
      <c r="L64" s="12">
        <v>0.57361111111111096</v>
      </c>
      <c r="M64" s="8">
        <v>0.41388888888888897</v>
      </c>
      <c r="N64" s="8">
        <f t="shared" si="4"/>
        <v>0.15972222222222199</v>
      </c>
      <c r="O64" s="14">
        <v>21.75</v>
      </c>
      <c r="S64" t="s">
        <v>148</v>
      </c>
    </row>
    <row r="65" spans="1:21" x14ac:dyDescent="0.2">
      <c r="A65" s="5">
        <v>41215</v>
      </c>
      <c r="B65" s="17">
        <v>2016</v>
      </c>
      <c r="C65" s="18" t="str">
        <f t="shared" si="2"/>
        <v>Drakes_41215_ZM_low3_0.5736</v>
      </c>
      <c r="D65" s="18" t="s">
        <v>285</v>
      </c>
      <c r="E65" s="70" t="s">
        <v>299</v>
      </c>
      <c r="F65" s="70" t="s">
        <v>288</v>
      </c>
      <c r="G65" s="70">
        <v>1</v>
      </c>
      <c r="H65" s="77" t="s">
        <v>280</v>
      </c>
      <c r="I65" s="70">
        <v>90</v>
      </c>
      <c r="J65" s="70" t="s">
        <v>291</v>
      </c>
      <c r="K65" s="2">
        <f>(VLOOKUP(H65,'functions and szcl estimates'!$A$14:$I$23,4, FALSE))*(('raw data'!I734)^(VLOOKUP('raw data'!H734,'functions and szcl estimates'!$A$14:$I$23, 7, FALSE)))</f>
        <v>24.880227002331193</v>
      </c>
      <c r="L65" s="12">
        <v>0.57361111111111096</v>
      </c>
      <c r="M65" s="8">
        <v>0.41388888888888897</v>
      </c>
      <c r="N65" s="8">
        <f t="shared" si="4"/>
        <v>0.15972222222222199</v>
      </c>
      <c r="O65" s="14">
        <v>21.75</v>
      </c>
      <c r="S65" t="s">
        <v>148</v>
      </c>
    </row>
    <row r="66" spans="1:21" x14ac:dyDescent="0.2">
      <c r="A66" s="5">
        <v>41215</v>
      </c>
      <c r="B66" s="17">
        <v>2016</v>
      </c>
      <c r="C66" s="18" t="str">
        <f t="shared" si="2"/>
        <v>Drakes_41215_ZM_low3_0.5736</v>
      </c>
      <c r="D66" s="18" t="s">
        <v>285</v>
      </c>
      <c r="E66" s="70" t="s">
        <v>299</v>
      </c>
      <c r="F66" s="70" t="s">
        <v>288</v>
      </c>
      <c r="G66" s="70">
        <v>1</v>
      </c>
      <c r="H66" s="77" t="s">
        <v>280</v>
      </c>
      <c r="I66" s="70">
        <v>79</v>
      </c>
      <c r="J66" s="70" t="s">
        <v>292</v>
      </c>
      <c r="K66" s="2">
        <f>(VLOOKUP(H66,'functions and szcl estimates'!$A$14:$I$23,4, FALSE))*(('raw data'!I735)^(VLOOKUP('raw data'!H735,'functions and szcl estimates'!$A$14:$I$23, 7, FALSE)))</f>
        <v>27.635286078403688</v>
      </c>
      <c r="L66" s="12">
        <v>0.57361111111111096</v>
      </c>
      <c r="M66" s="8">
        <v>0.41388888888888897</v>
      </c>
      <c r="N66" s="8">
        <f t="shared" si="4"/>
        <v>0.15972222222222199</v>
      </c>
      <c r="O66" s="14">
        <v>21.75</v>
      </c>
      <c r="S66" t="s">
        <v>148</v>
      </c>
    </row>
    <row r="67" spans="1:21" x14ac:dyDescent="0.2">
      <c r="A67" s="5">
        <v>41215</v>
      </c>
      <c r="B67" s="17">
        <v>2016</v>
      </c>
      <c r="C67" s="18" t="str">
        <f t="shared" ref="C67:C130" si="5">CONCATENATE(D67,"_",A67,"_",E67,"_",ROUND(L67,4))</f>
        <v>Drakes_41215_ZM_low3_0.5736</v>
      </c>
      <c r="D67" s="18" t="s">
        <v>285</v>
      </c>
      <c r="E67" s="70" t="s">
        <v>299</v>
      </c>
      <c r="F67" s="70" t="s">
        <v>288</v>
      </c>
      <c r="G67" s="70">
        <v>1</v>
      </c>
      <c r="H67" s="77" t="s">
        <v>280</v>
      </c>
      <c r="I67" s="70">
        <v>85</v>
      </c>
      <c r="J67" s="70" t="s">
        <v>291</v>
      </c>
      <c r="K67" s="2">
        <f>(VLOOKUP(H67,'functions and szcl estimates'!$A$14:$I$23,4, FALSE))*(('raw data'!I736)^(VLOOKUP('raw data'!H736,'functions and szcl estimates'!$A$14:$I$23, 7, FALSE)))</f>
        <v>26.238396261631905</v>
      </c>
      <c r="L67" s="12">
        <v>0.57361111111111096</v>
      </c>
      <c r="M67" s="8">
        <v>0.41388888888888897</v>
      </c>
      <c r="N67" s="8">
        <f t="shared" si="4"/>
        <v>0.15972222222222199</v>
      </c>
      <c r="O67" s="14">
        <v>21.75</v>
      </c>
      <c r="S67" t="s">
        <v>148</v>
      </c>
    </row>
    <row r="68" spans="1:21" x14ac:dyDescent="0.2">
      <c r="A68" s="5">
        <v>41215</v>
      </c>
      <c r="B68" s="17">
        <v>2016</v>
      </c>
      <c r="C68" s="18" t="str">
        <f t="shared" si="5"/>
        <v>Drakes_41215_ZM_low3_0.5736</v>
      </c>
      <c r="D68" s="18" t="s">
        <v>285</v>
      </c>
      <c r="E68" s="70" t="s">
        <v>299</v>
      </c>
      <c r="F68" s="70" t="s">
        <v>288</v>
      </c>
      <c r="G68" s="70">
        <v>1</v>
      </c>
      <c r="H68" s="77" t="s">
        <v>280</v>
      </c>
      <c r="I68" s="70">
        <v>95</v>
      </c>
      <c r="J68" s="70" t="s">
        <v>292</v>
      </c>
      <c r="K68" s="2">
        <f>(VLOOKUP(H68,'functions and szcl estimates'!$A$14:$I$23,4, FALSE))*(('raw data'!I737)^(VLOOKUP('raw data'!H737,'functions and szcl estimates'!$A$14:$I$23, 7, FALSE)))</f>
        <v>40.220881683678165</v>
      </c>
      <c r="L68" s="12">
        <v>0.57361111111111096</v>
      </c>
      <c r="M68" s="8">
        <v>0.41388888888888897</v>
      </c>
      <c r="N68" s="8">
        <f t="shared" si="4"/>
        <v>0.15972222222222199</v>
      </c>
      <c r="O68" s="14">
        <v>21.75</v>
      </c>
      <c r="S68" t="s">
        <v>148</v>
      </c>
    </row>
    <row r="69" spans="1:21" x14ac:dyDescent="0.2">
      <c r="A69" s="5">
        <v>41215</v>
      </c>
      <c r="B69" s="17">
        <v>2016</v>
      </c>
      <c r="C69" s="18" t="str">
        <f t="shared" si="5"/>
        <v>Drakes_41215_ZM_low3_0.5736</v>
      </c>
      <c r="D69" s="18" t="s">
        <v>285</v>
      </c>
      <c r="E69" s="70" t="s">
        <v>299</v>
      </c>
      <c r="F69" s="70" t="s">
        <v>288</v>
      </c>
      <c r="G69" s="70">
        <v>1</v>
      </c>
      <c r="H69" s="77" t="s">
        <v>280</v>
      </c>
      <c r="I69" s="70">
        <v>80</v>
      </c>
      <c r="J69" s="70" t="s">
        <v>292</v>
      </c>
      <c r="K69" s="2">
        <f>(VLOOKUP(H69,'functions and szcl estimates'!$A$14:$I$23,4, FALSE))*(('raw data'!I738)^(VLOOKUP('raw data'!H738,'functions and szcl estimates'!$A$14:$I$23, 7, FALSE)))</f>
        <v>53.325921132174116</v>
      </c>
      <c r="L69" s="12">
        <v>0.57361111111111096</v>
      </c>
      <c r="M69" s="8">
        <v>0.41388888888888897</v>
      </c>
      <c r="N69" s="8">
        <f t="shared" si="4"/>
        <v>0.15972222222222199</v>
      </c>
      <c r="O69" s="14">
        <v>21.75</v>
      </c>
      <c r="S69" t="s">
        <v>148</v>
      </c>
    </row>
    <row r="70" spans="1:21" x14ac:dyDescent="0.2">
      <c r="A70" s="4">
        <v>39626</v>
      </c>
      <c r="B70" s="17">
        <v>2012</v>
      </c>
      <c r="C70" s="18" t="str">
        <f t="shared" si="5"/>
        <v>Elkhorn Slough_39626_Seal Bend_0</v>
      </c>
      <c r="D70" s="4" t="s">
        <v>45</v>
      </c>
      <c r="E70" s="2" t="s">
        <v>124</v>
      </c>
      <c r="F70" s="70" t="s">
        <v>288</v>
      </c>
      <c r="G70" s="70">
        <v>1</v>
      </c>
      <c r="H70" s="80" t="s">
        <v>165</v>
      </c>
      <c r="I70" s="2">
        <v>36</v>
      </c>
      <c r="J70" s="70" t="s">
        <v>289</v>
      </c>
      <c r="K70" s="2">
        <f>(VLOOKUP(H70,'functions and szcl estimates'!$A$14:$I$23,4, FALSE))*(('raw data'!I739)^(VLOOKUP('raw data'!H739,'functions and szcl estimates'!$A$14:$I$23, 7, FALSE)))</f>
        <v>59.550847730824934</v>
      </c>
      <c r="L70" s="11"/>
      <c r="M70" s="11"/>
      <c r="N70" s="11"/>
      <c r="O70" s="64">
        <v>20</v>
      </c>
      <c r="P70" s="2">
        <f>COUNT(I70:I82)</f>
        <v>13</v>
      </c>
      <c r="Q70" s="64" t="e">
        <f>SUM(K70:K82)</f>
        <v>#VALUE!</v>
      </c>
      <c r="R70" s="2">
        <f>P70/O70</f>
        <v>0.65</v>
      </c>
      <c r="S70" t="s">
        <v>166</v>
      </c>
      <c r="T70" s="1"/>
      <c r="U70" s="1"/>
    </row>
    <row r="71" spans="1:21" x14ac:dyDescent="0.2">
      <c r="A71" s="4">
        <v>39626</v>
      </c>
      <c r="B71" s="17">
        <v>2012</v>
      </c>
      <c r="C71" s="18" t="str">
        <f t="shared" si="5"/>
        <v>Elkhorn Slough_39626_Seal Bend_0</v>
      </c>
      <c r="D71" s="4" t="s">
        <v>45</v>
      </c>
      <c r="E71" s="2" t="s">
        <v>167</v>
      </c>
      <c r="F71" s="70" t="s">
        <v>288</v>
      </c>
      <c r="G71" s="70">
        <v>1</v>
      </c>
      <c r="H71" s="80" t="s">
        <v>226</v>
      </c>
      <c r="I71" s="2">
        <v>50</v>
      </c>
      <c r="J71" s="70" t="s">
        <v>289</v>
      </c>
      <c r="K71" s="2" t="e">
        <f>(VLOOKUP(H71,'functions and szcl estimates'!$A$14:$I$23,4, FALSE))*(('raw data'!I3)^(VLOOKUP('raw data'!H3,'functions and szcl estimates'!$A$14:$I$23, 7, FALSE)))</f>
        <v>#VALUE!</v>
      </c>
      <c r="L71" s="11"/>
      <c r="M71" s="11"/>
      <c r="N71" s="11"/>
      <c r="O71" s="64">
        <v>20</v>
      </c>
      <c r="P71" s="2"/>
      <c r="Q71" s="64"/>
      <c r="R71" s="2"/>
      <c r="S71" t="s">
        <v>166</v>
      </c>
      <c r="T71" s="1"/>
      <c r="U71" s="1"/>
    </row>
    <row r="72" spans="1:21" x14ac:dyDescent="0.2">
      <c r="A72" s="4">
        <v>39626</v>
      </c>
      <c r="B72" s="17">
        <v>2012</v>
      </c>
      <c r="C72" s="18" t="str">
        <f t="shared" si="5"/>
        <v>Elkhorn Slough_39626_Seal Bend_0</v>
      </c>
      <c r="D72" s="4" t="s">
        <v>45</v>
      </c>
      <c r="E72" s="2" t="s">
        <v>167</v>
      </c>
      <c r="F72" s="70" t="s">
        <v>288</v>
      </c>
      <c r="G72" s="70">
        <v>1</v>
      </c>
      <c r="H72" s="80" t="s">
        <v>226</v>
      </c>
      <c r="I72" s="2">
        <v>52</v>
      </c>
      <c r="J72" s="70" t="s">
        <v>289</v>
      </c>
      <c r="K72" s="2" t="e">
        <f>(VLOOKUP(H72,'functions and szcl estimates'!$A$14:$I$23,4, FALSE))*(('raw data'!I4)^(VLOOKUP('raw data'!H4,'functions and szcl estimates'!$A$14:$I$23, 7, FALSE)))</f>
        <v>#VALUE!</v>
      </c>
      <c r="L72" s="11"/>
      <c r="M72" s="11"/>
      <c r="N72" s="11"/>
      <c r="O72" s="64">
        <v>20</v>
      </c>
      <c r="P72" s="2"/>
      <c r="Q72" s="64"/>
      <c r="R72" s="2"/>
      <c r="S72" t="s">
        <v>166</v>
      </c>
      <c r="T72" s="1"/>
      <c r="U72" s="1"/>
    </row>
    <row r="73" spans="1:21" x14ac:dyDescent="0.2">
      <c r="A73" s="4">
        <v>39626</v>
      </c>
      <c r="B73" s="17">
        <v>2012</v>
      </c>
      <c r="C73" s="18" t="str">
        <f t="shared" si="5"/>
        <v>Elkhorn Slough_39626_Seal Bend_0</v>
      </c>
      <c r="D73" s="4" t="s">
        <v>45</v>
      </c>
      <c r="E73" s="2" t="s">
        <v>167</v>
      </c>
      <c r="F73" s="70" t="s">
        <v>288</v>
      </c>
      <c r="G73" s="70">
        <v>1</v>
      </c>
      <c r="H73" s="80" t="s">
        <v>226</v>
      </c>
      <c r="I73" s="2">
        <v>68</v>
      </c>
      <c r="J73" s="70" t="s">
        <v>289</v>
      </c>
      <c r="K73" s="2" t="e">
        <f>(VLOOKUP(H73,'functions and szcl estimates'!$A$14:$I$23,4, FALSE))*(('raw data'!I5)^(VLOOKUP('raw data'!H5,'functions and szcl estimates'!$A$14:$I$23, 7, FALSE)))</f>
        <v>#VALUE!</v>
      </c>
      <c r="L73" s="11"/>
      <c r="M73" s="11"/>
      <c r="N73" s="11"/>
      <c r="O73" s="64">
        <v>20</v>
      </c>
      <c r="P73" s="2"/>
      <c r="Q73" s="64"/>
      <c r="R73" s="2"/>
      <c r="S73" t="s">
        <v>166</v>
      </c>
      <c r="T73" s="1"/>
      <c r="U73" s="1"/>
    </row>
    <row r="74" spans="1:21" x14ac:dyDescent="0.2">
      <c r="A74" s="4">
        <v>39626</v>
      </c>
      <c r="B74" s="17">
        <v>2012</v>
      </c>
      <c r="C74" s="18" t="str">
        <f t="shared" si="5"/>
        <v>Elkhorn Slough_39626_Seal Bend_0</v>
      </c>
      <c r="D74" s="4" t="s">
        <v>45</v>
      </c>
      <c r="E74" s="2" t="s">
        <v>167</v>
      </c>
      <c r="F74" s="70" t="s">
        <v>288</v>
      </c>
      <c r="G74" s="70">
        <v>1</v>
      </c>
      <c r="H74" s="80" t="s">
        <v>226</v>
      </c>
      <c r="I74" s="2">
        <v>48</v>
      </c>
      <c r="J74" s="70" t="s">
        <v>289</v>
      </c>
      <c r="K74" s="2" t="e">
        <f>(VLOOKUP(H74,'functions and szcl estimates'!$A$14:$I$23,4, FALSE))*(('raw data'!I6)^(VLOOKUP('raw data'!H6,'functions and szcl estimates'!$A$14:$I$23, 7, FALSE)))</f>
        <v>#VALUE!</v>
      </c>
      <c r="L74" s="11"/>
      <c r="M74" s="11"/>
      <c r="N74" s="11"/>
      <c r="O74" s="64">
        <v>20</v>
      </c>
      <c r="P74" s="2"/>
      <c r="Q74" s="64"/>
      <c r="R74" s="2"/>
      <c r="S74" t="s">
        <v>166</v>
      </c>
      <c r="T74" s="1"/>
      <c r="U74" s="1"/>
    </row>
    <row r="75" spans="1:21" x14ac:dyDescent="0.2">
      <c r="A75" s="4">
        <v>39626</v>
      </c>
      <c r="B75" s="17">
        <v>2012</v>
      </c>
      <c r="C75" s="18" t="str">
        <f t="shared" si="5"/>
        <v>Elkhorn Slough_39626_Crop Circles_0</v>
      </c>
      <c r="D75" s="4" t="s">
        <v>45</v>
      </c>
      <c r="E75" s="2" t="s">
        <v>160</v>
      </c>
      <c r="F75" s="70" t="s">
        <v>288</v>
      </c>
      <c r="G75" s="70">
        <v>1</v>
      </c>
      <c r="H75" s="80" t="s">
        <v>226</v>
      </c>
      <c r="I75" s="2">
        <v>48</v>
      </c>
      <c r="J75" s="70" t="s">
        <v>289</v>
      </c>
      <c r="K75" s="2" t="e">
        <f>(VLOOKUP(H75,'functions and szcl estimates'!$A$14:$I$23,4, FALSE))*(('raw data'!I15)^(VLOOKUP('raw data'!H15,'functions and szcl estimates'!$A$14:$I$23, 7, FALSE)))</f>
        <v>#VALUE!</v>
      </c>
      <c r="L75" s="11"/>
      <c r="M75" s="11"/>
      <c r="N75" s="11"/>
      <c r="O75" s="64">
        <v>20</v>
      </c>
      <c r="P75" s="2">
        <f>COUNT(I75:I76)</f>
        <v>2</v>
      </c>
      <c r="Q75" s="64" t="e">
        <f>SUM(K75:K76)</f>
        <v>#VALUE!</v>
      </c>
      <c r="R75" s="2">
        <f>P75/O75</f>
        <v>0.1</v>
      </c>
      <c r="S75" t="s">
        <v>166</v>
      </c>
      <c r="T75" s="1"/>
      <c r="U75" s="1"/>
    </row>
    <row r="76" spans="1:21" x14ac:dyDescent="0.2">
      <c r="A76" s="5">
        <v>39627</v>
      </c>
      <c r="B76" s="17">
        <v>2012</v>
      </c>
      <c r="C76" s="18" t="str">
        <f t="shared" si="5"/>
        <v>Elkhorn Slough_39627_Seal Bend_0</v>
      </c>
      <c r="D76" s="4" t="s">
        <v>45</v>
      </c>
      <c r="E76" t="s">
        <v>167</v>
      </c>
      <c r="F76" s="70" t="s">
        <v>288</v>
      </c>
      <c r="G76" s="70">
        <v>1</v>
      </c>
      <c r="H76" s="81" t="s">
        <v>147</v>
      </c>
      <c r="I76" s="68">
        <v>52</v>
      </c>
      <c r="J76" s="70" t="s">
        <v>289</v>
      </c>
      <c r="K76" s="2">
        <f>(VLOOKUP(H76,'functions and szcl estimates'!$A$14:$I$23,4, FALSE))*(('raw data'!I17)^(VLOOKUP('raw data'!H17,'functions and szcl estimates'!$A$14:$I$23, 7, FALSE)))</f>
        <v>91.970785651536119</v>
      </c>
      <c r="O76" s="14">
        <v>24</v>
      </c>
      <c r="P76" s="2">
        <f>COUNT(I76:I77)</f>
        <v>2</v>
      </c>
      <c r="Q76" s="64">
        <f>SUM(K76:K77)</f>
        <v>181.1544767490679</v>
      </c>
      <c r="R76" s="2">
        <f>P76/O76</f>
        <v>8.3333333333333329E-2</v>
      </c>
      <c r="S76" t="s">
        <v>166</v>
      </c>
      <c r="T76" t="s">
        <v>201</v>
      </c>
    </row>
    <row r="77" spans="1:21" x14ac:dyDescent="0.2">
      <c r="A77" s="5">
        <v>39627</v>
      </c>
      <c r="B77" s="17">
        <v>2012</v>
      </c>
      <c r="C77" s="18" t="str">
        <f t="shared" si="5"/>
        <v>Elkhorn Slough_39627_Seal Bend_0</v>
      </c>
      <c r="D77" s="4" t="s">
        <v>45</v>
      </c>
      <c r="E77" t="s">
        <v>167</v>
      </c>
      <c r="F77" s="70" t="s">
        <v>288</v>
      </c>
      <c r="G77" s="70">
        <v>1</v>
      </c>
      <c r="H77" s="81" t="s">
        <v>147</v>
      </c>
      <c r="I77" s="68">
        <v>46</v>
      </c>
      <c r="J77" s="70" t="s">
        <v>289</v>
      </c>
      <c r="K77" s="2">
        <f>(VLOOKUP(H77,'functions and szcl estimates'!$A$14:$I$23,4, FALSE))*(('raw data'!I18)^(VLOOKUP('raw data'!H18,'functions and szcl estimates'!$A$14:$I$23, 7, FALSE)))</f>
        <v>89.183691097531778</v>
      </c>
      <c r="O77" s="14">
        <v>24</v>
      </c>
      <c r="S77" t="s">
        <v>166</v>
      </c>
      <c r="T77" t="s">
        <v>201</v>
      </c>
    </row>
    <row r="78" spans="1:21" x14ac:dyDescent="0.2">
      <c r="A78" s="5">
        <v>39633</v>
      </c>
      <c r="B78" s="17">
        <v>2012</v>
      </c>
      <c r="C78" s="18" t="str">
        <f t="shared" si="5"/>
        <v>Elkhorn Slough_39633_Crop Circles_0</v>
      </c>
      <c r="D78" s="4" t="s">
        <v>45</v>
      </c>
      <c r="E78" t="s">
        <v>160</v>
      </c>
      <c r="F78" s="70" t="s">
        <v>288</v>
      </c>
      <c r="G78" s="70">
        <v>1</v>
      </c>
      <c r="H78" s="79" t="s">
        <v>226</v>
      </c>
      <c r="I78">
        <v>43</v>
      </c>
      <c r="J78" s="70" t="s">
        <v>289</v>
      </c>
      <c r="K78" s="2">
        <f>(VLOOKUP(H78,'functions and szcl estimates'!$A$14:$I$23,4, FALSE))*(('raw data'!I27)^(VLOOKUP('raw data'!H27,'functions and szcl estimates'!$A$14:$I$23, 7, FALSE)))</f>
        <v>103.58312786768673</v>
      </c>
      <c r="O78" s="14">
        <v>168</v>
      </c>
      <c r="S78" t="s">
        <v>141</v>
      </c>
    </row>
    <row r="79" spans="1:21" x14ac:dyDescent="0.2">
      <c r="A79" s="5">
        <v>39635</v>
      </c>
      <c r="B79" s="17">
        <v>2012</v>
      </c>
      <c r="C79" s="18" t="str">
        <f t="shared" si="5"/>
        <v>Elkhorn Slough_39635_Crop Circles_0</v>
      </c>
      <c r="D79" s="4" t="s">
        <v>45</v>
      </c>
      <c r="E79" t="s">
        <v>160</v>
      </c>
      <c r="F79" s="70" t="s">
        <v>288</v>
      </c>
      <c r="G79" s="70">
        <v>1</v>
      </c>
      <c r="H79" s="79" t="s">
        <v>226</v>
      </c>
      <c r="I79">
        <v>48</v>
      </c>
      <c r="J79" s="70" t="s">
        <v>289</v>
      </c>
      <c r="K79" s="2">
        <f>(VLOOKUP(H79,'functions and szcl estimates'!$A$14:$I$23,4, FALSE))*(('raw data'!I29)^(VLOOKUP('raw data'!H29,'functions and szcl estimates'!$A$14:$I$23, 7, FALSE)))</f>
        <v>83.74791776823983</v>
      </c>
      <c r="O79" s="14">
        <v>24</v>
      </c>
      <c r="P79" s="2">
        <f>COUNT(I79:I82)</f>
        <v>4</v>
      </c>
      <c r="Q79" s="64">
        <f>SUM(K79:K82)</f>
        <v>467.61653083606234</v>
      </c>
      <c r="R79" s="2">
        <f>P79/O79</f>
        <v>0.16666666666666666</v>
      </c>
      <c r="S79" t="s">
        <v>166</v>
      </c>
    </row>
    <row r="80" spans="1:21" x14ac:dyDescent="0.2">
      <c r="A80" s="5">
        <v>39635</v>
      </c>
      <c r="B80" s="17">
        <v>2012</v>
      </c>
      <c r="C80" s="18" t="str">
        <f t="shared" si="5"/>
        <v>Elkhorn Slough_39635_Outfall_0</v>
      </c>
      <c r="D80" s="4" t="s">
        <v>45</v>
      </c>
      <c r="E80" t="s">
        <v>26</v>
      </c>
      <c r="F80" s="70" t="s">
        <v>288</v>
      </c>
      <c r="G80" s="70">
        <v>1</v>
      </c>
      <c r="H80" s="79" t="s">
        <v>27</v>
      </c>
      <c r="I80">
        <v>54</v>
      </c>
      <c r="J80" s="70" t="s">
        <v>289</v>
      </c>
      <c r="K80" s="2">
        <f>(VLOOKUP(H80,'functions and szcl estimates'!$A$14:$I$23,4, FALSE))*(('raw data'!I36)^(VLOOKUP('raw data'!H36,'functions and szcl estimates'!$A$14:$I$23, 7, FALSE)))</f>
        <v>125.70734345756537</v>
      </c>
      <c r="O80" s="14">
        <v>24</v>
      </c>
      <c r="P80" s="2">
        <f>COUNT(I80:I99)</f>
        <v>20</v>
      </c>
      <c r="Q80" s="64">
        <f>SUM(K80:K99)</f>
        <v>2364.9100157347189</v>
      </c>
      <c r="R80" s="2">
        <f>P80/O80</f>
        <v>0.83333333333333337</v>
      </c>
      <c r="S80" t="s">
        <v>19</v>
      </c>
    </row>
    <row r="81" spans="1:20" x14ac:dyDescent="0.2">
      <c r="A81" s="5">
        <v>39635</v>
      </c>
      <c r="B81" s="17">
        <v>2012</v>
      </c>
      <c r="C81" s="18" t="str">
        <f t="shared" si="5"/>
        <v>Elkhorn Slough_39635_Outfall_0</v>
      </c>
      <c r="D81" s="4" t="s">
        <v>45</v>
      </c>
      <c r="E81" t="s">
        <v>20</v>
      </c>
      <c r="F81" s="70" t="s">
        <v>288</v>
      </c>
      <c r="G81" s="70">
        <v>1</v>
      </c>
      <c r="H81" s="79" t="s">
        <v>21</v>
      </c>
      <c r="I81">
        <v>67</v>
      </c>
      <c r="J81" s="70" t="s">
        <v>289</v>
      </c>
      <c r="K81" s="2">
        <f>(VLOOKUP(H81,'functions and szcl estimates'!$A$14:$I$23,4, FALSE))*(('raw data'!I37)^(VLOOKUP('raw data'!H37,'functions and szcl estimates'!$A$14:$I$23, 7, FALSE)))</f>
        <v>125.70734345756537</v>
      </c>
      <c r="O81" s="14">
        <v>24</v>
      </c>
      <c r="S81" t="s">
        <v>19</v>
      </c>
    </row>
    <row r="82" spans="1:20" x14ac:dyDescent="0.2">
      <c r="A82" s="5">
        <v>39635</v>
      </c>
      <c r="B82" s="17">
        <v>2012</v>
      </c>
      <c r="C82" s="18" t="str">
        <f t="shared" si="5"/>
        <v>Elkhorn Slough_39635_Outfall_0</v>
      </c>
      <c r="D82" s="4" t="s">
        <v>45</v>
      </c>
      <c r="E82" t="s">
        <v>20</v>
      </c>
      <c r="F82" s="70" t="s">
        <v>288</v>
      </c>
      <c r="G82" s="70">
        <v>1</v>
      </c>
      <c r="H82" s="79" t="s">
        <v>21</v>
      </c>
      <c r="I82">
        <v>71</v>
      </c>
      <c r="J82" s="70" t="s">
        <v>289</v>
      </c>
      <c r="K82" s="2">
        <f>(VLOOKUP(H82,'functions and szcl estimates'!$A$14:$I$23,4, FALSE))*(('raw data'!I38)^(VLOOKUP('raw data'!H38,'functions and szcl estimates'!$A$14:$I$23, 7, FALSE)))</f>
        <v>132.45392615269182</v>
      </c>
      <c r="O82" s="14">
        <v>24</v>
      </c>
      <c r="S82" t="s">
        <v>19</v>
      </c>
    </row>
    <row r="83" spans="1:20" x14ac:dyDescent="0.2">
      <c r="A83" s="5">
        <v>39635</v>
      </c>
      <c r="B83" s="17">
        <v>2012</v>
      </c>
      <c r="C83" s="18" t="str">
        <f t="shared" si="5"/>
        <v>Elkhorn Slough_39635_Outfall_0</v>
      </c>
      <c r="D83" s="4" t="s">
        <v>45</v>
      </c>
      <c r="E83" t="s">
        <v>20</v>
      </c>
      <c r="F83" s="70" t="s">
        <v>288</v>
      </c>
      <c r="G83" s="70">
        <v>1</v>
      </c>
      <c r="H83" s="79" t="s">
        <v>21</v>
      </c>
      <c r="I83">
        <v>71</v>
      </c>
      <c r="J83" s="70" t="s">
        <v>289</v>
      </c>
      <c r="K83" s="2">
        <f>(VLOOKUP(H83,'functions and szcl estimates'!$A$14:$I$23,4, FALSE))*(('raw data'!I39)^(VLOOKUP('raw data'!H39,'functions and szcl estimates'!$A$14:$I$23, 7, FALSE)))</f>
        <v>83.74791776823983</v>
      </c>
      <c r="O83" s="14">
        <v>24</v>
      </c>
      <c r="S83" t="s">
        <v>19</v>
      </c>
    </row>
    <row r="84" spans="1:20" x14ac:dyDescent="0.2">
      <c r="A84" s="5">
        <v>39635</v>
      </c>
      <c r="B84" s="17">
        <v>2012</v>
      </c>
      <c r="C84" s="18" t="str">
        <f t="shared" si="5"/>
        <v>Elkhorn Slough_39635_Outfall_0</v>
      </c>
      <c r="D84" s="4" t="s">
        <v>45</v>
      </c>
      <c r="E84" t="s">
        <v>20</v>
      </c>
      <c r="F84" s="70" t="s">
        <v>288</v>
      </c>
      <c r="G84" s="70">
        <v>1</v>
      </c>
      <c r="H84" s="79" t="s">
        <v>21</v>
      </c>
      <c r="I84">
        <v>71</v>
      </c>
      <c r="J84" s="70" t="s">
        <v>289</v>
      </c>
      <c r="K84" s="2">
        <f>(VLOOKUP(H84,'functions and szcl estimates'!$A$14:$I$23,4, FALSE))*(('raw data'!I40)^(VLOOKUP('raw data'!H40,'functions and szcl estimates'!$A$14:$I$23, 7, FALSE)))</f>
        <v>100.61023055570388</v>
      </c>
      <c r="O84" s="14">
        <v>24</v>
      </c>
      <c r="S84" t="s">
        <v>19</v>
      </c>
    </row>
    <row r="85" spans="1:20" x14ac:dyDescent="0.2">
      <c r="A85" s="9">
        <v>39635</v>
      </c>
      <c r="B85" s="17">
        <v>2012</v>
      </c>
      <c r="C85" s="18" t="str">
        <f t="shared" si="5"/>
        <v>Elkhorn Slough_39635_Outfall_0</v>
      </c>
      <c r="D85" s="4" t="s">
        <v>45</v>
      </c>
      <c r="E85" t="s">
        <v>20</v>
      </c>
      <c r="F85" s="70" t="s">
        <v>288</v>
      </c>
      <c r="G85" s="70">
        <v>1</v>
      </c>
      <c r="H85" s="79" t="s">
        <v>21</v>
      </c>
      <c r="I85">
        <v>75</v>
      </c>
      <c r="J85" s="70" t="s">
        <v>289</v>
      </c>
      <c r="K85" s="2">
        <f>(VLOOKUP(H85,'functions and szcl estimates'!$A$14:$I$23,4, FALSE))*(('raw data'!I41)^(VLOOKUP('raw data'!H41,'functions and szcl estimates'!$A$14:$I$23, 7, FALSE)))</f>
        <v>135.89860660221942</v>
      </c>
      <c r="O85" s="14">
        <v>24</v>
      </c>
      <c r="S85" t="s">
        <v>19</v>
      </c>
    </row>
    <row r="86" spans="1:20" x14ac:dyDescent="0.2">
      <c r="A86" s="9">
        <v>39635</v>
      </c>
      <c r="B86" s="17">
        <v>2012</v>
      </c>
      <c r="C86" s="18" t="str">
        <f t="shared" si="5"/>
        <v>Elkhorn Slough_39635_Outfall_0</v>
      </c>
      <c r="D86" s="4" t="s">
        <v>45</v>
      </c>
      <c r="E86" t="s">
        <v>20</v>
      </c>
      <c r="F86" s="70" t="s">
        <v>288</v>
      </c>
      <c r="G86" s="70">
        <v>1</v>
      </c>
      <c r="H86" s="79" t="s">
        <v>21</v>
      </c>
      <c r="I86">
        <v>77</v>
      </c>
      <c r="J86" s="70" t="s">
        <v>289</v>
      </c>
      <c r="K86" s="2">
        <f>(VLOOKUP(H86,'functions and szcl estimates'!$A$14:$I$23,4, FALSE))*(('raw data'!I42)^(VLOOKUP('raw data'!H42,'functions and szcl estimates'!$A$14:$I$23, 7, FALSE)))</f>
        <v>197.56580496823534</v>
      </c>
      <c r="O86" s="14">
        <v>24</v>
      </c>
      <c r="S86" t="s">
        <v>19</v>
      </c>
    </row>
    <row r="87" spans="1:20" x14ac:dyDescent="0.2">
      <c r="A87" s="9">
        <v>39635</v>
      </c>
      <c r="B87" s="17">
        <v>2012</v>
      </c>
      <c r="C87" s="18" t="str">
        <f t="shared" si="5"/>
        <v>Elkhorn Slough_39635_Outfall_0</v>
      </c>
      <c r="D87" s="4" t="s">
        <v>45</v>
      </c>
      <c r="E87" t="s">
        <v>20</v>
      </c>
      <c r="F87" s="70" t="s">
        <v>288</v>
      </c>
      <c r="G87" s="70">
        <v>1</v>
      </c>
      <c r="H87" s="79" t="s">
        <v>21</v>
      </c>
      <c r="I87">
        <v>78</v>
      </c>
      <c r="J87" s="70" t="s">
        <v>289</v>
      </c>
      <c r="K87" s="2">
        <f>(VLOOKUP(H87,'functions and szcl estimates'!$A$14:$I$23,4, FALSE))*(('raw data'!I43)^(VLOOKUP('raw data'!H43,'functions and szcl estimates'!$A$14:$I$23, 7, FALSE)))</f>
        <v>169.05932792904659</v>
      </c>
      <c r="O87" s="14">
        <v>24</v>
      </c>
      <c r="S87" t="s">
        <v>19</v>
      </c>
    </row>
    <row r="88" spans="1:20" x14ac:dyDescent="0.2">
      <c r="A88" s="5">
        <v>39635</v>
      </c>
      <c r="B88" s="17">
        <v>2012</v>
      </c>
      <c r="C88" s="18" t="str">
        <f t="shared" si="5"/>
        <v>Elkhorn Slough_39635_Outfall_0</v>
      </c>
      <c r="D88" s="4" t="s">
        <v>45</v>
      </c>
      <c r="E88" t="s">
        <v>20</v>
      </c>
      <c r="F88" s="70" t="s">
        <v>288</v>
      </c>
      <c r="G88" s="70">
        <v>1</v>
      </c>
      <c r="H88" s="79" t="s">
        <v>21</v>
      </c>
      <c r="I88">
        <v>85</v>
      </c>
      <c r="J88" s="70" t="s">
        <v>289</v>
      </c>
      <c r="K88" s="2">
        <f>(VLOOKUP(H88,'functions and szcl estimates'!$A$14:$I$23,4, FALSE))*(('raw data'!I44)^(VLOOKUP('raw data'!H44,'functions and szcl estimates'!$A$14:$I$23, 7, FALSE)))</f>
        <v>112.78255304136634</v>
      </c>
      <c r="O88" s="14">
        <v>24</v>
      </c>
      <c r="S88" t="s">
        <v>19</v>
      </c>
    </row>
    <row r="89" spans="1:20" x14ac:dyDescent="0.2">
      <c r="A89" s="5">
        <v>39635</v>
      </c>
      <c r="B89" s="17">
        <v>2012</v>
      </c>
      <c r="C89" s="18" t="str">
        <f t="shared" si="5"/>
        <v>Elkhorn Slough_39635_Outfall_0</v>
      </c>
      <c r="D89" s="4" t="s">
        <v>45</v>
      </c>
      <c r="E89" t="s">
        <v>20</v>
      </c>
      <c r="F89" s="70" t="s">
        <v>288</v>
      </c>
      <c r="G89" s="70">
        <v>1</v>
      </c>
      <c r="H89" s="79" t="s">
        <v>21</v>
      </c>
      <c r="I89">
        <v>105</v>
      </c>
      <c r="J89" s="70" t="s">
        <v>289</v>
      </c>
      <c r="K89" s="2">
        <f>(VLOOKUP(H89,'functions and szcl estimates'!$A$14:$I$23,4, FALSE))*(('raw data'!I45)^(VLOOKUP('raw data'!H45,'functions and szcl estimates'!$A$14:$I$23, 7, FALSE)))</f>
        <v>75.93858984623067</v>
      </c>
      <c r="O89" s="14">
        <v>24</v>
      </c>
      <c r="S89" t="s">
        <v>19</v>
      </c>
    </row>
    <row r="90" spans="1:20" x14ac:dyDescent="0.2">
      <c r="A90" s="5">
        <v>39637</v>
      </c>
      <c r="B90" s="17">
        <v>2012</v>
      </c>
      <c r="C90" s="18" t="str">
        <f t="shared" si="5"/>
        <v>Elkhorn Slough_39637_Outfall_0</v>
      </c>
      <c r="D90" s="4" t="s">
        <v>45</v>
      </c>
      <c r="E90" t="s">
        <v>206</v>
      </c>
      <c r="F90" s="70" t="s">
        <v>288</v>
      </c>
      <c r="G90" s="70">
        <v>1</v>
      </c>
      <c r="H90" s="79" t="s">
        <v>143</v>
      </c>
      <c r="I90">
        <v>95</v>
      </c>
      <c r="J90" s="70" t="s">
        <v>289</v>
      </c>
      <c r="K90" s="2">
        <f>(VLOOKUP(H90,'functions and szcl estimates'!$A$14:$I$23,4, FALSE))*(('raw data'!I68)^(VLOOKUP('raw data'!H68,'functions and szcl estimates'!$A$14:$I$23, 7, FALSE)))</f>
        <v>172.98536836485599</v>
      </c>
      <c r="O90" s="14">
        <v>48</v>
      </c>
      <c r="P90" s="2">
        <f>COUNT(I90:I104)</f>
        <v>15</v>
      </c>
      <c r="Q90" s="64">
        <f>SUM(K90:K104)</f>
        <v>1497.7771344663802</v>
      </c>
      <c r="R90" s="2">
        <f>P90/O90</f>
        <v>0.3125</v>
      </c>
      <c r="S90" t="s">
        <v>166</v>
      </c>
    </row>
    <row r="91" spans="1:20" x14ac:dyDescent="0.2">
      <c r="A91" s="5">
        <v>39639</v>
      </c>
      <c r="B91" s="17">
        <v>2012</v>
      </c>
      <c r="C91" s="18" t="str">
        <f t="shared" si="5"/>
        <v>Elkhorn Slough_39639_Seal Bend_0</v>
      </c>
      <c r="D91" s="4" t="s">
        <v>45</v>
      </c>
      <c r="E91" t="s">
        <v>167</v>
      </c>
      <c r="F91" s="70" t="s">
        <v>288</v>
      </c>
      <c r="G91" s="70">
        <v>1</v>
      </c>
      <c r="H91" s="79" t="s">
        <v>147</v>
      </c>
      <c r="I91">
        <v>20</v>
      </c>
      <c r="J91" s="70" t="s">
        <v>289</v>
      </c>
      <c r="K91" s="2">
        <f>(VLOOKUP(H91,'functions and szcl estimates'!$A$14:$I$23,4, FALSE))*(('raw data'!I88)^(VLOOKUP('raw data'!H88,'functions and szcl estimates'!$A$14:$I$23, 7, FALSE)))</f>
        <v>135.89860660221942</v>
      </c>
      <c r="O91" s="14">
        <v>24</v>
      </c>
      <c r="P91">
        <v>1</v>
      </c>
      <c r="Q91" s="65">
        <f>K91</f>
        <v>135.89860660221942</v>
      </c>
      <c r="R91" s="2">
        <f>P91/O91</f>
        <v>4.1666666666666664E-2</v>
      </c>
      <c r="S91" t="s">
        <v>166</v>
      </c>
      <c r="T91" t="s">
        <v>229</v>
      </c>
    </row>
    <row r="92" spans="1:20" x14ac:dyDescent="0.2">
      <c r="A92" s="5">
        <v>39639</v>
      </c>
      <c r="B92" s="17">
        <v>2012</v>
      </c>
      <c r="C92" s="18" t="str">
        <f t="shared" si="5"/>
        <v>Elkhorn Slough_39639_Crop Circles_0</v>
      </c>
      <c r="D92" s="4" t="s">
        <v>45</v>
      </c>
      <c r="E92" t="s">
        <v>146</v>
      </c>
      <c r="F92" s="70" t="s">
        <v>288</v>
      </c>
      <c r="G92" s="70">
        <v>1</v>
      </c>
      <c r="H92" s="79" t="s">
        <v>147</v>
      </c>
      <c r="I92">
        <v>69</v>
      </c>
      <c r="J92" s="70" t="s">
        <v>289</v>
      </c>
      <c r="K92" s="2">
        <f>(VLOOKUP(H92,'functions and szcl estimates'!$A$14:$I$23,4, FALSE))*(('raw data'!I89)^(VLOOKUP('raw data'!H89,'functions and szcl estimates'!$A$14:$I$23, 7, FALSE)))</f>
        <v>214.93434682110276</v>
      </c>
      <c r="O92" s="14">
        <v>24</v>
      </c>
      <c r="P92">
        <v>4</v>
      </c>
      <c r="Q92" s="65">
        <f>SUM(K92:K95)</f>
        <v>402.32521073506496</v>
      </c>
      <c r="R92" s="2">
        <f>P92/O92</f>
        <v>0.16666666666666666</v>
      </c>
      <c r="S92" t="s">
        <v>166</v>
      </c>
    </row>
    <row r="93" spans="1:20" x14ac:dyDescent="0.2">
      <c r="A93" s="5">
        <v>39639</v>
      </c>
      <c r="B93" s="17">
        <v>2012</v>
      </c>
      <c r="C93" s="18" t="str">
        <f t="shared" si="5"/>
        <v>Elkhorn Slough_39639_Outfall_0</v>
      </c>
      <c r="D93" s="4" t="s">
        <v>45</v>
      </c>
      <c r="E93" t="s">
        <v>144</v>
      </c>
      <c r="F93" s="70" t="s">
        <v>288</v>
      </c>
      <c r="G93" s="70">
        <v>1</v>
      </c>
      <c r="H93" s="79" t="s">
        <v>226</v>
      </c>
      <c r="I93">
        <v>54</v>
      </c>
      <c r="J93" s="70" t="s">
        <v>289</v>
      </c>
      <c r="K93" s="2">
        <f>(VLOOKUP(H93,'functions and szcl estimates'!$A$14:$I$23,4, FALSE))*(('raw data'!I93)^(VLOOKUP('raw data'!H93,'functions and szcl estimates'!$A$14:$I$23, 7, FALSE)))</f>
        <v>50.790168771270274</v>
      </c>
      <c r="O93" s="14">
        <v>24</v>
      </c>
      <c r="P93">
        <v>3</v>
      </c>
      <c r="Q93" s="65">
        <f>SUM(K93:K95)</f>
        <v>187.39086391396211</v>
      </c>
      <c r="R93" s="2">
        <f>P93/O93</f>
        <v>0.125</v>
      </c>
      <c r="S93" t="s">
        <v>148</v>
      </c>
    </row>
    <row r="94" spans="1:20" x14ac:dyDescent="0.2">
      <c r="A94" s="5">
        <v>39639</v>
      </c>
      <c r="B94" s="17">
        <v>2012</v>
      </c>
      <c r="C94" s="18" t="str">
        <f t="shared" si="5"/>
        <v>Elkhorn Slough_39639_Outfall_0</v>
      </c>
      <c r="D94" s="4" t="s">
        <v>45</v>
      </c>
      <c r="E94" t="s">
        <v>149</v>
      </c>
      <c r="F94" s="70" t="s">
        <v>288</v>
      </c>
      <c r="G94" s="70">
        <v>1</v>
      </c>
      <c r="H94" s="79" t="s">
        <v>150</v>
      </c>
      <c r="I94">
        <v>55</v>
      </c>
      <c r="J94" s="70" t="s">
        <v>289</v>
      </c>
      <c r="K94" s="2">
        <f>(VLOOKUP(H94,'functions and szcl estimates'!$A$14:$I$23,4, FALSE))*(('raw data'!I94)^(VLOOKUP('raw data'!H94,'functions and szcl estimates'!$A$14:$I$23, 7, FALSE)))</f>
        <v>52.852777374452018</v>
      </c>
      <c r="O94" s="14">
        <v>24</v>
      </c>
      <c r="S94" t="s">
        <v>166</v>
      </c>
    </row>
    <row r="95" spans="1:20" x14ac:dyDescent="0.2">
      <c r="A95" s="5">
        <v>39640</v>
      </c>
      <c r="B95" s="17">
        <v>2012</v>
      </c>
      <c r="C95" s="18" t="str">
        <f t="shared" si="5"/>
        <v>Elkhorn Slough_39640_Outfall_0</v>
      </c>
      <c r="D95" s="4" t="s">
        <v>45</v>
      </c>
      <c r="E95" t="s">
        <v>144</v>
      </c>
      <c r="F95" s="70" t="s">
        <v>288</v>
      </c>
      <c r="G95" s="70">
        <v>1</v>
      </c>
      <c r="H95" s="79" t="s">
        <v>226</v>
      </c>
      <c r="I95">
        <v>61</v>
      </c>
      <c r="J95" s="70" t="s">
        <v>289</v>
      </c>
      <c r="K95" s="2">
        <f>(VLOOKUP(H95,'functions and szcl estimates'!$A$14:$I$23,4, FALSE))*(('raw data'!I98)^(VLOOKUP('raw data'!H98,'functions and szcl estimates'!$A$14:$I$23, 7, FALSE)))</f>
        <v>83.74791776823983</v>
      </c>
      <c r="M95" s="8" t="s">
        <v>243</v>
      </c>
      <c r="O95" s="14">
        <v>24</v>
      </c>
      <c r="P95">
        <v>8</v>
      </c>
      <c r="Q95" s="65">
        <f>SUM(K95:K102)</f>
        <v>735.07017061725207</v>
      </c>
      <c r="R95" s="2">
        <f>P95/O95</f>
        <v>0.33333333333333331</v>
      </c>
      <c r="S95" t="s">
        <v>166</v>
      </c>
      <c r="T95" t="s">
        <v>152</v>
      </c>
    </row>
    <row r="96" spans="1:20" x14ac:dyDescent="0.2">
      <c r="A96" s="5">
        <v>39640</v>
      </c>
      <c r="B96" s="17">
        <v>2012</v>
      </c>
      <c r="C96" s="18" t="str">
        <f t="shared" si="5"/>
        <v>Elkhorn Slough_39640_Outfall_0</v>
      </c>
      <c r="D96" s="4" t="s">
        <v>45</v>
      </c>
      <c r="E96" t="s">
        <v>144</v>
      </c>
      <c r="F96" s="70" t="s">
        <v>288</v>
      </c>
      <c r="G96" s="70">
        <v>1</v>
      </c>
      <c r="H96" s="79" t="s">
        <v>226</v>
      </c>
      <c r="I96">
        <v>65</v>
      </c>
      <c r="J96" s="70" t="s">
        <v>289</v>
      </c>
      <c r="K96" s="2">
        <f>(VLOOKUP(H96,'functions and szcl estimates'!$A$14:$I$23,4, FALSE))*(('raw data'!I99)^(VLOOKUP('raw data'!H99,'functions and szcl estimates'!$A$14:$I$23, 7, FALSE)))</f>
        <v>86.442772619183756</v>
      </c>
      <c r="M96" s="8" t="s">
        <v>243</v>
      </c>
      <c r="O96" s="14">
        <v>24</v>
      </c>
      <c r="S96" t="s">
        <v>166</v>
      </c>
    </row>
    <row r="97" spans="1:20" x14ac:dyDescent="0.2">
      <c r="A97" s="5">
        <v>39640</v>
      </c>
      <c r="B97" s="17">
        <v>2012</v>
      </c>
      <c r="C97" s="18" t="str">
        <f t="shared" si="5"/>
        <v>Elkhorn Slough_39640_Outfall_0</v>
      </c>
      <c r="D97" s="4" t="s">
        <v>45</v>
      </c>
      <c r="E97" t="s">
        <v>144</v>
      </c>
      <c r="F97" s="70" t="s">
        <v>288</v>
      </c>
      <c r="G97" s="70">
        <v>1</v>
      </c>
      <c r="H97" s="79" t="s">
        <v>226</v>
      </c>
      <c r="I97">
        <v>66</v>
      </c>
      <c r="J97" s="70" t="s">
        <v>289</v>
      </c>
      <c r="K97" s="2">
        <f>(VLOOKUP(H97,'functions and szcl estimates'!$A$14:$I$23,4, FALSE))*(('raw data'!I100)^(VLOOKUP('raw data'!H100,'functions and szcl estimates'!$A$14:$I$23, 7, FALSE)))</f>
        <v>103.58312786768673</v>
      </c>
      <c r="M97" s="8" t="s">
        <v>243</v>
      </c>
      <c r="O97" s="14">
        <v>24</v>
      </c>
      <c r="S97" t="s">
        <v>166</v>
      </c>
    </row>
    <row r="98" spans="1:20" x14ac:dyDescent="0.2">
      <c r="A98" s="5">
        <v>39640</v>
      </c>
      <c r="B98" s="17">
        <v>2012</v>
      </c>
      <c r="C98" s="18" t="str">
        <f t="shared" si="5"/>
        <v>Elkhorn Slough_39640_Outfall_0</v>
      </c>
      <c r="D98" s="4" t="s">
        <v>45</v>
      </c>
      <c r="E98" t="s">
        <v>144</v>
      </c>
      <c r="F98" s="70" t="s">
        <v>288</v>
      </c>
      <c r="G98" s="70">
        <v>1</v>
      </c>
      <c r="H98" s="79" t="s">
        <v>226</v>
      </c>
      <c r="I98">
        <v>68</v>
      </c>
      <c r="J98" s="70" t="s">
        <v>289</v>
      </c>
      <c r="K98" s="2">
        <f>(VLOOKUP(H98,'functions and szcl estimates'!$A$14:$I$23,4, FALSE))*(('raw data'!I101)^(VLOOKUP('raw data'!H101,'functions and szcl estimates'!$A$14:$I$23, 7, FALSE)))</f>
        <v>125.70734345756537</v>
      </c>
      <c r="M98" s="8" t="s">
        <v>243</v>
      </c>
      <c r="O98" s="14">
        <v>24</v>
      </c>
      <c r="S98" t="s">
        <v>166</v>
      </c>
    </row>
    <row r="99" spans="1:20" x14ac:dyDescent="0.2">
      <c r="A99" s="5">
        <v>39640</v>
      </c>
      <c r="B99" s="17">
        <v>2012</v>
      </c>
      <c r="C99" s="18" t="str">
        <f t="shared" si="5"/>
        <v>Elkhorn Slough_39640_Outfall_0</v>
      </c>
      <c r="D99" s="4" t="s">
        <v>45</v>
      </c>
      <c r="E99" t="s">
        <v>144</v>
      </c>
      <c r="F99" s="70" t="s">
        <v>288</v>
      </c>
      <c r="G99" s="70">
        <v>1</v>
      </c>
      <c r="H99" s="79" t="s">
        <v>226</v>
      </c>
      <c r="I99">
        <v>69</v>
      </c>
      <c r="J99" s="70" t="s">
        <v>289</v>
      </c>
      <c r="K99" s="2">
        <f>(VLOOKUP(H99,'functions and szcl estimates'!$A$14:$I$23,4, FALSE))*(('raw data'!I102)^(VLOOKUP('raw data'!H102,'functions and szcl estimates'!$A$14:$I$23, 7, FALSE)))</f>
        <v>78.495942309277908</v>
      </c>
      <c r="M99" s="8" t="s">
        <v>243</v>
      </c>
      <c r="O99" s="14">
        <v>24</v>
      </c>
      <c r="S99" t="s">
        <v>166</v>
      </c>
    </row>
    <row r="100" spans="1:20" x14ac:dyDescent="0.2">
      <c r="A100" s="5">
        <v>39640</v>
      </c>
      <c r="B100" s="17">
        <v>2012</v>
      </c>
      <c r="C100" s="18" t="str">
        <f t="shared" si="5"/>
        <v>Elkhorn Slough_39640_Outfall_0</v>
      </c>
      <c r="D100" s="4" t="s">
        <v>45</v>
      </c>
      <c r="E100" t="s">
        <v>144</v>
      </c>
      <c r="F100" s="70" t="s">
        <v>288</v>
      </c>
      <c r="G100" s="70">
        <v>1</v>
      </c>
      <c r="H100" s="79" t="s">
        <v>226</v>
      </c>
      <c r="I100">
        <v>75</v>
      </c>
      <c r="J100" s="70" t="s">
        <v>289</v>
      </c>
      <c r="K100" s="2">
        <f>(VLOOKUP(H100,'functions and szcl estimates'!$A$14:$I$23,4, FALSE))*(('raw data'!I103)^(VLOOKUP('raw data'!H103,'functions and szcl estimates'!$A$14:$I$23, 7, FALSE)))</f>
        <v>75.93858984623067</v>
      </c>
      <c r="M100" s="8" t="s">
        <v>243</v>
      </c>
      <c r="O100" s="14">
        <v>24</v>
      </c>
      <c r="S100" t="s">
        <v>166</v>
      </c>
    </row>
    <row r="101" spans="1:20" x14ac:dyDescent="0.2">
      <c r="A101" s="5">
        <v>39641</v>
      </c>
      <c r="B101" s="17">
        <v>2012</v>
      </c>
      <c r="C101" s="18" t="str">
        <f t="shared" si="5"/>
        <v>Elkhorn Slough_39641_Seal Bend_0.7083</v>
      </c>
      <c r="D101" s="4" t="s">
        <v>45</v>
      </c>
      <c r="E101" t="s">
        <v>153</v>
      </c>
      <c r="F101" s="70" t="s">
        <v>288</v>
      </c>
      <c r="G101" s="70">
        <v>1</v>
      </c>
      <c r="H101" s="79" t="s">
        <v>154</v>
      </c>
      <c r="I101">
        <v>82</v>
      </c>
      <c r="J101" s="70" t="s">
        <v>289</v>
      </c>
      <c r="K101" s="2">
        <f>(VLOOKUP(H101,'functions and szcl estimates'!$A$14:$I$23,4, FALSE))*(('raw data'!I106)^(VLOOKUP('raw data'!H106,'functions and szcl estimates'!$A$14:$I$23, 7, FALSE)))</f>
        <v>91.970785651536119</v>
      </c>
      <c r="L101" s="12">
        <v>0.70833333333333337</v>
      </c>
      <c r="M101" s="8" t="s">
        <v>244</v>
      </c>
      <c r="N101" s="8">
        <f t="shared" ref="N101:N132" si="6">L101-M101</f>
        <v>3.125E-2</v>
      </c>
      <c r="O101" s="14">
        <v>23.25</v>
      </c>
      <c r="P101">
        <v>2</v>
      </c>
      <c r="Q101" s="65">
        <f>SUM(K101:K102)</f>
        <v>181.1544767490679</v>
      </c>
      <c r="R101" s="2">
        <f>P101/O101</f>
        <v>8.6021505376344093E-2</v>
      </c>
      <c r="S101" t="s">
        <v>155</v>
      </c>
      <c r="T101" t="s">
        <v>156</v>
      </c>
    </row>
    <row r="102" spans="1:20" x14ac:dyDescent="0.2">
      <c r="A102" s="5">
        <v>39641</v>
      </c>
      <c r="B102" s="17">
        <v>2012</v>
      </c>
      <c r="C102" s="18" t="str">
        <f t="shared" si="5"/>
        <v>Elkhorn Slough_39641_Outfall_0.7083</v>
      </c>
      <c r="D102" s="4" t="s">
        <v>45</v>
      </c>
      <c r="E102" t="s">
        <v>7</v>
      </c>
      <c r="F102" s="70" t="s">
        <v>288</v>
      </c>
      <c r="G102" s="70">
        <v>1</v>
      </c>
      <c r="H102" s="79" t="s">
        <v>8</v>
      </c>
      <c r="I102">
        <v>66</v>
      </c>
      <c r="J102" s="70" t="s">
        <v>289</v>
      </c>
      <c r="K102" s="2">
        <f>(VLOOKUP(H102,'functions and szcl estimates'!$A$14:$I$23,4, FALSE))*(('raw data'!I109)^(VLOOKUP('raw data'!H109,'functions and szcl estimates'!$A$14:$I$23, 7, FALSE)))</f>
        <v>89.183691097531778</v>
      </c>
      <c r="L102" s="12">
        <v>0.70833333333333304</v>
      </c>
      <c r="M102" s="8" t="s">
        <v>244</v>
      </c>
      <c r="N102" s="8">
        <f t="shared" si="6"/>
        <v>3.1249999999999667E-2</v>
      </c>
      <c r="O102" s="14">
        <v>23.25</v>
      </c>
      <c r="P102">
        <v>4</v>
      </c>
      <c r="Q102" s="65">
        <f>SUM(K102:K105)</f>
        <v>310.87215963194342</v>
      </c>
      <c r="R102" s="2">
        <f>P102/O102</f>
        <v>0.17204301075268819</v>
      </c>
      <c r="S102" t="s">
        <v>155</v>
      </c>
    </row>
    <row r="103" spans="1:20" x14ac:dyDescent="0.2">
      <c r="A103" s="5">
        <v>39642</v>
      </c>
      <c r="B103" s="17">
        <v>2012</v>
      </c>
      <c r="C103" s="18" t="str">
        <f t="shared" si="5"/>
        <v>Elkhorn Slough_39642_Area 4_0.6771</v>
      </c>
      <c r="D103" s="4" t="s">
        <v>45</v>
      </c>
      <c r="E103" t="s">
        <v>2</v>
      </c>
      <c r="F103" s="70" t="s">
        <v>288</v>
      </c>
      <c r="G103" s="70">
        <v>1</v>
      </c>
      <c r="H103" s="79" t="s">
        <v>231</v>
      </c>
      <c r="I103">
        <v>65</v>
      </c>
      <c r="J103" s="70" t="s">
        <v>289</v>
      </c>
      <c r="K103" s="2">
        <f>(VLOOKUP(H103,'functions and szcl estimates'!$A$14:$I$23,4, FALSE))*(('raw data'!I117)^(VLOOKUP('raw data'!H117,'functions and szcl estimates'!$A$14:$I$23, 7, FALSE)))</f>
        <v>59.307106068997207</v>
      </c>
      <c r="L103" s="12">
        <v>0.67708333333333304</v>
      </c>
      <c r="M103" s="8" t="s">
        <v>216</v>
      </c>
      <c r="N103" s="8">
        <f t="shared" si="6"/>
        <v>0.20833333333333304</v>
      </c>
      <c r="O103" s="14">
        <v>19</v>
      </c>
      <c r="P103">
        <v>6</v>
      </c>
      <c r="Q103" s="65">
        <f>SUM(K103:K108)</f>
        <v>541.82477893964369</v>
      </c>
      <c r="R103" s="15">
        <f>P103/O103</f>
        <v>0.31578947368421051</v>
      </c>
      <c r="S103" t="s">
        <v>251</v>
      </c>
    </row>
    <row r="104" spans="1:20" x14ac:dyDescent="0.2">
      <c r="A104" s="5">
        <v>39644</v>
      </c>
      <c r="B104" s="17">
        <v>2012</v>
      </c>
      <c r="C104" s="18" t="str">
        <f t="shared" si="5"/>
        <v>Elkhorn Slough_39644_Outfall_0.4688</v>
      </c>
      <c r="D104" s="4" t="s">
        <v>45</v>
      </c>
      <c r="E104" t="s">
        <v>279</v>
      </c>
      <c r="F104" s="70" t="s">
        <v>288</v>
      </c>
      <c r="G104" s="70">
        <v>1</v>
      </c>
      <c r="H104" s="79" t="s">
        <v>280</v>
      </c>
      <c r="I104">
        <v>61</v>
      </c>
      <c r="J104" s="70" t="s">
        <v>289</v>
      </c>
      <c r="K104" s="2">
        <f>(VLOOKUP(H104,'functions and szcl estimates'!$A$14:$I$23,4, FALSE))*(('raw data'!I141)^(VLOOKUP('raw data'!H141,'functions and szcl estimates'!$A$14:$I$23, 7, FALSE)))</f>
        <v>75.93858984623067</v>
      </c>
      <c r="L104" s="12" t="s">
        <v>216</v>
      </c>
      <c r="M104" s="8" t="s">
        <v>219</v>
      </c>
      <c r="N104" s="8">
        <f t="shared" si="6"/>
        <v>-2.0833333333333315E-2</v>
      </c>
      <c r="O104" s="14">
        <v>48.5</v>
      </c>
      <c r="S104" t="s">
        <v>148</v>
      </c>
    </row>
    <row r="105" spans="1:20" x14ac:dyDescent="0.2">
      <c r="A105" s="5">
        <v>39644</v>
      </c>
      <c r="B105" s="17">
        <v>2012</v>
      </c>
      <c r="C105" s="18" t="str">
        <f t="shared" si="5"/>
        <v>Elkhorn Slough_39644_Outfall_0.4688</v>
      </c>
      <c r="D105" s="4" t="s">
        <v>45</v>
      </c>
      <c r="E105" t="s">
        <v>279</v>
      </c>
      <c r="F105" s="70" t="s">
        <v>288</v>
      </c>
      <c r="G105" s="70">
        <v>1</v>
      </c>
      <c r="H105" s="79" t="s">
        <v>280</v>
      </c>
      <c r="I105">
        <v>70</v>
      </c>
      <c r="J105" s="70" t="s">
        <v>289</v>
      </c>
      <c r="K105" s="2">
        <f>(VLOOKUP(H105,'functions and szcl estimates'!$A$14:$I$23,4, FALSE))*(('raw data'!I142)^(VLOOKUP('raw data'!H142,'functions and szcl estimates'!$A$14:$I$23, 7, FALSE)))</f>
        <v>86.442772619183756</v>
      </c>
      <c r="L105" s="12" t="s">
        <v>216</v>
      </c>
      <c r="M105" s="8" t="s">
        <v>219</v>
      </c>
      <c r="N105" s="8">
        <f t="shared" si="6"/>
        <v>-2.0833333333333315E-2</v>
      </c>
      <c r="O105" s="14">
        <v>48.5</v>
      </c>
      <c r="S105" t="s">
        <v>148</v>
      </c>
    </row>
    <row r="106" spans="1:20" x14ac:dyDescent="0.2">
      <c r="A106" s="5">
        <v>39647</v>
      </c>
      <c r="B106" s="17">
        <v>2012</v>
      </c>
      <c r="C106" s="18" t="str">
        <f t="shared" si="5"/>
        <v>Elkhorn Slough_39647_Outfall_0.4063</v>
      </c>
      <c r="D106" s="4" t="s">
        <v>45</v>
      </c>
      <c r="E106" t="s">
        <v>279</v>
      </c>
      <c r="F106" s="70" t="s">
        <v>288</v>
      </c>
      <c r="G106" s="70">
        <v>1</v>
      </c>
      <c r="H106" s="79" t="s">
        <v>280</v>
      </c>
      <c r="I106">
        <v>71</v>
      </c>
      <c r="J106" s="70" t="s">
        <v>289</v>
      </c>
      <c r="K106" s="2">
        <f>(VLOOKUP(H106,'functions and szcl estimates'!$A$14:$I$23,4, FALSE))*(('raw data'!I185)^(VLOOKUP('raw data'!H185,'functions and szcl estimates'!$A$14:$I$23, 7, FALSE)))</f>
        <v>103.58312786768673</v>
      </c>
      <c r="L106" s="12">
        <v>0.40625</v>
      </c>
      <c r="M106" s="8" t="s">
        <v>220</v>
      </c>
      <c r="N106" s="8">
        <f t="shared" si="6"/>
        <v>1.0416666666666685E-2</v>
      </c>
      <c r="O106" s="14">
        <v>23.75</v>
      </c>
      <c r="P106">
        <f>COUNT(O106:O117)</f>
        <v>12</v>
      </c>
      <c r="Q106">
        <f>SUM(K106:K117)</f>
        <v>758.51504099690919</v>
      </c>
      <c r="R106" s="15">
        <f>P106/O106</f>
        <v>0.50526315789473686</v>
      </c>
      <c r="S106" t="s">
        <v>148</v>
      </c>
    </row>
    <row r="107" spans="1:20" x14ac:dyDescent="0.2">
      <c r="A107" s="5">
        <v>39647</v>
      </c>
      <c r="B107" s="17">
        <v>2012</v>
      </c>
      <c r="C107" s="18" t="str">
        <f t="shared" si="5"/>
        <v>Elkhorn Slough_39647_Outfall_0.4063</v>
      </c>
      <c r="D107" s="4" t="s">
        <v>45</v>
      </c>
      <c r="E107" t="s">
        <v>279</v>
      </c>
      <c r="F107" s="70" t="s">
        <v>288</v>
      </c>
      <c r="G107" s="70">
        <v>1</v>
      </c>
      <c r="H107" s="79" t="s">
        <v>280</v>
      </c>
      <c r="I107">
        <v>72</v>
      </c>
      <c r="J107" s="70" t="s">
        <v>289</v>
      </c>
      <c r="K107" s="2">
        <f>(VLOOKUP(H107,'functions and szcl estimates'!$A$14:$I$23,4, FALSE))*(('raw data'!I186)^(VLOOKUP('raw data'!H186,'functions and szcl estimates'!$A$14:$I$23, 7, FALSE)))</f>
        <v>115.94295198184155</v>
      </c>
      <c r="L107" s="12">
        <v>0.40625</v>
      </c>
      <c r="M107" s="8" t="s">
        <v>220</v>
      </c>
      <c r="N107" s="8">
        <f t="shared" si="6"/>
        <v>1.0416666666666685E-2</v>
      </c>
      <c r="O107" s="14">
        <v>23.75</v>
      </c>
      <c r="S107" t="s">
        <v>148</v>
      </c>
    </row>
    <row r="108" spans="1:20" x14ac:dyDescent="0.2">
      <c r="A108" s="5">
        <v>39647</v>
      </c>
      <c r="B108" s="17">
        <v>2012</v>
      </c>
      <c r="C108" s="18" t="str">
        <f t="shared" si="5"/>
        <v>Elkhorn Slough_39647_Outfall_0.4063</v>
      </c>
      <c r="D108" s="4" t="s">
        <v>45</v>
      </c>
      <c r="E108" t="s">
        <v>279</v>
      </c>
      <c r="F108" s="70" t="s">
        <v>288</v>
      </c>
      <c r="G108" s="70">
        <v>1</v>
      </c>
      <c r="H108" s="79" t="s">
        <v>280</v>
      </c>
      <c r="I108">
        <v>72</v>
      </c>
      <c r="J108" s="70" t="s">
        <v>289</v>
      </c>
      <c r="K108" s="2">
        <f>(VLOOKUP(H108,'functions and szcl estimates'!$A$14:$I$23,4, FALSE))*(('raw data'!I187)^(VLOOKUP('raw data'!H187,'functions and szcl estimates'!$A$14:$I$23, 7, FALSE)))</f>
        <v>100.61023055570388</v>
      </c>
      <c r="L108" s="12">
        <v>0.40625</v>
      </c>
      <c r="M108" s="8" t="s">
        <v>220</v>
      </c>
      <c r="N108" s="8">
        <f t="shared" si="6"/>
        <v>1.0416666666666685E-2</v>
      </c>
      <c r="O108" s="14">
        <v>23.75</v>
      </c>
      <c r="S108" t="s">
        <v>148</v>
      </c>
    </row>
    <row r="109" spans="1:20" x14ac:dyDescent="0.2">
      <c r="A109" s="5">
        <v>39649</v>
      </c>
      <c r="B109" s="17">
        <v>2012</v>
      </c>
      <c r="C109" s="18" t="str">
        <f t="shared" si="5"/>
        <v>Elkhorn Slough_39649_Outfall_0.3958</v>
      </c>
      <c r="D109" s="4" t="s">
        <v>45</v>
      </c>
      <c r="E109" t="s">
        <v>279</v>
      </c>
      <c r="F109" s="70" t="s">
        <v>288</v>
      </c>
      <c r="G109" s="70">
        <v>1</v>
      </c>
      <c r="H109" s="79" t="s">
        <v>280</v>
      </c>
      <c r="I109">
        <v>70</v>
      </c>
      <c r="J109" s="70" t="s">
        <v>289</v>
      </c>
      <c r="K109" s="2">
        <f>(VLOOKUP(H109,'functions and szcl estimates'!$A$14:$I$23,4, FALSE))*(('raw data'!I222)^(VLOOKUP('raw data'!H222,'functions and szcl estimates'!$A$14:$I$23, 7, FALSE)))</f>
        <v>49.587739331808059</v>
      </c>
      <c r="L109" s="12">
        <v>0.39583333333333331</v>
      </c>
      <c r="M109" s="8" t="s">
        <v>127</v>
      </c>
      <c r="N109" s="8">
        <f t="shared" si="6"/>
        <v>-0.31944444444444448</v>
      </c>
      <c r="O109" s="14">
        <v>31.75</v>
      </c>
      <c r="P109">
        <v>4</v>
      </c>
      <c r="Q109" s="65">
        <f>SUM(K109:K112)</f>
        <v>198.35095732723224</v>
      </c>
      <c r="R109" s="15">
        <f>P109/O109</f>
        <v>0.12598425196850394</v>
      </c>
      <c r="S109" t="s">
        <v>148</v>
      </c>
      <c r="T109" t="s">
        <v>283</v>
      </c>
    </row>
    <row r="110" spans="1:20" x14ac:dyDescent="0.2">
      <c r="A110" s="5">
        <v>39649</v>
      </c>
      <c r="B110" s="17">
        <v>2012</v>
      </c>
      <c r="C110" s="18" t="str">
        <f t="shared" si="5"/>
        <v>Elkhorn Slough_39649_Outfall_0.3958</v>
      </c>
      <c r="D110" s="4" t="s">
        <v>45</v>
      </c>
      <c r="E110" t="s">
        <v>279</v>
      </c>
      <c r="F110" s="70" t="s">
        <v>288</v>
      </c>
      <c r="G110" s="70">
        <v>1</v>
      </c>
      <c r="H110" s="79" t="s">
        <v>280</v>
      </c>
      <c r="I110">
        <v>91</v>
      </c>
      <c r="J110" s="70" t="s">
        <v>289</v>
      </c>
      <c r="K110" s="2">
        <f>(VLOOKUP(H110,'functions and szcl estimates'!$A$14:$I$23,4, FALSE))*(('raw data'!I223)^(VLOOKUP('raw data'!H223,'functions and szcl estimates'!$A$14:$I$23, 7, FALSE)))</f>
        <v>49.587739331808059</v>
      </c>
      <c r="L110" s="12">
        <v>0.39583333333333331</v>
      </c>
      <c r="M110" s="8" t="s">
        <v>127</v>
      </c>
      <c r="N110" s="8">
        <f t="shared" si="6"/>
        <v>-0.31944444444444448</v>
      </c>
      <c r="O110" s="14">
        <v>31.75</v>
      </c>
      <c r="S110" t="s">
        <v>148</v>
      </c>
    </row>
    <row r="111" spans="1:20" x14ac:dyDescent="0.2">
      <c r="A111" s="5">
        <v>39652</v>
      </c>
      <c r="B111" s="17">
        <v>2012</v>
      </c>
      <c r="C111" s="18" t="str">
        <f t="shared" si="5"/>
        <v>Elkhorn Slough_39652_Outfall_0.7153</v>
      </c>
      <c r="D111" s="4" t="s">
        <v>45</v>
      </c>
      <c r="E111" t="s">
        <v>17</v>
      </c>
      <c r="F111" s="70" t="s">
        <v>288</v>
      </c>
      <c r="G111" s="70">
        <v>1</v>
      </c>
      <c r="H111" s="79" t="s">
        <v>280</v>
      </c>
      <c r="I111">
        <v>78</v>
      </c>
      <c r="J111" s="70" t="s">
        <v>289</v>
      </c>
      <c r="K111" s="2">
        <f>(VLOOKUP(H111,'functions and szcl estimates'!$A$14:$I$23,4, FALSE))*(('raw data'!I239)^(VLOOKUP('raw data'!H239,'functions and szcl estimates'!$A$14:$I$23, 7, FALSE)))</f>
        <v>49.587739331808059</v>
      </c>
      <c r="L111" s="12">
        <v>0.71527777777777779</v>
      </c>
      <c r="M111" s="8" t="s">
        <v>133</v>
      </c>
      <c r="N111" s="8">
        <f t="shared" si="6"/>
        <v>0.17708333333333337</v>
      </c>
      <c r="O111" s="14">
        <v>43.75</v>
      </c>
      <c r="P111">
        <f>COUNT(O111:O126)</f>
        <v>16</v>
      </c>
      <c r="Q111" s="65">
        <f>SUM(K111:K126)</f>
        <v>885.93591354406624</v>
      </c>
      <c r="R111" s="15">
        <f>P111/O111</f>
        <v>0.36571428571428571</v>
      </c>
      <c r="S111" t="s">
        <v>148</v>
      </c>
    </row>
    <row r="112" spans="1:20" x14ac:dyDescent="0.2">
      <c r="A112" s="5">
        <v>39652</v>
      </c>
      <c r="B112" s="17">
        <v>2012</v>
      </c>
      <c r="C112" s="18" t="str">
        <f t="shared" si="5"/>
        <v>Elkhorn Slough_39652_Outfall_0.7153</v>
      </c>
      <c r="D112" s="4" t="s">
        <v>45</v>
      </c>
      <c r="E112" t="s">
        <v>17</v>
      </c>
      <c r="F112" s="70" t="s">
        <v>288</v>
      </c>
      <c r="G112" s="70">
        <v>1</v>
      </c>
      <c r="H112" s="79" t="s">
        <v>280</v>
      </c>
      <c r="I112">
        <v>80</v>
      </c>
      <c r="J112" s="70" t="s">
        <v>289</v>
      </c>
      <c r="K112" s="2">
        <f>(VLOOKUP(H112,'functions and szcl estimates'!$A$14:$I$23,4, FALSE))*(('raw data'!I240)^(VLOOKUP('raw data'!H240,'functions and szcl estimates'!$A$14:$I$23, 7, FALSE)))</f>
        <v>49.587739331808059</v>
      </c>
      <c r="L112" s="12">
        <v>0.71527777777777779</v>
      </c>
      <c r="M112" s="8" t="s">
        <v>133</v>
      </c>
      <c r="N112" s="8">
        <f t="shared" si="6"/>
        <v>0.17708333333333337</v>
      </c>
      <c r="O112" s="14">
        <v>43.75</v>
      </c>
      <c r="S112" t="s">
        <v>148</v>
      </c>
    </row>
    <row r="113" spans="1:20" x14ac:dyDescent="0.2">
      <c r="A113" s="5">
        <v>39654</v>
      </c>
      <c r="B113" s="17">
        <v>2012</v>
      </c>
      <c r="C113" s="18" t="str">
        <f t="shared" si="5"/>
        <v>Elkhorn Slough_39654_Outfall_0.5382</v>
      </c>
      <c r="D113" s="4" t="s">
        <v>45</v>
      </c>
      <c r="E113" t="s">
        <v>17</v>
      </c>
      <c r="F113" s="70" t="s">
        <v>288</v>
      </c>
      <c r="G113" s="70">
        <v>1</v>
      </c>
      <c r="H113" s="82" t="s">
        <v>280</v>
      </c>
      <c r="I113" s="6">
        <v>75</v>
      </c>
      <c r="J113" s="70" t="s">
        <v>289</v>
      </c>
      <c r="K113" s="2">
        <f>(VLOOKUP(H113,'functions and szcl estimates'!$A$14:$I$23,4, FALSE))*(('raw data'!I267)^(VLOOKUP('raw data'!H267,'functions and szcl estimates'!$A$14:$I$23, 7, FALSE)))</f>
        <v>51.746881593620614</v>
      </c>
      <c r="L113" s="12">
        <v>0.53819444444444442</v>
      </c>
      <c r="M113" s="8" t="s">
        <v>138</v>
      </c>
      <c r="N113" s="8">
        <f t="shared" si="6"/>
        <v>3.4722222222222099E-3</v>
      </c>
      <c r="O113" s="14">
        <v>24</v>
      </c>
      <c r="S113" t="s">
        <v>148</v>
      </c>
      <c r="T113" s="6" t="s">
        <v>164</v>
      </c>
    </row>
    <row r="114" spans="1:20" x14ac:dyDescent="0.2">
      <c r="A114" s="5">
        <v>39655</v>
      </c>
      <c r="B114" s="17">
        <v>2012</v>
      </c>
      <c r="C114" s="18" t="str">
        <f t="shared" si="5"/>
        <v>Elkhorn Slough_39655_Seal Bend_0.6458</v>
      </c>
      <c r="D114" s="4" t="s">
        <v>45</v>
      </c>
      <c r="E114" s="6" t="s">
        <v>157</v>
      </c>
      <c r="F114" s="70" t="s">
        <v>288</v>
      </c>
      <c r="G114" s="70">
        <v>1</v>
      </c>
      <c r="H114" s="82" t="s">
        <v>280</v>
      </c>
      <c r="I114" s="6">
        <v>47</v>
      </c>
      <c r="J114" s="70" t="s">
        <v>289</v>
      </c>
      <c r="K114" s="2">
        <f>(VLOOKUP(H114,'functions and szcl estimates'!$A$14:$I$23,4, FALSE))*(('raw data'!I291)^(VLOOKUP('raw data'!H291,'functions and szcl estimates'!$A$14:$I$23, 7, FALSE)))</f>
        <v>35.86273956303426</v>
      </c>
      <c r="L114" s="12">
        <v>0.64583333333333337</v>
      </c>
      <c r="M114" s="8" t="s">
        <v>29</v>
      </c>
      <c r="N114" s="8">
        <f t="shared" si="6"/>
        <v>0.15416666666666667</v>
      </c>
      <c r="O114" s="14">
        <v>20.25</v>
      </c>
      <c r="P114">
        <v>2</v>
      </c>
      <c r="Q114" s="65">
        <f>SUM(K114:K115)</f>
        <v>73.538777876538532</v>
      </c>
      <c r="R114" s="15">
        <f>P114/O114</f>
        <v>9.8765432098765427E-2</v>
      </c>
      <c r="S114" t="s">
        <v>148</v>
      </c>
      <c r="T114" s="6" t="s">
        <v>209</v>
      </c>
    </row>
    <row r="115" spans="1:20" x14ac:dyDescent="0.2">
      <c r="A115" s="5">
        <v>39655</v>
      </c>
      <c r="B115" s="17">
        <v>2012</v>
      </c>
      <c r="C115" s="18" t="str">
        <f t="shared" si="5"/>
        <v>Elkhorn Slough_39655_Outfall_0.5347</v>
      </c>
      <c r="D115" s="4" t="s">
        <v>45</v>
      </c>
      <c r="E115" s="6" t="s">
        <v>279</v>
      </c>
      <c r="F115" s="70" t="s">
        <v>288</v>
      </c>
      <c r="G115" s="70">
        <v>1</v>
      </c>
      <c r="H115" s="82" t="s">
        <v>280</v>
      </c>
      <c r="I115" s="6">
        <v>73</v>
      </c>
      <c r="J115" s="70" t="s">
        <v>289</v>
      </c>
      <c r="K115" s="2">
        <f>(VLOOKUP(H115,'functions and szcl estimates'!$A$14:$I$23,4, FALSE))*(('raw data'!I299)^(VLOOKUP('raw data'!H299,'functions and szcl estimates'!$A$14:$I$23, 7, FALSE)))</f>
        <v>37.676038313504272</v>
      </c>
      <c r="L115" s="12">
        <v>0.53472222222222221</v>
      </c>
      <c r="M115" s="8" t="s">
        <v>225</v>
      </c>
      <c r="N115" s="8">
        <f t="shared" si="6"/>
        <v>1.388888888888884E-2</v>
      </c>
      <c r="O115" s="14">
        <v>24.25</v>
      </c>
      <c r="P115">
        <f>COUNT(O115:O128)</f>
        <v>14</v>
      </c>
      <c r="Q115" s="65">
        <f>SUM(K115:K128)</f>
        <v>809.32294981031748</v>
      </c>
      <c r="R115" s="15">
        <f>P115/O115</f>
        <v>0.57731958762886593</v>
      </c>
      <c r="S115" t="s">
        <v>148</v>
      </c>
      <c r="T115" s="6" t="s">
        <v>210</v>
      </c>
    </row>
    <row r="116" spans="1:20" x14ac:dyDescent="0.2">
      <c r="A116" s="5">
        <v>39657</v>
      </c>
      <c r="B116" s="17">
        <v>2012</v>
      </c>
      <c r="C116" s="18" t="str">
        <f t="shared" si="5"/>
        <v>Elkhorn Slough_39657_Crop Circles_0.5035</v>
      </c>
      <c r="D116" s="4" t="s">
        <v>45</v>
      </c>
      <c r="E116" s="6" t="s">
        <v>277</v>
      </c>
      <c r="F116" s="70" t="s">
        <v>288</v>
      </c>
      <c r="G116" s="70">
        <v>1</v>
      </c>
      <c r="H116" s="82" t="s">
        <v>280</v>
      </c>
      <c r="I116" s="6">
        <v>53</v>
      </c>
      <c r="J116" s="70" t="s">
        <v>289</v>
      </c>
      <c r="K116" s="2">
        <f>(VLOOKUP(H116,'functions and szcl estimates'!$A$14:$I$23,4, FALSE))*(('raw data'!I313)^(VLOOKUP('raw data'!H313,'functions and szcl estimates'!$A$14:$I$23, 7, FALSE)))</f>
        <v>56.215922371416745</v>
      </c>
      <c r="L116" s="12">
        <v>0.50347222222222221</v>
      </c>
      <c r="M116" s="8" t="s">
        <v>31</v>
      </c>
      <c r="N116" s="8">
        <f t="shared" si="6"/>
        <v>0.1388888888888889</v>
      </c>
      <c r="O116" s="14">
        <v>44.75</v>
      </c>
      <c r="P116">
        <v>6</v>
      </c>
      <c r="Q116" s="65">
        <f>SUM(K116:K121)</f>
        <v>382.41979149808452</v>
      </c>
      <c r="R116" s="15">
        <f>P116/O116</f>
        <v>0.13407821229050279</v>
      </c>
      <c r="S116" t="s">
        <v>148</v>
      </c>
      <c r="T116" s="6" t="s">
        <v>211</v>
      </c>
    </row>
    <row r="117" spans="1:20" x14ac:dyDescent="0.2">
      <c r="A117" s="5">
        <v>39657</v>
      </c>
      <c r="B117" s="17">
        <v>2012</v>
      </c>
      <c r="C117" s="18" t="str">
        <f t="shared" si="5"/>
        <v>Elkhorn Slough_39657_Crop Circles_0.5035</v>
      </c>
      <c r="D117" s="4" t="s">
        <v>45</v>
      </c>
      <c r="E117" s="6" t="s">
        <v>277</v>
      </c>
      <c r="F117" s="70" t="s">
        <v>288</v>
      </c>
      <c r="G117" s="70">
        <v>1</v>
      </c>
      <c r="H117" s="82" t="s">
        <v>280</v>
      </c>
      <c r="I117" s="6">
        <v>58</v>
      </c>
      <c r="J117" s="70" t="s">
        <v>289</v>
      </c>
      <c r="K117" s="2">
        <f>(VLOOKUP(H117,'functions and szcl estimates'!$A$14:$I$23,4, FALSE))*(('raw data'!I314)^(VLOOKUP('raw data'!H314,'functions and szcl estimates'!$A$14:$I$23, 7, FALSE)))</f>
        <v>58.526191422869005</v>
      </c>
      <c r="L117" s="12">
        <v>0.50347222222222221</v>
      </c>
      <c r="M117" s="8" t="s">
        <v>31</v>
      </c>
      <c r="N117" s="8">
        <f t="shared" si="6"/>
        <v>0.1388888888888889</v>
      </c>
      <c r="O117" s="14">
        <v>44.75</v>
      </c>
      <c r="S117" t="s">
        <v>148</v>
      </c>
    </row>
    <row r="118" spans="1:20" x14ac:dyDescent="0.2">
      <c r="A118" s="5">
        <v>39657</v>
      </c>
      <c r="B118" s="17">
        <v>2012</v>
      </c>
      <c r="C118" s="18" t="str">
        <f t="shared" si="5"/>
        <v>Elkhorn Slough_39657_Crop Circles_0.5035</v>
      </c>
      <c r="D118" s="4" t="s">
        <v>45</v>
      </c>
      <c r="E118" s="6" t="s">
        <v>277</v>
      </c>
      <c r="F118" s="70" t="s">
        <v>288</v>
      </c>
      <c r="G118" s="70">
        <v>1</v>
      </c>
      <c r="H118" s="82" t="s">
        <v>280</v>
      </c>
      <c r="I118" s="6">
        <v>59</v>
      </c>
      <c r="J118" s="70" t="s">
        <v>289</v>
      </c>
      <c r="K118" s="2">
        <f>(VLOOKUP(H118,'functions and szcl estimates'!$A$14:$I$23,4, FALSE))*(('raw data'!I315)^(VLOOKUP('raw data'!H315,'functions and szcl estimates'!$A$14:$I$23, 7, FALSE)))</f>
        <v>58.526191422869005</v>
      </c>
      <c r="L118" s="12">
        <v>0.50347222222222199</v>
      </c>
      <c r="M118" s="8" t="s">
        <v>31</v>
      </c>
      <c r="N118" s="8">
        <f t="shared" si="6"/>
        <v>0.13888888888888867</v>
      </c>
      <c r="O118" s="14">
        <v>44.75</v>
      </c>
      <c r="S118" t="s">
        <v>148</v>
      </c>
    </row>
    <row r="119" spans="1:20" x14ac:dyDescent="0.2">
      <c r="A119" s="5">
        <v>39657</v>
      </c>
      <c r="B119" s="17">
        <v>2012</v>
      </c>
      <c r="C119" s="18" t="str">
        <f t="shared" si="5"/>
        <v>Elkhorn Slough_39657_Crop Circles_0.5035</v>
      </c>
      <c r="D119" s="4" t="s">
        <v>45</v>
      </c>
      <c r="E119" s="6" t="s">
        <v>277</v>
      </c>
      <c r="F119" s="70" t="s">
        <v>288</v>
      </c>
      <c r="G119" s="70">
        <v>1</v>
      </c>
      <c r="H119" s="82" t="s">
        <v>280</v>
      </c>
      <c r="I119" s="6">
        <v>69</v>
      </c>
      <c r="J119" s="70" t="s">
        <v>289</v>
      </c>
      <c r="K119" s="2">
        <f>(VLOOKUP(H119,'functions and szcl estimates'!$A$14:$I$23,4, FALSE))*(('raw data'!I316)^(VLOOKUP('raw data'!H316,'functions and szcl estimates'!$A$14:$I$23, 7, FALSE)))</f>
        <v>58.526191422869005</v>
      </c>
      <c r="L119" s="12">
        <v>0.50347222222222199</v>
      </c>
      <c r="M119" s="8" t="s">
        <v>31</v>
      </c>
      <c r="N119" s="8">
        <f t="shared" si="6"/>
        <v>0.13888888888888867</v>
      </c>
      <c r="O119" s="14">
        <v>44.75</v>
      </c>
      <c r="S119" t="s">
        <v>148</v>
      </c>
    </row>
    <row r="120" spans="1:20" x14ac:dyDescent="0.2">
      <c r="A120" s="5">
        <v>39657</v>
      </c>
      <c r="B120" s="17">
        <v>2012</v>
      </c>
      <c r="C120" s="18" t="str">
        <f t="shared" si="5"/>
        <v>Elkhorn Slough_39657_Seal Bend_0.4917</v>
      </c>
      <c r="D120" s="4" t="s">
        <v>45</v>
      </c>
      <c r="E120" s="6" t="s">
        <v>157</v>
      </c>
      <c r="F120" s="70" t="s">
        <v>288</v>
      </c>
      <c r="G120" s="70">
        <v>1</v>
      </c>
      <c r="H120" s="82" t="s">
        <v>280</v>
      </c>
      <c r="I120" s="6">
        <v>43</v>
      </c>
      <c r="J120" s="70" t="s">
        <v>289</v>
      </c>
      <c r="K120" s="2">
        <f>(VLOOKUP(H120,'functions and szcl estimates'!$A$14:$I$23,4, FALSE))*(('raw data'!I319)^(VLOOKUP('raw data'!H319,'functions and szcl estimates'!$A$14:$I$23, 7, FALSE)))</f>
        <v>63.299132634061728</v>
      </c>
      <c r="L120" s="12">
        <v>0.4916666666666667</v>
      </c>
      <c r="M120" s="8" t="s">
        <v>32</v>
      </c>
      <c r="N120" s="8">
        <f t="shared" si="6"/>
        <v>0.1166666666666667</v>
      </c>
      <c r="O120" s="14">
        <v>45.25</v>
      </c>
      <c r="P120">
        <v>6</v>
      </c>
      <c r="Q120" s="65">
        <f>SUM(K120:K125)</f>
        <v>375.72406505516165</v>
      </c>
      <c r="R120" s="15">
        <f>P120/O120</f>
        <v>0.13259668508287292</v>
      </c>
      <c r="S120" t="s">
        <v>148</v>
      </c>
      <c r="T120" s="6" t="s">
        <v>212</v>
      </c>
    </row>
    <row r="121" spans="1:20" x14ac:dyDescent="0.2">
      <c r="A121" s="5">
        <v>39657</v>
      </c>
      <c r="B121" s="17">
        <v>2012</v>
      </c>
      <c r="C121" s="18" t="str">
        <f t="shared" si="5"/>
        <v>Elkhorn Slough_39657_Seal Bend_0.4917</v>
      </c>
      <c r="D121" s="4" t="s">
        <v>45</v>
      </c>
      <c r="E121" s="6" t="s">
        <v>157</v>
      </c>
      <c r="F121" s="70" t="s">
        <v>288</v>
      </c>
      <c r="G121" s="70">
        <v>1</v>
      </c>
      <c r="H121" s="82" t="s">
        <v>280</v>
      </c>
      <c r="I121" s="6">
        <v>63</v>
      </c>
      <c r="J121" s="70" t="s">
        <v>289</v>
      </c>
      <c r="K121" s="2">
        <f>(VLOOKUP(H121,'functions and szcl estimates'!$A$14:$I$23,4, FALSE))*(('raw data'!I320)^(VLOOKUP('raw data'!H320,'functions and szcl estimates'!$A$14:$I$23, 7, FALSE)))</f>
        <v>87.326162223998992</v>
      </c>
      <c r="L121" s="12">
        <v>0.4916666666666667</v>
      </c>
      <c r="M121" s="8" t="s">
        <v>32</v>
      </c>
      <c r="N121" s="8">
        <f t="shared" si="6"/>
        <v>0.1166666666666667</v>
      </c>
      <c r="O121" s="14">
        <v>45.25</v>
      </c>
      <c r="S121" t="s">
        <v>148</v>
      </c>
    </row>
    <row r="122" spans="1:20" x14ac:dyDescent="0.2">
      <c r="A122" s="5">
        <v>39657</v>
      </c>
      <c r="B122" s="17">
        <v>2012</v>
      </c>
      <c r="C122" s="18" t="str">
        <f t="shared" si="5"/>
        <v>Elkhorn Slough_39657_Seal Bend_0.4917</v>
      </c>
      <c r="D122" s="4" t="s">
        <v>45</v>
      </c>
      <c r="E122" s="6" t="s">
        <v>157</v>
      </c>
      <c r="F122" s="70" t="s">
        <v>288</v>
      </c>
      <c r="G122" s="70">
        <v>1</v>
      </c>
      <c r="H122" s="82" t="s">
        <v>280</v>
      </c>
      <c r="I122" s="6">
        <v>70</v>
      </c>
      <c r="J122" s="70" t="s">
        <v>289</v>
      </c>
      <c r="K122" s="2">
        <f>(VLOOKUP(H122,'functions and szcl estimates'!$A$14:$I$23,4, FALSE))*(('raw data'!I321)^(VLOOKUP('raw data'!H321,'functions and szcl estimates'!$A$14:$I$23, 7, FALSE)))</f>
        <v>37.676038313504272</v>
      </c>
      <c r="L122" s="12">
        <v>0.49166666666666697</v>
      </c>
      <c r="M122" s="8" t="s">
        <v>32</v>
      </c>
      <c r="N122" s="8">
        <f t="shared" si="6"/>
        <v>0.11666666666666697</v>
      </c>
      <c r="O122" s="14">
        <v>45.25</v>
      </c>
      <c r="S122" t="s">
        <v>148</v>
      </c>
    </row>
    <row r="123" spans="1:20" x14ac:dyDescent="0.2">
      <c r="A123" s="5">
        <v>39657</v>
      </c>
      <c r="B123" s="17">
        <v>2012</v>
      </c>
      <c r="C123" s="18" t="str">
        <f t="shared" si="5"/>
        <v>Elkhorn Slough_39657_Seal Bend_0.4917</v>
      </c>
      <c r="D123" s="4" t="s">
        <v>45</v>
      </c>
      <c r="E123" s="6" t="s">
        <v>157</v>
      </c>
      <c r="F123" s="70" t="s">
        <v>288</v>
      </c>
      <c r="G123" s="70">
        <v>1</v>
      </c>
      <c r="H123" s="82" t="s">
        <v>280</v>
      </c>
      <c r="I123" s="6">
        <v>70</v>
      </c>
      <c r="J123" s="70" t="s">
        <v>289</v>
      </c>
      <c r="K123" s="2">
        <f>(VLOOKUP(H123,'functions and szcl estimates'!$A$14:$I$23,4, FALSE))*(('raw data'!I322)^(VLOOKUP('raw data'!H322,'functions and szcl estimates'!$A$14:$I$23, 7, FALSE)))</f>
        <v>45.419263015909074</v>
      </c>
      <c r="L123" s="12">
        <v>0.49166666666666697</v>
      </c>
      <c r="M123" s="8" t="s">
        <v>32</v>
      </c>
      <c r="N123" s="8">
        <f t="shared" si="6"/>
        <v>0.11666666666666697</v>
      </c>
      <c r="O123" s="14">
        <v>45.25</v>
      </c>
      <c r="S123" t="s">
        <v>148</v>
      </c>
    </row>
    <row r="124" spans="1:20" x14ac:dyDescent="0.2">
      <c r="A124" s="5">
        <v>39657</v>
      </c>
      <c r="B124" s="17">
        <v>2012</v>
      </c>
      <c r="C124" s="18" t="str">
        <f t="shared" si="5"/>
        <v>Elkhorn Slough_39657_Area 4_0.6569</v>
      </c>
      <c r="D124" s="4" t="s">
        <v>45</v>
      </c>
      <c r="E124" s="6" t="s">
        <v>3</v>
      </c>
      <c r="F124" s="70" t="s">
        <v>288</v>
      </c>
      <c r="G124" s="70">
        <v>1</v>
      </c>
      <c r="H124" s="82" t="s">
        <v>280</v>
      </c>
      <c r="I124" s="6">
        <v>68</v>
      </c>
      <c r="J124" s="70" t="s">
        <v>289</v>
      </c>
      <c r="K124" s="2">
        <f>(VLOOKUP(H124,'functions and szcl estimates'!$A$14:$I$23,4, FALSE))*(('raw data'!I325)^(VLOOKUP('raw data'!H325,'functions and szcl estimates'!$A$14:$I$23, 7, FALSE)))</f>
        <v>90.256587274066902</v>
      </c>
      <c r="L124" s="12">
        <v>0.65694444444444444</v>
      </c>
      <c r="M124" s="8" t="s">
        <v>33</v>
      </c>
      <c r="N124" s="8">
        <f t="shared" si="6"/>
        <v>0.22638888888888886</v>
      </c>
      <c r="O124" s="14">
        <v>42.5</v>
      </c>
      <c r="P124">
        <f>COUNT(O124:O135)</f>
        <v>12</v>
      </c>
      <c r="Q124" s="65">
        <f>SUM(K124:K135)</f>
        <v>653.881833513841</v>
      </c>
      <c r="R124" s="15">
        <f>P124/O124</f>
        <v>0.28235294117647058</v>
      </c>
      <c r="S124" t="s">
        <v>148</v>
      </c>
    </row>
    <row r="125" spans="1:20" x14ac:dyDescent="0.2">
      <c r="A125" s="5">
        <v>39657</v>
      </c>
      <c r="B125" s="17">
        <v>2012</v>
      </c>
      <c r="C125" s="18" t="str">
        <f t="shared" si="5"/>
        <v>Elkhorn Slough_39657_Crop Circles_0.3646</v>
      </c>
      <c r="D125" s="4" t="s">
        <v>45</v>
      </c>
      <c r="E125" s="6" t="s">
        <v>277</v>
      </c>
      <c r="F125" s="70" t="s">
        <v>288</v>
      </c>
      <c r="G125" s="70">
        <v>1</v>
      </c>
      <c r="H125" s="82" t="s">
        <v>280</v>
      </c>
      <c r="I125" s="6">
        <v>60</v>
      </c>
      <c r="J125" s="70" t="s">
        <v>289</v>
      </c>
      <c r="K125" s="2">
        <f>(VLOOKUP(H125,'functions and szcl estimates'!$A$14:$I$23,4, FALSE))*(('raw data'!I337)^(VLOOKUP('raw data'!H337,'functions and szcl estimates'!$A$14:$I$23, 7, FALSE)))</f>
        <v>51.746881593620614</v>
      </c>
      <c r="L125" s="12">
        <v>0.36458333333333331</v>
      </c>
      <c r="M125" s="8" t="s">
        <v>34</v>
      </c>
      <c r="N125" s="8">
        <f t="shared" si="6"/>
        <v>-7.9861111111111105E-2</v>
      </c>
      <c r="O125" s="14">
        <v>50</v>
      </c>
      <c r="P125">
        <f>COUNT(O125:O139)</f>
        <v>15</v>
      </c>
      <c r="Q125" s="65">
        <f>SUM(K125:K139)</f>
        <v>812.66144230481291</v>
      </c>
      <c r="R125" s="15">
        <f>P125/O125</f>
        <v>0.3</v>
      </c>
      <c r="S125" t="s">
        <v>148</v>
      </c>
      <c r="T125" s="6" t="s">
        <v>211</v>
      </c>
    </row>
    <row r="126" spans="1:20" x14ac:dyDescent="0.2">
      <c r="A126" s="5">
        <v>39657</v>
      </c>
      <c r="B126" s="17">
        <v>2012</v>
      </c>
      <c r="C126" s="18" t="str">
        <f t="shared" si="5"/>
        <v>Elkhorn Slough_39657_Crop Circles_0.3646</v>
      </c>
      <c r="D126" s="4" t="s">
        <v>45</v>
      </c>
      <c r="E126" s="6" t="s">
        <v>277</v>
      </c>
      <c r="F126" s="70" t="s">
        <v>288</v>
      </c>
      <c r="G126" s="70">
        <v>1</v>
      </c>
      <c r="H126" s="82" t="s">
        <v>280</v>
      </c>
      <c r="I126" s="6">
        <v>62</v>
      </c>
      <c r="J126" s="70" t="s">
        <v>289</v>
      </c>
      <c r="K126" s="2">
        <f>(VLOOKUP(H126,'functions and szcl estimates'!$A$14:$I$23,4, FALSE))*(('raw data'!I338)^(VLOOKUP('raw data'!H338,'functions and szcl estimates'!$A$14:$I$23, 7, FALSE)))</f>
        <v>53.956213715105555</v>
      </c>
      <c r="L126" s="12">
        <v>0.36458333333333331</v>
      </c>
      <c r="M126" s="8" t="s">
        <v>34</v>
      </c>
      <c r="N126" s="8">
        <f t="shared" si="6"/>
        <v>-7.9861111111111105E-2</v>
      </c>
      <c r="O126" s="14">
        <v>50</v>
      </c>
      <c r="S126" t="s">
        <v>148</v>
      </c>
    </row>
    <row r="127" spans="1:20" x14ac:dyDescent="0.2">
      <c r="A127" s="5">
        <v>39657</v>
      </c>
      <c r="B127" s="17">
        <v>2012</v>
      </c>
      <c r="C127" s="18" t="str">
        <f t="shared" si="5"/>
        <v>Elkhorn Slough_39657_Crop Circles_0.3646</v>
      </c>
      <c r="D127" s="4" t="s">
        <v>45</v>
      </c>
      <c r="E127" s="6" t="s">
        <v>277</v>
      </c>
      <c r="F127" s="70" t="s">
        <v>288</v>
      </c>
      <c r="G127" s="70">
        <v>1</v>
      </c>
      <c r="H127" s="82" t="s">
        <v>280</v>
      </c>
      <c r="I127" s="6">
        <v>72</v>
      </c>
      <c r="J127" s="70" t="s">
        <v>289</v>
      </c>
      <c r="K127" s="2">
        <f>(VLOOKUP(H127,'functions and szcl estimates'!$A$14:$I$23,4, FALSE))*(('raw data'!I339)^(VLOOKUP('raw data'!H339,'functions and szcl estimates'!$A$14:$I$23, 7, FALSE)))</f>
        <v>53.956213715105555</v>
      </c>
      <c r="L127" s="12">
        <v>0.36458333333333298</v>
      </c>
      <c r="M127" s="8" t="s">
        <v>34</v>
      </c>
      <c r="N127" s="8">
        <f t="shared" si="6"/>
        <v>-7.9861111111111438E-2</v>
      </c>
      <c r="O127" s="14">
        <v>50</v>
      </c>
      <c r="S127" t="s">
        <v>148</v>
      </c>
    </row>
    <row r="128" spans="1:20" x14ac:dyDescent="0.2">
      <c r="A128" s="5">
        <v>39657</v>
      </c>
      <c r="B128" s="17">
        <v>2012</v>
      </c>
      <c r="C128" s="18" t="str">
        <f t="shared" si="5"/>
        <v>Elkhorn Slough_39657_Crop Circles_0.3646</v>
      </c>
      <c r="D128" s="4" t="s">
        <v>45</v>
      </c>
      <c r="E128" s="6" t="s">
        <v>277</v>
      </c>
      <c r="F128" s="70" t="s">
        <v>288</v>
      </c>
      <c r="G128" s="70">
        <v>1</v>
      </c>
      <c r="H128" s="82" t="s">
        <v>280</v>
      </c>
      <c r="I128" s="6">
        <v>75</v>
      </c>
      <c r="J128" s="70" t="s">
        <v>289</v>
      </c>
      <c r="K128" s="2">
        <f>(VLOOKUP(H128,'functions and szcl estimates'!$A$14:$I$23,4, FALSE))*(('raw data'!I340)^(VLOOKUP('raw data'!H340,'functions and szcl estimates'!$A$14:$I$23, 7, FALSE)))</f>
        <v>56.215922371416745</v>
      </c>
      <c r="L128" s="12">
        <v>0.36458333333333298</v>
      </c>
      <c r="M128" s="8" t="s">
        <v>34</v>
      </c>
      <c r="N128" s="8">
        <f t="shared" si="6"/>
        <v>-7.9861111111111438E-2</v>
      </c>
      <c r="O128" s="14">
        <v>50</v>
      </c>
      <c r="S128" t="s">
        <v>148</v>
      </c>
    </row>
    <row r="129" spans="1:20" x14ac:dyDescent="0.2">
      <c r="A129" s="5">
        <v>39657</v>
      </c>
      <c r="B129" s="17">
        <v>2012</v>
      </c>
      <c r="C129" s="18" t="str">
        <f t="shared" si="5"/>
        <v>Elkhorn Slough_39657_Crop Circles_0.3646</v>
      </c>
      <c r="D129" s="4" t="s">
        <v>45</v>
      </c>
      <c r="E129" s="6" t="s">
        <v>277</v>
      </c>
      <c r="F129" s="70" t="s">
        <v>288</v>
      </c>
      <c r="G129" s="70">
        <v>1</v>
      </c>
      <c r="H129" s="82" t="s">
        <v>280</v>
      </c>
      <c r="I129" s="6">
        <v>89</v>
      </c>
      <c r="J129" s="70" t="s">
        <v>289</v>
      </c>
      <c r="K129" s="2">
        <f>(VLOOKUP(H129,'functions and szcl estimates'!$A$14:$I$23,4, FALSE))*(('raw data'!I341)^(VLOOKUP('raw data'!H341,'functions and szcl estimates'!$A$14:$I$23, 7, FALSE)))</f>
        <v>58.526191422869005</v>
      </c>
      <c r="L129" s="12">
        <v>0.36458333333333298</v>
      </c>
      <c r="M129" s="8" t="s">
        <v>34</v>
      </c>
      <c r="N129" s="8">
        <f t="shared" si="6"/>
        <v>-7.9861111111111438E-2</v>
      </c>
      <c r="O129" s="14">
        <v>50</v>
      </c>
      <c r="S129" t="s">
        <v>148</v>
      </c>
    </row>
    <row r="130" spans="1:20" x14ac:dyDescent="0.2">
      <c r="A130" s="5">
        <v>39657</v>
      </c>
      <c r="B130" s="17">
        <v>2012</v>
      </c>
      <c r="C130" s="18" t="str">
        <f t="shared" si="5"/>
        <v>Elkhorn Slough_39657_Crop Circles_0.3646</v>
      </c>
      <c r="D130" s="4" t="s">
        <v>45</v>
      </c>
      <c r="E130" s="6" t="s">
        <v>277</v>
      </c>
      <c r="F130" s="70" t="s">
        <v>288</v>
      </c>
      <c r="G130" s="70">
        <v>1</v>
      </c>
      <c r="H130" s="82" t="s">
        <v>280</v>
      </c>
      <c r="I130" s="6">
        <v>95</v>
      </c>
      <c r="J130" s="70" t="s">
        <v>289</v>
      </c>
      <c r="K130" s="2">
        <f>(VLOOKUP(H130,'functions and szcl estimates'!$A$14:$I$23,4, FALSE))*(('raw data'!I342)^(VLOOKUP('raw data'!H342,'functions and szcl estimates'!$A$14:$I$23, 7, FALSE)))</f>
        <v>58.526191422869005</v>
      </c>
      <c r="L130" s="12">
        <v>0.36458333333333298</v>
      </c>
      <c r="M130" s="8" t="s">
        <v>34</v>
      </c>
      <c r="N130" s="8">
        <f t="shared" si="6"/>
        <v>-7.9861111111111438E-2</v>
      </c>
      <c r="O130" s="14">
        <v>50</v>
      </c>
      <c r="S130" t="s">
        <v>148</v>
      </c>
    </row>
    <row r="131" spans="1:20" x14ac:dyDescent="0.2">
      <c r="A131" s="5">
        <v>39658</v>
      </c>
      <c r="B131" s="17">
        <v>2012</v>
      </c>
      <c r="C131" s="18" t="str">
        <f t="shared" ref="C131:C194" si="7">CONCATENATE(D131,"_",A131,"_",E131,"_",ROUND(L131,4))</f>
        <v>Elkhorn Slough_39658_Outfall_0.5208</v>
      </c>
      <c r="D131" s="4" t="s">
        <v>45</v>
      </c>
      <c r="E131" s="6" t="s">
        <v>17</v>
      </c>
      <c r="F131" s="70" t="s">
        <v>288</v>
      </c>
      <c r="G131" s="70">
        <v>1</v>
      </c>
      <c r="H131" s="82" t="s">
        <v>280</v>
      </c>
      <c r="I131" s="6">
        <v>62</v>
      </c>
      <c r="J131" s="70" t="s">
        <v>289</v>
      </c>
      <c r="K131" s="2">
        <f>(VLOOKUP(H131,'functions and szcl estimates'!$A$14:$I$23,4, FALSE))*(('raw data'!I352)^(VLOOKUP('raw data'!H352,'functions and szcl estimates'!$A$14:$I$23, 7, FALSE)))</f>
        <v>39.538132362975787</v>
      </c>
      <c r="L131" s="12">
        <v>0.52083333333333337</v>
      </c>
      <c r="M131" s="8" t="s">
        <v>216</v>
      </c>
      <c r="N131" s="8">
        <f t="shared" si="6"/>
        <v>5.208333333333337E-2</v>
      </c>
      <c r="O131" s="14">
        <v>22.75</v>
      </c>
      <c r="P131">
        <f>COUNT(O131:O146)</f>
        <v>16</v>
      </c>
      <c r="Q131" s="65">
        <f>SUM(K131:K146)</f>
        <v>1725.5833254331096</v>
      </c>
      <c r="R131" s="15">
        <f>P131/O131</f>
        <v>0.70329670329670335</v>
      </c>
      <c r="S131" t="s">
        <v>148</v>
      </c>
    </row>
    <row r="132" spans="1:20" x14ac:dyDescent="0.2">
      <c r="A132" s="5">
        <v>39658</v>
      </c>
      <c r="B132" s="17">
        <v>2012</v>
      </c>
      <c r="C132" s="18" t="str">
        <f t="shared" si="7"/>
        <v>Elkhorn Slough_39658_Outfall_0.5208</v>
      </c>
      <c r="D132" s="4" t="s">
        <v>45</v>
      </c>
      <c r="E132" s="6" t="s">
        <v>17</v>
      </c>
      <c r="F132" s="70" t="s">
        <v>288</v>
      </c>
      <c r="G132" s="70">
        <v>1</v>
      </c>
      <c r="H132" s="82" t="s">
        <v>280</v>
      </c>
      <c r="I132" s="6">
        <v>74</v>
      </c>
      <c r="J132" s="70" t="s">
        <v>289</v>
      </c>
      <c r="K132" s="2">
        <f>(VLOOKUP(H132,'functions and szcl estimates'!$A$14:$I$23,4, FALSE))*(('raw data'!I353)^(VLOOKUP('raw data'!H353,'functions and szcl estimates'!$A$14:$I$23, 7, FALSE)))</f>
        <v>39.538132362975787</v>
      </c>
      <c r="L132" s="12">
        <v>0.52083333333333337</v>
      </c>
      <c r="M132" s="8" t="s">
        <v>216</v>
      </c>
      <c r="N132" s="8">
        <f t="shared" si="6"/>
        <v>5.208333333333337E-2</v>
      </c>
      <c r="O132" s="14">
        <v>22.75</v>
      </c>
      <c r="S132" t="s">
        <v>148</v>
      </c>
    </row>
    <row r="133" spans="1:20" x14ac:dyDescent="0.2">
      <c r="A133" s="5">
        <v>39658</v>
      </c>
      <c r="B133" s="17">
        <v>2012</v>
      </c>
      <c r="C133" s="18" t="str">
        <f t="shared" si="7"/>
        <v>Elkhorn Slough_39658_Outfall_0.5208</v>
      </c>
      <c r="D133" s="4" t="s">
        <v>45</v>
      </c>
      <c r="E133" s="6" t="s">
        <v>17</v>
      </c>
      <c r="F133" s="70" t="s">
        <v>288</v>
      </c>
      <c r="G133" s="70">
        <v>1</v>
      </c>
      <c r="H133" s="82" t="s">
        <v>280</v>
      </c>
      <c r="I133" s="6">
        <v>81</v>
      </c>
      <c r="J133" s="70" t="s">
        <v>289</v>
      </c>
      <c r="K133" s="2">
        <f>(VLOOKUP(H133,'functions and szcl estimates'!$A$14:$I$23,4, FALSE))*(('raw data'!I354)^(VLOOKUP('raw data'!H354,'functions and szcl estimates'!$A$14:$I$23, 7, FALSE)))</f>
        <v>41.449231186313774</v>
      </c>
      <c r="L133" s="12">
        <v>0.52083333333333304</v>
      </c>
      <c r="M133" s="8" t="s">
        <v>216</v>
      </c>
      <c r="N133" s="8">
        <f t="shared" ref="N133:N164" si="8">L133-M133</f>
        <v>5.2083333333333037E-2</v>
      </c>
      <c r="O133" s="14">
        <v>22.75</v>
      </c>
      <c r="S133" t="s">
        <v>148</v>
      </c>
    </row>
    <row r="134" spans="1:20" x14ac:dyDescent="0.2">
      <c r="A134" s="5">
        <v>39658</v>
      </c>
      <c r="B134" s="17">
        <v>2012</v>
      </c>
      <c r="C134" s="18" t="str">
        <f t="shared" si="7"/>
        <v>Elkhorn Slough_39658_Outfall_0.4688</v>
      </c>
      <c r="D134" s="4" t="s">
        <v>45</v>
      </c>
      <c r="E134" s="6" t="s">
        <v>17</v>
      </c>
      <c r="F134" s="70" t="s">
        <v>288</v>
      </c>
      <c r="G134" s="70">
        <v>1</v>
      </c>
      <c r="H134" s="82" t="s">
        <v>280</v>
      </c>
      <c r="I134" s="6">
        <v>63</v>
      </c>
      <c r="J134" s="70" t="s">
        <v>289</v>
      </c>
      <c r="K134" s="2">
        <f>(VLOOKUP(H134,'functions and szcl estimates'!$A$14:$I$23,4, FALSE))*(('raw data'!I368)^(VLOOKUP('raw data'!H368,'functions and szcl estimates'!$A$14:$I$23, 7, FALSE)))</f>
        <v>53.956213715105555</v>
      </c>
      <c r="L134" s="12">
        <v>0.46875</v>
      </c>
      <c r="M134" s="8" t="s">
        <v>35</v>
      </c>
      <c r="N134" s="8">
        <f t="shared" si="8"/>
        <v>-0.25347222222222221</v>
      </c>
      <c r="O134" s="14">
        <v>6</v>
      </c>
      <c r="P134">
        <f>COUNT(O134:O144)</f>
        <v>11</v>
      </c>
      <c r="Q134" s="65">
        <f>SUM(K134:K144)</f>
        <v>828.20328399764037</v>
      </c>
      <c r="R134" s="15">
        <f>P134/O134</f>
        <v>1.8333333333333333</v>
      </c>
      <c r="S134" t="s">
        <v>148</v>
      </c>
      <c r="T134" s="6" t="s">
        <v>234</v>
      </c>
    </row>
    <row r="135" spans="1:20" x14ac:dyDescent="0.2">
      <c r="A135" s="5">
        <v>39658</v>
      </c>
      <c r="B135" s="17">
        <v>2012</v>
      </c>
      <c r="C135" s="18" t="str">
        <f t="shared" si="7"/>
        <v>Elkhorn Slough_39658_Outfall_0.4688</v>
      </c>
      <c r="D135" s="4" t="s">
        <v>45</v>
      </c>
      <c r="E135" s="6" t="s">
        <v>17</v>
      </c>
      <c r="F135" s="70" t="s">
        <v>288</v>
      </c>
      <c r="G135" s="70">
        <v>1</v>
      </c>
      <c r="H135" s="82" t="s">
        <v>280</v>
      </c>
      <c r="I135" s="6">
        <v>77</v>
      </c>
      <c r="J135" s="70" t="s">
        <v>289</v>
      </c>
      <c r="K135" s="2">
        <f>(VLOOKUP(H135,'functions and szcl estimates'!$A$14:$I$23,4, FALSE))*(('raw data'!I369)^(VLOOKUP('raw data'!H369,'functions and szcl estimates'!$A$14:$I$23, 7, FALSE)))</f>
        <v>56.215922371416745</v>
      </c>
      <c r="L135" s="12">
        <v>0.46875</v>
      </c>
      <c r="M135" s="8" t="s">
        <v>35</v>
      </c>
      <c r="N135" s="8">
        <f t="shared" si="8"/>
        <v>-0.25347222222222221</v>
      </c>
      <c r="O135" s="14">
        <v>6</v>
      </c>
      <c r="S135" t="s">
        <v>148</v>
      </c>
    </row>
    <row r="136" spans="1:20" x14ac:dyDescent="0.2">
      <c r="A136" s="5">
        <v>39658</v>
      </c>
      <c r="B136" s="17">
        <v>2012</v>
      </c>
      <c r="C136" s="18" t="str">
        <f t="shared" si="7"/>
        <v>Elkhorn Slough_39658_Outfall_0.4688</v>
      </c>
      <c r="D136" s="4" t="s">
        <v>45</v>
      </c>
      <c r="E136" s="6" t="s">
        <v>17</v>
      </c>
      <c r="F136" s="70" t="s">
        <v>288</v>
      </c>
      <c r="G136" s="70">
        <v>1</v>
      </c>
      <c r="H136" s="82" t="s">
        <v>280</v>
      </c>
      <c r="I136" s="6">
        <v>82</v>
      </c>
      <c r="J136" s="70" t="s">
        <v>289</v>
      </c>
      <c r="K136" s="2">
        <f>(VLOOKUP(H136,'functions and szcl estimates'!$A$14:$I$23,4, FALSE))*(('raw data'!I370)^(VLOOKUP('raw data'!H370,'functions and szcl estimates'!$A$14:$I$23, 7, FALSE)))</f>
        <v>56.215922371416745</v>
      </c>
      <c r="L136" s="12">
        <v>0.46875</v>
      </c>
      <c r="M136" s="8" t="s">
        <v>35</v>
      </c>
      <c r="N136" s="8">
        <f t="shared" si="8"/>
        <v>-0.25347222222222221</v>
      </c>
      <c r="O136" s="14">
        <v>6</v>
      </c>
      <c r="S136" t="s">
        <v>148</v>
      </c>
    </row>
    <row r="137" spans="1:20" x14ac:dyDescent="0.2">
      <c r="A137" s="5">
        <v>39658</v>
      </c>
      <c r="B137" s="17">
        <v>2012</v>
      </c>
      <c r="C137" s="18" t="str">
        <f t="shared" si="7"/>
        <v>Elkhorn Slough_39658_Outfall_0.4688</v>
      </c>
      <c r="D137" s="4" t="s">
        <v>45</v>
      </c>
      <c r="E137" s="6" t="s">
        <v>17</v>
      </c>
      <c r="F137" s="70" t="s">
        <v>288</v>
      </c>
      <c r="G137" s="70">
        <v>1</v>
      </c>
      <c r="H137" s="82" t="s">
        <v>280</v>
      </c>
      <c r="I137" s="6">
        <v>92</v>
      </c>
      <c r="J137" s="70" t="s">
        <v>289</v>
      </c>
      <c r="K137" s="2">
        <f>(VLOOKUP(H137,'functions and szcl estimates'!$A$14:$I$23,4, FALSE))*(('raw data'!I371)^(VLOOKUP('raw data'!H371,'functions and szcl estimates'!$A$14:$I$23, 7, FALSE)))</f>
        <v>56.215922371416745</v>
      </c>
      <c r="L137" s="12">
        <v>0.46875</v>
      </c>
      <c r="M137" s="8" t="s">
        <v>35</v>
      </c>
      <c r="N137" s="8">
        <f t="shared" si="8"/>
        <v>-0.25347222222222221</v>
      </c>
      <c r="O137" s="14">
        <v>6</v>
      </c>
      <c r="S137" t="s">
        <v>148</v>
      </c>
    </row>
    <row r="138" spans="1:20" x14ac:dyDescent="0.2">
      <c r="A138" s="5">
        <v>39658</v>
      </c>
      <c r="B138" s="17">
        <v>2012</v>
      </c>
      <c r="C138" s="18" t="str">
        <f t="shared" si="7"/>
        <v>Elkhorn Slough_39658_Area 4_0.4306</v>
      </c>
      <c r="D138" s="4" t="s">
        <v>45</v>
      </c>
      <c r="E138" s="6" t="s">
        <v>3</v>
      </c>
      <c r="F138" s="70" t="s">
        <v>288</v>
      </c>
      <c r="G138" s="70">
        <v>1</v>
      </c>
      <c r="H138" s="82" t="s">
        <v>280</v>
      </c>
      <c r="I138" s="6">
        <v>31</v>
      </c>
      <c r="J138" s="70" t="s">
        <v>289</v>
      </c>
      <c r="K138" s="2">
        <f>(VLOOKUP(H138,'functions and szcl estimates'!$A$14:$I$23,4, FALSE))*(('raw data'!I381)^(VLOOKUP('raw data'!H381,'functions and szcl estimates'!$A$14:$I$23, 7, FALSE)))</f>
        <v>65.762159257695998</v>
      </c>
      <c r="L138" s="12">
        <v>0.43055555555555558</v>
      </c>
      <c r="M138" s="8" t="s">
        <v>38</v>
      </c>
      <c r="N138" s="8">
        <f t="shared" si="8"/>
        <v>-0.26736111111111105</v>
      </c>
      <c r="O138" s="14">
        <v>30.5</v>
      </c>
      <c r="P138">
        <f>COUNT(O138:O158)</f>
        <v>21</v>
      </c>
      <c r="Q138" s="65">
        <f>SUM(K138:K158)</f>
        <v>7716.9710134492943</v>
      </c>
      <c r="R138" s="15">
        <f>P138/O138</f>
        <v>0.68852459016393441</v>
      </c>
      <c r="S138" t="s">
        <v>148</v>
      </c>
      <c r="T138" s="6" t="s">
        <v>233</v>
      </c>
    </row>
    <row r="139" spans="1:20" x14ac:dyDescent="0.2">
      <c r="A139" s="5">
        <v>39658</v>
      </c>
      <c r="B139" s="17">
        <v>2012</v>
      </c>
      <c r="C139" s="18" t="str">
        <f t="shared" si="7"/>
        <v>Elkhorn Slough_39658_Area 4_0.4306</v>
      </c>
      <c r="D139" s="4" t="s">
        <v>45</v>
      </c>
      <c r="E139" s="6" t="s">
        <v>3</v>
      </c>
      <c r="F139" s="70" t="s">
        <v>288</v>
      </c>
      <c r="G139" s="70">
        <v>1</v>
      </c>
      <c r="H139" s="82" t="s">
        <v>280</v>
      </c>
      <c r="I139" s="6">
        <v>61</v>
      </c>
      <c r="J139" s="70" t="s">
        <v>289</v>
      </c>
      <c r="K139" s="2">
        <f>(VLOOKUP(H139,'functions and szcl estimates'!$A$14:$I$23,4, FALSE))*(('raw data'!I382)^(VLOOKUP('raw data'!H382,'functions and szcl estimates'!$A$14:$I$23, 7, FALSE)))</f>
        <v>70.842192064509391</v>
      </c>
      <c r="L139" s="12">
        <v>0.43055555555555558</v>
      </c>
      <c r="M139" s="8" t="s">
        <v>38</v>
      </c>
      <c r="N139" s="8">
        <f t="shared" si="8"/>
        <v>-0.26736111111111105</v>
      </c>
      <c r="O139" s="14">
        <v>30.5</v>
      </c>
      <c r="S139" t="s">
        <v>148</v>
      </c>
    </row>
    <row r="140" spans="1:20" x14ac:dyDescent="0.2">
      <c r="A140" s="5">
        <v>39658</v>
      </c>
      <c r="B140" s="17">
        <v>2012</v>
      </c>
      <c r="C140" s="18" t="str">
        <f t="shared" si="7"/>
        <v>Elkhorn Slough_39658_Area 4_0.4306</v>
      </c>
      <c r="D140" s="4" t="s">
        <v>45</v>
      </c>
      <c r="E140" s="6" t="s">
        <v>3</v>
      </c>
      <c r="F140" s="70" t="s">
        <v>288</v>
      </c>
      <c r="G140" s="70">
        <v>1</v>
      </c>
      <c r="H140" s="82" t="s">
        <v>280</v>
      </c>
      <c r="I140" s="6">
        <v>64</v>
      </c>
      <c r="J140" s="70" t="s">
        <v>289</v>
      </c>
      <c r="K140" s="2">
        <f>(VLOOKUP(H140,'functions and szcl estimates'!$A$14:$I$23,4, FALSE))*(('raw data'!I383)^(VLOOKUP('raw data'!H383,'functions and szcl estimates'!$A$14:$I$23, 7, FALSE)))</f>
        <v>73.45953812330599</v>
      </c>
      <c r="L140" s="12">
        <v>0.43055555555555602</v>
      </c>
      <c r="M140" s="8" t="s">
        <v>38</v>
      </c>
      <c r="N140" s="8">
        <f t="shared" si="8"/>
        <v>-0.26736111111111061</v>
      </c>
      <c r="O140" s="14">
        <v>30.5</v>
      </c>
      <c r="S140" t="s">
        <v>148</v>
      </c>
    </row>
    <row r="141" spans="1:20" x14ac:dyDescent="0.2">
      <c r="A141" s="5">
        <v>39659</v>
      </c>
      <c r="B141" s="17">
        <v>2012</v>
      </c>
      <c r="C141" s="18" t="str">
        <f t="shared" si="7"/>
        <v>Elkhorn Slough_39659_Seal Bend_0.375</v>
      </c>
      <c r="D141" s="4" t="s">
        <v>45</v>
      </c>
      <c r="E141" s="6" t="s">
        <v>157</v>
      </c>
      <c r="F141" s="70" t="s">
        <v>288</v>
      </c>
      <c r="G141" s="70">
        <v>1</v>
      </c>
      <c r="H141" s="82" t="s">
        <v>280</v>
      </c>
      <c r="I141" s="6">
        <v>65</v>
      </c>
      <c r="J141" s="70" t="s">
        <v>289</v>
      </c>
      <c r="K141" s="2">
        <f>(VLOOKUP(H141,'functions and szcl estimates'!$A$14:$I$23,4, FALSE))*(('raw data'!I402)^(VLOOKUP('raw data'!H402,'functions and szcl estimates'!$A$14:$I$23, 7, FALSE)))</f>
        <v>102.50711648450921</v>
      </c>
      <c r="L141" s="12">
        <v>0.375</v>
      </c>
      <c r="M141" s="8" t="s">
        <v>39</v>
      </c>
      <c r="N141" s="8">
        <f t="shared" si="8"/>
        <v>-3.4722222222222265E-2</v>
      </c>
      <c r="O141" s="14">
        <v>24.25</v>
      </c>
      <c r="P141">
        <v>2</v>
      </c>
      <c r="Q141" s="65">
        <f>SUM(K141:K142)</f>
        <v>208.20982165168203</v>
      </c>
      <c r="R141" s="15">
        <f>P141/O141</f>
        <v>8.247422680412371E-2</v>
      </c>
      <c r="S141" t="s">
        <v>148</v>
      </c>
      <c r="T141" s="6" t="s">
        <v>235</v>
      </c>
    </row>
    <row r="142" spans="1:20" x14ac:dyDescent="0.2">
      <c r="A142" s="5">
        <v>39659</v>
      </c>
      <c r="B142" s="17">
        <v>2012</v>
      </c>
      <c r="C142" s="18" t="str">
        <f t="shared" si="7"/>
        <v>Elkhorn Slough_39659_Seal Bend_0.375</v>
      </c>
      <c r="D142" s="4" t="s">
        <v>45</v>
      </c>
      <c r="E142" s="6" t="s">
        <v>157</v>
      </c>
      <c r="F142" s="70" t="s">
        <v>288</v>
      </c>
      <c r="G142" s="70">
        <v>1</v>
      </c>
      <c r="H142" s="82" t="s">
        <v>280</v>
      </c>
      <c r="I142" s="6">
        <v>69</v>
      </c>
      <c r="J142" s="70" t="s">
        <v>289</v>
      </c>
      <c r="K142" s="2">
        <f>(VLOOKUP(H142,'functions and szcl estimates'!$A$14:$I$23,4, FALSE))*(('raw data'!I403)^(VLOOKUP('raw data'!H403,'functions and szcl estimates'!$A$14:$I$23, 7, FALSE)))</f>
        <v>105.70270516717281</v>
      </c>
      <c r="L142" s="12">
        <v>0.375</v>
      </c>
      <c r="M142" s="8" t="s">
        <v>39</v>
      </c>
      <c r="N142" s="8">
        <f t="shared" si="8"/>
        <v>-3.4722222222222265E-2</v>
      </c>
      <c r="O142" s="14">
        <v>24.25</v>
      </c>
      <c r="S142" t="s">
        <v>148</v>
      </c>
    </row>
    <row r="143" spans="1:20" x14ac:dyDescent="0.2">
      <c r="A143" s="5">
        <v>39659</v>
      </c>
      <c r="B143" s="17">
        <v>2012</v>
      </c>
      <c r="C143" s="18" t="str">
        <f t="shared" si="7"/>
        <v>Elkhorn Slough_39659_Area 4_0.4306</v>
      </c>
      <c r="D143" s="4" t="s">
        <v>45</v>
      </c>
      <c r="E143" s="6" t="s">
        <v>3</v>
      </c>
      <c r="F143" s="70" t="s">
        <v>288</v>
      </c>
      <c r="G143" s="70">
        <v>1</v>
      </c>
      <c r="H143" s="82" t="s">
        <v>280</v>
      </c>
      <c r="I143" s="6">
        <v>56</v>
      </c>
      <c r="J143" s="70" t="s">
        <v>289</v>
      </c>
      <c r="K143" s="2">
        <f>(VLOOKUP(H143,'functions and szcl estimates'!$A$14:$I$23,4, FALSE))*(('raw data'!I407)^(VLOOKUP('raw data'!H407,'functions and szcl estimates'!$A$14:$I$23, 7, FALSE)))</f>
        <v>81.622886903918399</v>
      </c>
      <c r="L143" s="12">
        <v>0.43055555555555558</v>
      </c>
      <c r="M143" s="8" t="s">
        <v>41</v>
      </c>
      <c r="N143" s="8">
        <f t="shared" si="8"/>
        <v>-4.513888888888884E-2</v>
      </c>
      <c r="O143" s="14">
        <v>25</v>
      </c>
      <c r="P143">
        <f>COUNT(O143:O168)</f>
        <v>26</v>
      </c>
      <c r="Q143" s="65">
        <f>SUM(K143:K168)</f>
        <v>10820.414733305257</v>
      </c>
      <c r="R143" s="15">
        <f>P143/O143</f>
        <v>1.04</v>
      </c>
      <c r="S143" t="s">
        <v>148</v>
      </c>
      <c r="T143" s="6" t="s">
        <v>236</v>
      </c>
    </row>
    <row r="144" spans="1:20" x14ac:dyDescent="0.2">
      <c r="A144" s="5">
        <v>39659</v>
      </c>
      <c r="B144" s="17">
        <v>2012</v>
      </c>
      <c r="C144" s="18" t="str">
        <f t="shared" si="7"/>
        <v>Elkhorn Slough_39659_Area 4_0.4306</v>
      </c>
      <c r="D144" s="4" t="s">
        <v>45</v>
      </c>
      <c r="E144" s="6" t="s">
        <v>3</v>
      </c>
      <c r="F144" s="70" t="s">
        <v>288</v>
      </c>
      <c r="G144" s="70">
        <v>1</v>
      </c>
      <c r="H144" s="82" t="s">
        <v>280</v>
      </c>
      <c r="I144" s="6">
        <v>67</v>
      </c>
      <c r="J144" s="70" t="s">
        <v>289</v>
      </c>
      <c r="K144" s="2">
        <f>(VLOOKUP(H144,'functions and szcl estimates'!$A$14:$I$23,4, FALSE))*(('raw data'!I408)^(VLOOKUP('raw data'!H408,'functions and szcl estimates'!$A$14:$I$23, 7, FALSE)))</f>
        <v>105.70270516717281</v>
      </c>
      <c r="L144" s="12">
        <v>0.43055555555555558</v>
      </c>
      <c r="M144" s="8" t="s">
        <v>41</v>
      </c>
      <c r="N144" s="8">
        <f t="shared" si="8"/>
        <v>-4.513888888888884E-2</v>
      </c>
      <c r="O144" s="14">
        <v>25</v>
      </c>
      <c r="S144" t="s">
        <v>148</v>
      </c>
    </row>
    <row r="145" spans="1:20" x14ac:dyDescent="0.2">
      <c r="A145" s="5">
        <v>39659</v>
      </c>
      <c r="B145" s="17">
        <v>2012</v>
      </c>
      <c r="C145" s="18" t="str">
        <f t="shared" si="7"/>
        <v>Elkhorn Slough_39659_Area 4_0.4306</v>
      </c>
      <c r="D145" s="4" t="s">
        <v>45</v>
      </c>
      <c r="E145" s="6" t="s">
        <v>3</v>
      </c>
      <c r="F145" s="70" t="s">
        <v>288</v>
      </c>
      <c r="G145" s="70">
        <v>1</v>
      </c>
      <c r="H145" s="82" t="s">
        <v>280</v>
      </c>
      <c r="I145" s="6">
        <v>80</v>
      </c>
      <c r="J145" s="70" t="s">
        <v>289</v>
      </c>
      <c r="K145" s="2">
        <f>(VLOOKUP(H145,'functions and szcl estimates'!$A$14:$I$23,4, FALSE))*(('raw data'!I409)^(VLOOKUP('raw data'!H409,'functions and szcl estimates'!$A$14:$I$23, 7, FALSE)))</f>
        <v>102.50711648450921</v>
      </c>
      <c r="L145" s="12">
        <v>0.43055555555555602</v>
      </c>
      <c r="M145" s="8" t="s">
        <v>41</v>
      </c>
      <c r="N145" s="8">
        <f t="shared" si="8"/>
        <v>-4.5138888888888395E-2</v>
      </c>
      <c r="O145" s="14">
        <v>25</v>
      </c>
      <c r="S145" t="s">
        <v>148</v>
      </c>
    </row>
    <row r="146" spans="1:20" x14ac:dyDescent="0.2">
      <c r="A146" s="5">
        <v>39659</v>
      </c>
      <c r="B146" s="17">
        <v>2012</v>
      </c>
      <c r="C146" s="18" t="str">
        <f t="shared" si="7"/>
        <v>Elkhorn Slough_39659_Outfall_0.7222</v>
      </c>
      <c r="D146" s="4" t="s">
        <v>45</v>
      </c>
      <c r="E146" s="6" t="s">
        <v>17</v>
      </c>
      <c r="F146" s="70" t="s">
        <v>288</v>
      </c>
      <c r="G146" s="70">
        <v>1</v>
      </c>
      <c r="H146" s="82" t="s">
        <v>280</v>
      </c>
      <c r="I146" s="6">
        <v>58</v>
      </c>
      <c r="J146" s="70" t="s">
        <v>289</v>
      </c>
      <c r="K146" s="2">
        <f>(VLOOKUP(H146,'functions and szcl estimates'!$A$14:$I$23,4, FALSE))*(('raw data'!I433)^(VLOOKUP('raw data'!H433,'functions and szcl estimates'!$A$14:$I$23, 7, FALSE)))</f>
        <v>674.34742903869494</v>
      </c>
      <c r="L146" s="12">
        <v>0.72222222222222221</v>
      </c>
      <c r="M146" s="8" t="s">
        <v>136</v>
      </c>
      <c r="N146" s="8">
        <f t="shared" si="8"/>
        <v>0.20486111111111116</v>
      </c>
      <c r="O146" s="14">
        <v>19</v>
      </c>
      <c r="P146">
        <f>COUNT(O146:O155)</f>
        <v>10</v>
      </c>
      <c r="Q146" s="65">
        <f>SUM(K146:K155)</f>
        <v>5753.8568003438731</v>
      </c>
      <c r="R146" s="15">
        <f>P146/O146</f>
        <v>0.52631578947368418</v>
      </c>
      <c r="S146" t="s">
        <v>148</v>
      </c>
    </row>
    <row r="147" spans="1:20" x14ac:dyDescent="0.2">
      <c r="A147" s="5">
        <v>39659</v>
      </c>
      <c r="B147" s="17">
        <v>2012</v>
      </c>
      <c r="C147" s="18" t="str">
        <f t="shared" si="7"/>
        <v>Elkhorn Slough_39659_Outfall_0.7222</v>
      </c>
      <c r="D147" s="4" t="s">
        <v>45</v>
      </c>
      <c r="E147" s="6" t="s">
        <v>17</v>
      </c>
      <c r="F147" s="70" t="s">
        <v>288</v>
      </c>
      <c r="G147" s="70">
        <v>1</v>
      </c>
      <c r="H147" s="82" t="s">
        <v>280</v>
      </c>
      <c r="I147" s="6">
        <v>63</v>
      </c>
      <c r="J147" s="70" t="s">
        <v>289</v>
      </c>
      <c r="K147" s="2">
        <f>(VLOOKUP(H147,'functions and szcl estimates'!$A$14:$I$23,4, FALSE))*(('raw data'!I434)^(VLOOKUP('raw data'!H434,'functions and szcl estimates'!$A$14:$I$23, 7, FALSE)))</f>
        <v>745.66136806150985</v>
      </c>
      <c r="L147" s="12">
        <v>0.72222222222222221</v>
      </c>
      <c r="M147" s="8" t="s">
        <v>136</v>
      </c>
      <c r="N147" s="8">
        <f t="shared" si="8"/>
        <v>0.20486111111111116</v>
      </c>
      <c r="O147" s="14">
        <v>19</v>
      </c>
      <c r="S147" t="s">
        <v>148</v>
      </c>
    </row>
    <row r="148" spans="1:20" x14ac:dyDescent="0.2">
      <c r="A148" s="5">
        <v>39659</v>
      </c>
      <c r="B148" s="17">
        <v>2012</v>
      </c>
      <c r="C148" s="18" t="str">
        <f t="shared" si="7"/>
        <v>Elkhorn Slough_39659_Outfall_0.7222</v>
      </c>
      <c r="D148" s="4" t="s">
        <v>45</v>
      </c>
      <c r="E148" s="6" t="s">
        <v>17</v>
      </c>
      <c r="F148" s="70" t="s">
        <v>288</v>
      </c>
      <c r="G148" s="70">
        <v>1</v>
      </c>
      <c r="H148" s="82" t="s">
        <v>280</v>
      </c>
      <c r="I148" s="6">
        <v>63</v>
      </c>
      <c r="J148" s="70" t="s">
        <v>289</v>
      </c>
      <c r="K148" s="2">
        <f>(VLOOKUP(H148,'functions and szcl estimates'!$A$14:$I$23,4, FALSE))*(('raw data'!I435)^(VLOOKUP('raw data'!H435,'functions and szcl estimates'!$A$14:$I$23, 7, FALSE)))</f>
        <v>942.91623152439615</v>
      </c>
      <c r="L148" s="12">
        <v>0.72222222222222199</v>
      </c>
      <c r="M148" s="8" t="s">
        <v>136</v>
      </c>
      <c r="N148" s="8">
        <f t="shared" si="8"/>
        <v>0.20486111111111094</v>
      </c>
      <c r="O148" s="14">
        <v>19</v>
      </c>
      <c r="S148" t="s">
        <v>148</v>
      </c>
    </row>
    <row r="149" spans="1:20" x14ac:dyDescent="0.2">
      <c r="A149" s="5">
        <v>39659</v>
      </c>
      <c r="B149" s="17">
        <v>2012</v>
      </c>
      <c r="C149" s="18" t="str">
        <f t="shared" si="7"/>
        <v>Elkhorn Slough_39659_Outfall_0.7222</v>
      </c>
      <c r="D149" s="4" t="s">
        <v>45</v>
      </c>
      <c r="E149" s="6" t="s">
        <v>17</v>
      </c>
      <c r="F149" s="70" t="s">
        <v>288</v>
      </c>
      <c r="G149" s="70">
        <v>1</v>
      </c>
      <c r="H149" s="82" t="s">
        <v>280</v>
      </c>
      <c r="I149" s="6">
        <v>65</v>
      </c>
      <c r="J149" s="70" t="s">
        <v>289</v>
      </c>
      <c r="K149" s="2">
        <f>(VLOOKUP(H149,'functions and szcl estimates'!$A$14:$I$23,4, FALSE))*(('raw data'!I436)^(VLOOKUP('raw data'!H436,'functions and szcl estimates'!$A$14:$I$23, 7, FALSE)))</f>
        <v>1449.8658550399666</v>
      </c>
      <c r="L149" s="12">
        <v>0.72222222222222199</v>
      </c>
      <c r="M149" s="8" t="s">
        <v>136</v>
      </c>
      <c r="N149" s="8">
        <f t="shared" si="8"/>
        <v>0.20486111111111094</v>
      </c>
      <c r="O149" s="14">
        <v>19</v>
      </c>
      <c r="S149" t="s">
        <v>148</v>
      </c>
    </row>
    <row r="150" spans="1:20" x14ac:dyDescent="0.2">
      <c r="A150" s="5">
        <v>39661</v>
      </c>
      <c r="B150" s="17">
        <v>2012</v>
      </c>
      <c r="C150" s="18" t="str">
        <f t="shared" si="7"/>
        <v>Elkhorn Slough_39661_Crop Circles_0.4201</v>
      </c>
      <c r="D150" s="4" t="s">
        <v>45</v>
      </c>
      <c r="E150" s="6" t="s">
        <v>277</v>
      </c>
      <c r="F150" s="70" t="s">
        <v>288</v>
      </c>
      <c r="G150" s="70">
        <v>1</v>
      </c>
      <c r="H150" s="82" t="s">
        <v>280</v>
      </c>
      <c r="I150" s="6">
        <v>49</v>
      </c>
      <c r="J150" s="70" t="s">
        <v>289</v>
      </c>
      <c r="K150" s="2">
        <f>(VLOOKUP(H150,'functions and szcl estimates'!$A$14:$I$23,4, FALSE))*(('raw data'!I445)^(VLOOKUP('raw data'!H445,'functions and szcl estimates'!$A$14:$I$23, 7, FALSE)))</f>
        <v>544.28650441850334</v>
      </c>
      <c r="L150" s="12">
        <v>0.4201388888888889</v>
      </c>
      <c r="M150" s="8" t="s">
        <v>172</v>
      </c>
      <c r="N150" s="8">
        <f t="shared" si="8"/>
        <v>-0.28124999999999994</v>
      </c>
      <c r="O150" s="14">
        <v>54.75</v>
      </c>
      <c r="P150">
        <v>3</v>
      </c>
      <c r="Q150" s="65">
        <f>SUM(K150:K152)</f>
        <v>1123.3629704717803</v>
      </c>
      <c r="R150" s="15">
        <f>P150/O150</f>
        <v>5.4794520547945202E-2</v>
      </c>
      <c r="S150" t="s">
        <v>148</v>
      </c>
      <c r="T150" s="6" t="s">
        <v>240</v>
      </c>
    </row>
    <row r="151" spans="1:20" x14ac:dyDescent="0.2">
      <c r="A151" s="5">
        <v>39661</v>
      </c>
      <c r="B151" s="17">
        <v>2012</v>
      </c>
      <c r="C151" s="18" t="str">
        <f t="shared" si="7"/>
        <v>Elkhorn Slough_39661_Area 4_0.4757</v>
      </c>
      <c r="D151" s="4" t="s">
        <v>45</v>
      </c>
      <c r="E151" s="6" t="s">
        <v>3</v>
      </c>
      <c r="F151" s="70" t="s">
        <v>288</v>
      </c>
      <c r="G151" s="70">
        <v>1</v>
      </c>
      <c r="H151" s="82" t="s">
        <v>280</v>
      </c>
      <c r="I151" s="6">
        <v>95</v>
      </c>
      <c r="J151" s="70" t="s">
        <v>289</v>
      </c>
      <c r="K151" s="2">
        <f>(VLOOKUP(H151,'functions and szcl estimates'!$A$14:$I$23,4, FALSE))*(('raw data'!I448)^(VLOOKUP('raw data'!H448,'functions and szcl estimates'!$A$14:$I$23, 7, FALSE)))</f>
        <v>443.7941997949726</v>
      </c>
      <c r="L151" s="12">
        <v>0.47569444444444442</v>
      </c>
      <c r="M151" s="8" t="s">
        <v>173</v>
      </c>
      <c r="N151" s="8">
        <f t="shared" si="8"/>
        <v>-0.23611111111111105</v>
      </c>
      <c r="O151" s="14">
        <v>53.75</v>
      </c>
      <c r="P151">
        <f>COUNT(O151:O170)</f>
        <v>20</v>
      </c>
      <c r="Q151" s="65">
        <f>SUM(K151:K170)</f>
        <v>6976.8318610388242</v>
      </c>
      <c r="R151" s="15">
        <f>P151/O151</f>
        <v>0.37209302325581395</v>
      </c>
      <c r="S151" t="s">
        <v>148</v>
      </c>
      <c r="T151" s="6" t="s">
        <v>241</v>
      </c>
    </row>
    <row r="152" spans="1:20" x14ac:dyDescent="0.2">
      <c r="A152" s="5">
        <v>39661</v>
      </c>
      <c r="B152" s="17">
        <v>2012</v>
      </c>
      <c r="C152" s="18" t="str">
        <f t="shared" si="7"/>
        <v>Elkhorn Slough_39661_Crop Circles_0.4201</v>
      </c>
      <c r="D152" s="4" t="s">
        <v>45</v>
      </c>
      <c r="E152" s="6" t="s">
        <v>277</v>
      </c>
      <c r="F152" s="70" t="s">
        <v>288</v>
      </c>
      <c r="G152" s="70">
        <v>1</v>
      </c>
      <c r="H152" s="82" t="s">
        <v>280</v>
      </c>
      <c r="I152" s="6">
        <v>104</v>
      </c>
      <c r="J152" s="70" t="s">
        <v>289</v>
      </c>
      <c r="K152" s="2">
        <f>(VLOOKUP(H152,'functions and szcl estimates'!$A$14:$I$23,4, FALSE))*(('raw data'!I468)^(VLOOKUP('raw data'!H468,'functions and szcl estimates'!$A$14:$I$23, 7, FALSE)))</f>
        <v>135.28226625830433</v>
      </c>
      <c r="L152" s="12">
        <v>0.4201388888888889</v>
      </c>
      <c r="M152" s="8" t="s">
        <v>35</v>
      </c>
      <c r="N152" s="8">
        <f t="shared" si="8"/>
        <v>-0.30208333333333331</v>
      </c>
      <c r="O152" s="14">
        <v>7.25</v>
      </c>
      <c r="P152">
        <v>4</v>
      </c>
      <c r="Q152" s="65">
        <f>SUM(K152:K155)</f>
        <v>952.98521246582982</v>
      </c>
      <c r="R152" s="15">
        <f>P152/O152</f>
        <v>0.55172413793103448</v>
      </c>
      <c r="S152" t="s">
        <v>148</v>
      </c>
      <c r="T152" s="6" t="s">
        <v>241</v>
      </c>
    </row>
    <row r="153" spans="1:20" x14ac:dyDescent="0.2">
      <c r="A153" s="5">
        <v>39662</v>
      </c>
      <c r="B153" s="17">
        <v>2012</v>
      </c>
      <c r="C153" s="18" t="str">
        <f t="shared" si="7"/>
        <v>Elkhorn Slough_39662_Area 4_0.7118</v>
      </c>
      <c r="D153" s="4" t="s">
        <v>45</v>
      </c>
      <c r="E153" s="15" t="s">
        <v>3</v>
      </c>
      <c r="F153" s="70" t="s">
        <v>288</v>
      </c>
      <c r="G153" s="70">
        <v>1</v>
      </c>
      <c r="H153" s="83" t="s">
        <v>280</v>
      </c>
      <c r="I153" s="15">
        <v>65</v>
      </c>
      <c r="J153" s="70" t="s">
        <v>289</v>
      </c>
      <c r="K153" s="2">
        <f>(VLOOKUP(H153,'functions and szcl estimates'!$A$14:$I$23,4, FALSE))*(('raw data'!I474)^(VLOOKUP('raw data'!H474,'functions and szcl estimates'!$A$14:$I$23, 7, FALSE)))</f>
        <v>229.77154336687161</v>
      </c>
      <c r="L153" s="12">
        <v>0.71180555555555547</v>
      </c>
      <c r="M153" s="8" t="s">
        <v>15</v>
      </c>
      <c r="N153" s="8">
        <f t="shared" si="8"/>
        <v>0.21874999999999989</v>
      </c>
      <c r="O153" s="14">
        <v>18.75</v>
      </c>
      <c r="P153" s="17">
        <v>5</v>
      </c>
      <c r="Q153" s="65">
        <f>SUM(K153:K157)</f>
        <v>1615.3023464135147</v>
      </c>
      <c r="R153" s="15">
        <f>P153/O153</f>
        <v>0.26666666666666666</v>
      </c>
      <c r="S153" t="s">
        <v>148</v>
      </c>
      <c r="T153" s="15" t="s">
        <v>12</v>
      </c>
    </row>
    <row r="154" spans="1:20" x14ac:dyDescent="0.2">
      <c r="A154" s="5">
        <v>39662</v>
      </c>
      <c r="B154" s="17">
        <v>2012</v>
      </c>
      <c r="C154" s="18" t="str">
        <f t="shared" si="7"/>
        <v>Elkhorn Slough_39662_Area 4_0.7118</v>
      </c>
      <c r="D154" s="4" t="s">
        <v>45</v>
      </c>
      <c r="E154" s="15" t="s">
        <v>3</v>
      </c>
      <c r="F154" s="70" t="s">
        <v>288</v>
      </c>
      <c r="G154" s="70">
        <v>1</v>
      </c>
      <c r="H154" s="83" t="s">
        <v>280</v>
      </c>
      <c r="I154" s="15">
        <v>63</v>
      </c>
      <c r="J154" s="70" t="s">
        <v>289</v>
      </c>
      <c r="K154" s="2">
        <f>(VLOOKUP(H154,'functions and szcl estimates'!$A$14:$I$23,4, FALSE))*(('raw data'!I477)^(VLOOKUP('raw data'!H477,'functions and szcl estimates'!$A$14:$I$23, 7, FALSE)))</f>
        <v>278.12659563919004</v>
      </c>
      <c r="L154" s="12">
        <v>0.71180555555555503</v>
      </c>
      <c r="M154" s="8" t="s">
        <v>15</v>
      </c>
      <c r="N154" s="8">
        <f t="shared" si="8"/>
        <v>0.21874999999999944</v>
      </c>
      <c r="O154" s="14">
        <v>18.75</v>
      </c>
      <c r="P154" s="17"/>
      <c r="S154" t="s">
        <v>148</v>
      </c>
    </row>
    <row r="155" spans="1:20" x14ac:dyDescent="0.2">
      <c r="A155" s="5">
        <v>39662</v>
      </c>
      <c r="B155" s="17">
        <v>2012</v>
      </c>
      <c r="C155" s="18" t="str">
        <f t="shared" si="7"/>
        <v>Elkhorn Slough_39662_Area 4_0.7118</v>
      </c>
      <c r="D155" s="4" t="s">
        <v>45</v>
      </c>
      <c r="E155" s="15" t="s">
        <v>3</v>
      </c>
      <c r="F155" s="70" t="s">
        <v>288</v>
      </c>
      <c r="G155" s="70">
        <v>1</v>
      </c>
      <c r="H155" s="83" t="s">
        <v>280</v>
      </c>
      <c r="I155" s="15">
        <v>64</v>
      </c>
      <c r="J155" s="70" t="s">
        <v>289</v>
      </c>
      <c r="K155" s="2">
        <f>(VLOOKUP(H155,'functions and szcl estimates'!$A$14:$I$23,4, FALSE))*(('raw data'!I478)^(VLOOKUP('raw data'!H478,'functions and szcl estimates'!$A$14:$I$23, 7, FALSE)))</f>
        <v>309.80480720146375</v>
      </c>
      <c r="L155" s="12">
        <v>0.71180555555555503</v>
      </c>
      <c r="M155" s="8" t="s">
        <v>15</v>
      </c>
      <c r="N155" s="8">
        <f t="shared" si="8"/>
        <v>0.21874999999999944</v>
      </c>
      <c r="O155" s="14">
        <v>18.75</v>
      </c>
      <c r="P155" s="17"/>
      <c r="S155" t="s">
        <v>148</v>
      </c>
    </row>
    <row r="156" spans="1:20" x14ac:dyDescent="0.2">
      <c r="A156" s="5">
        <v>39662</v>
      </c>
      <c r="B156" s="17">
        <v>2012</v>
      </c>
      <c r="C156" s="18" t="str">
        <f t="shared" si="7"/>
        <v>Elkhorn Slough_39662_Outfall_0.5174</v>
      </c>
      <c r="D156" s="4" t="s">
        <v>45</v>
      </c>
      <c r="E156" s="6" t="s">
        <v>17</v>
      </c>
      <c r="F156" s="70" t="s">
        <v>288</v>
      </c>
      <c r="G156" s="70">
        <v>1</v>
      </c>
      <c r="H156" s="83" t="s">
        <v>280</v>
      </c>
      <c r="I156" s="15">
        <v>45</v>
      </c>
      <c r="J156" s="70" t="s">
        <v>289</v>
      </c>
      <c r="K156" s="2">
        <f>(VLOOKUP(H156,'functions and szcl estimates'!$A$14:$I$23,4, FALSE))*(('raw data'!I479)^(VLOOKUP('raw data'!H479,'functions and szcl estimates'!$A$14:$I$23, 7, FALSE)))</f>
        <v>367.17577832604621</v>
      </c>
      <c r="L156" s="12">
        <v>0.51736111111111105</v>
      </c>
      <c r="M156" s="8" t="s">
        <v>16</v>
      </c>
      <c r="N156" s="8">
        <f t="shared" si="8"/>
        <v>1.7361111111111049E-2</v>
      </c>
      <c r="O156" s="14">
        <v>23.5</v>
      </c>
      <c r="P156" s="17">
        <v>4</v>
      </c>
      <c r="Q156" s="65">
        <f>SUM(K156:K159)</f>
        <v>1769.3367128056288</v>
      </c>
      <c r="R156" s="15">
        <f>P156/O156</f>
        <v>0.1702127659574468</v>
      </c>
      <c r="S156" t="s">
        <v>148</v>
      </c>
    </row>
    <row r="157" spans="1:20" x14ac:dyDescent="0.2">
      <c r="A157" s="5">
        <v>39662</v>
      </c>
      <c r="B157" s="17">
        <v>2012</v>
      </c>
      <c r="C157" s="18" t="str">
        <f t="shared" si="7"/>
        <v>Elkhorn Slough_39662_Outfall_0.5174</v>
      </c>
      <c r="D157" s="4" t="s">
        <v>45</v>
      </c>
      <c r="E157" s="6" t="s">
        <v>17</v>
      </c>
      <c r="F157" s="70" t="s">
        <v>288</v>
      </c>
      <c r="G157" s="70">
        <v>1</v>
      </c>
      <c r="H157" s="83" t="s">
        <v>280</v>
      </c>
      <c r="I157" s="15">
        <v>52</v>
      </c>
      <c r="J157" s="70" t="s">
        <v>289</v>
      </c>
      <c r="K157" s="2">
        <f>(VLOOKUP(H157,'functions and szcl estimates'!$A$14:$I$23,4, FALSE))*(('raw data'!I480)^(VLOOKUP('raw data'!H480,'functions and szcl estimates'!$A$14:$I$23, 7, FALSE)))</f>
        <v>430.42362187994303</v>
      </c>
      <c r="L157" s="12">
        <v>0.51736111111111105</v>
      </c>
      <c r="M157" s="8" t="s">
        <v>16</v>
      </c>
      <c r="N157" s="8">
        <f t="shared" si="8"/>
        <v>1.7361111111111049E-2</v>
      </c>
      <c r="O157" s="14">
        <v>23.5</v>
      </c>
      <c r="P157" s="17"/>
      <c r="S157" t="s">
        <v>148</v>
      </c>
    </row>
    <row r="158" spans="1:20" x14ac:dyDescent="0.2">
      <c r="A158" s="5">
        <v>39662</v>
      </c>
      <c r="B158" s="17">
        <v>2012</v>
      </c>
      <c r="C158" s="18" t="str">
        <f t="shared" si="7"/>
        <v>Elkhorn Slough_39662_Outfall_0.5174</v>
      </c>
      <c r="D158" s="4" t="s">
        <v>45</v>
      </c>
      <c r="E158" s="6" t="s">
        <v>17</v>
      </c>
      <c r="F158" s="70" t="s">
        <v>288</v>
      </c>
      <c r="G158" s="70">
        <v>1</v>
      </c>
      <c r="H158" s="83" t="s">
        <v>280</v>
      </c>
      <c r="I158" s="15">
        <v>69</v>
      </c>
      <c r="J158" s="70" t="s">
        <v>289</v>
      </c>
      <c r="K158" s="2">
        <f>(VLOOKUP(H158,'functions and szcl estimates'!$A$14:$I$23,4, FALSE))*(('raw data'!I481)^(VLOOKUP('raw data'!H481,'functions and szcl estimates'!$A$14:$I$23, 7, FALSE)))</f>
        <v>457.40839324663727</v>
      </c>
      <c r="L158" s="12">
        <v>0.51736111111111105</v>
      </c>
      <c r="M158" s="8" t="s">
        <v>16</v>
      </c>
      <c r="N158" s="8">
        <f t="shared" si="8"/>
        <v>1.7361111111111049E-2</v>
      </c>
      <c r="O158" s="14">
        <v>23.5</v>
      </c>
      <c r="P158" s="17"/>
      <c r="S158" t="s">
        <v>148</v>
      </c>
    </row>
    <row r="159" spans="1:20" x14ac:dyDescent="0.2">
      <c r="A159" s="5">
        <v>39665</v>
      </c>
      <c r="B159" s="17">
        <v>2012</v>
      </c>
      <c r="C159" s="18" t="str">
        <f t="shared" si="7"/>
        <v>Elkhorn Slough_39665_Area 4_0.4931</v>
      </c>
      <c r="D159" s="4" t="s">
        <v>45</v>
      </c>
      <c r="E159" s="19" t="s">
        <v>3</v>
      </c>
      <c r="F159" s="70" t="s">
        <v>288</v>
      </c>
      <c r="G159" s="70">
        <v>1</v>
      </c>
      <c r="H159" s="84" t="s">
        <v>280</v>
      </c>
      <c r="I159" s="19">
        <v>60</v>
      </c>
      <c r="J159" s="70" t="s">
        <v>289</v>
      </c>
      <c r="K159" s="2">
        <f>(VLOOKUP(H159,'functions and szcl estimates'!$A$14:$I$23,4, FALSE))*(('raw data'!I483)^(VLOOKUP('raw data'!H483,'functions and szcl estimates'!$A$14:$I$23, 7, FALSE)))</f>
        <v>514.32891935300211</v>
      </c>
      <c r="L159" s="12">
        <v>0.49305555555555558</v>
      </c>
      <c r="M159" s="8">
        <v>0.6875</v>
      </c>
      <c r="N159" s="8">
        <f t="shared" si="8"/>
        <v>-0.19444444444444442</v>
      </c>
      <c r="O159" s="14">
        <v>76.75</v>
      </c>
      <c r="P159" s="17">
        <f>COUNT(O159:O196)</f>
        <v>38</v>
      </c>
      <c r="Q159" s="65">
        <f>SUM(K159:K196)</f>
        <v>15479.461164589984</v>
      </c>
      <c r="R159" s="15">
        <f>P159/O159</f>
        <v>0.49511400651465798</v>
      </c>
      <c r="S159" t="s">
        <v>148</v>
      </c>
    </row>
    <row r="160" spans="1:20" x14ac:dyDescent="0.2">
      <c r="A160" s="5">
        <v>39665</v>
      </c>
      <c r="B160" s="17">
        <v>2012</v>
      </c>
      <c r="C160" s="18" t="str">
        <f t="shared" si="7"/>
        <v>Elkhorn Slough_39665_Area 4_0.4931</v>
      </c>
      <c r="D160" s="4" t="s">
        <v>45</v>
      </c>
      <c r="E160" s="19" t="s">
        <v>3</v>
      </c>
      <c r="F160" s="70" t="s">
        <v>288</v>
      </c>
      <c r="G160" s="70">
        <v>1</v>
      </c>
      <c r="H160" s="84" t="s">
        <v>280</v>
      </c>
      <c r="I160" s="19">
        <v>61</v>
      </c>
      <c r="J160" s="70" t="s">
        <v>289</v>
      </c>
      <c r="K160" s="2">
        <f>(VLOOKUP(H160,'functions and szcl estimates'!$A$14:$I$23,4, FALSE))*(('raw data'!I484)^(VLOOKUP('raw data'!H484,'functions and szcl estimates'!$A$14:$I$23, 7, FALSE)))</f>
        <v>135.28226625830433</v>
      </c>
      <c r="L160" s="12">
        <v>0.49305555555555558</v>
      </c>
      <c r="M160" s="8">
        <v>0.6875</v>
      </c>
      <c r="N160" s="8">
        <f t="shared" si="8"/>
        <v>-0.19444444444444442</v>
      </c>
      <c r="O160" s="14">
        <v>76.75</v>
      </c>
      <c r="P160" s="17"/>
      <c r="S160" t="s">
        <v>148</v>
      </c>
    </row>
    <row r="161" spans="1:19" x14ac:dyDescent="0.2">
      <c r="A161" s="5">
        <v>39665</v>
      </c>
      <c r="B161" s="17">
        <v>2012</v>
      </c>
      <c r="C161" s="18" t="str">
        <f t="shared" si="7"/>
        <v>Elkhorn Slough_39665_Area 4_0.4931</v>
      </c>
      <c r="D161" s="4" t="s">
        <v>45</v>
      </c>
      <c r="E161" s="19" t="s">
        <v>3</v>
      </c>
      <c r="F161" s="70" t="s">
        <v>288</v>
      </c>
      <c r="G161" s="70">
        <v>1</v>
      </c>
      <c r="H161" s="84" t="s">
        <v>280</v>
      </c>
      <c r="I161" s="19">
        <v>71</v>
      </c>
      <c r="J161" s="70" t="s">
        <v>289</v>
      </c>
      <c r="K161" s="2">
        <f>(VLOOKUP(H161,'functions and szcl estimates'!$A$14:$I$23,4, FALSE))*(('raw data'!I485)^(VLOOKUP('raw data'!H485,'functions and szcl estimates'!$A$14:$I$23, 7, FALSE)))</f>
        <v>309.80480720146375</v>
      </c>
      <c r="L161" s="12">
        <v>0.49305555555555558</v>
      </c>
      <c r="M161" s="8">
        <v>0.6875</v>
      </c>
      <c r="N161" s="8">
        <f t="shared" si="8"/>
        <v>-0.19444444444444442</v>
      </c>
      <c r="O161" s="14">
        <v>76.75</v>
      </c>
      <c r="P161" s="17"/>
      <c r="S161" t="s">
        <v>148</v>
      </c>
    </row>
    <row r="162" spans="1:19" x14ac:dyDescent="0.2">
      <c r="A162" s="5">
        <v>39665</v>
      </c>
      <c r="B162" s="17">
        <v>2012</v>
      </c>
      <c r="C162" s="18" t="str">
        <f t="shared" si="7"/>
        <v>Elkhorn Slough_39665_Outfall_0.5</v>
      </c>
      <c r="D162" s="4" t="s">
        <v>45</v>
      </c>
      <c r="E162" s="19" t="s">
        <v>4</v>
      </c>
      <c r="F162" s="70" t="s">
        <v>288</v>
      </c>
      <c r="G162" s="70">
        <v>1</v>
      </c>
      <c r="H162" s="84" t="s">
        <v>280</v>
      </c>
      <c r="I162" s="19">
        <v>67</v>
      </c>
      <c r="J162" s="70" t="s">
        <v>289</v>
      </c>
      <c r="K162" s="2">
        <f>(VLOOKUP(H162,'functions and szcl estimates'!$A$14:$I$23,4, FALSE))*(('raw data'!I524)^(VLOOKUP('raw data'!H524,'functions and szcl estimates'!$A$14:$I$23, 7, FALSE)))</f>
        <v>457.40839324663727</v>
      </c>
      <c r="L162" s="12">
        <v>0.5</v>
      </c>
      <c r="M162" s="8">
        <v>0.66666666666666663</v>
      </c>
      <c r="N162" s="8">
        <f t="shared" si="8"/>
        <v>-0.16666666666666663</v>
      </c>
      <c r="O162" s="14">
        <v>76</v>
      </c>
      <c r="P162" s="20">
        <f>COUNT(O162:O171)</f>
        <v>10</v>
      </c>
      <c r="Q162" s="65">
        <f>SUM(K162:K171)</f>
        <v>3770.03638247246</v>
      </c>
      <c r="R162" s="15">
        <f>P162/O162</f>
        <v>0.13157894736842105</v>
      </c>
      <c r="S162" t="s">
        <v>148</v>
      </c>
    </row>
    <row r="163" spans="1:19" x14ac:dyDescent="0.2">
      <c r="A163" s="5">
        <v>39665</v>
      </c>
      <c r="B163" s="17">
        <v>2012</v>
      </c>
      <c r="C163" s="18" t="str">
        <f t="shared" si="7"/>
        <v>Elkhorn Slough_39665_Outfall_0.5</v>
      </c>
      <c r="D163" s="4" t="s">
        <v>45</v>
      </c>
      <c r="E163" s="19" t="s">
        <v>4</v>
      </c>
      <c r="F163" s="70" t="s">
        <v>288</v>
      </c>
      <c r="G163" s="70">
        <v>1</v>
      </c>
      <c r="H163" s="84" t="s">
        <v>280</v>
      </c>
      <c r="I163" s="19">
        <v>72</v>
      </c>
      <c r="J163" s="70" t="s">
        <v>289</v>
      </c>
      <c r="K163" s="2">
        <f>(VLOOKUP(H163,'functions and szcl estimates'!$A$14:$I$23,4, FALSE))*(('raw data'!I525)^(VLOOKUP('raw data'!H525,'functions and szcl estimates'!$A$14:$I$23, 7, FALSE)))</f>
        <v>485.37316406488418</v>
      </c>
      <c r="L163" s="12">
        <v>0.5</v>
      </c>
      <c r="M163" s="8">
        <v>0.66666666666666663</v>
      </c>
      <c r="N163" s="8">
        <f t="shared" si="8"/>
        <v>-0.16666666666666663</v>
      </c>
      <c r="O163" s="14">
        <v>76</v>
      </c>
      <c r="S163" t="s">
        <v>148</v>
      </c>
    </row>
    <row r="164" spans="1:19" x14ac:dyDescent="0.2">
      <c r="A164" s="5">
        <v>39665</v>
      </c>
      <c r="B164" s="17">
        <v>2012</v>
      </c>
      <c r="C164" s="18" t="str">
        <f t="shared" si="7"/>
        <v>Elkhorn Slough_39665_Outfall_0.5</v>
      </c>
      <c r="D164" s="4" t="s">
        <v>45</v>
      </c>
      <c r="E164" s="19" t="s">
        <v>4</v>
      </c>
      <c r="F164" s="70" t="s">
        <v>288</v>
      </c>
      <c r="G164" s="70">
        <v>1</v>
      </c>
      <c r="H164" s="84" t="s">
        <v>280</v>
      </c>
      <c r="I164" s="19">
        <v>80</v>
      </c>
      <c r="J164" s="70" t="s">
        <v>289</v>
      </c>
      <c r="K164" s="2">
        <f>(VLOOKUP(H164,'functions and szcl estimates'!$A$14:$I$23,4, FALSE))*(('raw data'!I526)^(VLOOKUP('raw data'!H526,'functions and szcl estimates'!$A$14:$I$23, 7, FALSE)))</f>
        <v>529.18181065151418</v>
      </c>
      <c r="L164" s="12">
        <v>0.5</v>
      </c>
      <c r="M164" s="8">
        <v>0.66666666666666696</v>
      </c>
      <c r="N164" s="8">
        <f t="shared" si="8"/>
        <v>-0.16666666666666696</v>
      </c>
      <c r="O164" s="14">
        <v>76</v>
      </c>
      <c r="S164" t="s">
        <v>148</v>
      </c>
    </row>
    <row r="165" spans="1:19" x14ac:dyDescent="0.2">
      <c r="A165" s="5">
        <v>39684</v>
      </c>
      <c r="B165" s="17">
        <v>2012</v>
      </c>
      <c r="C165" s="18" t="str">
        <f t="shared" si="7"/>
        <v>Tomales Bay_39684_TB North_0.5833</v>
      </c>
      <c r="D165" s="18" t="s">
        <v>46</v>
      </c>
      <c r="E165" s="19" t="s">
        <v>47</v>
      </c>
      <c r="F165" s="70" t="s">
        <v>288</v>
      </c>
      <c r="G165" s="70">
        <v>1</v>
      </c>
      <c r="H165" s="84" t="s">
        <v>280</v>
      </c>
      <c r="I165" s="19">
        <v>76</v>
      </c>
      <c r="J165" s="70" t="s">
        <v>289</v>
      </c>
      <c r="K165" s="2">
        <f>(VLOOKUP(H165,'functions and szcl estimates'!$A$14:$I$23,4, FALSE))*(('raw data'!I543)^(VLOOKUP('raw data'!H543,'functions and szcl estimates'!$A$14:$I$23, 7, FALSE)))</f>
        <v>288.46081338891281</v>
      </c>
      <c r="L165" s="12">
        <v>0.58333333333333337</v>
      </c>
      <c r="M165" s="8">
        <v>0.4826388888888889</v>
      </c>
      <c r="N165" s="8">
        <f t="shared" ref="N165:N205" si="9">L165-M165</f>
        <v>0.10069444444444448</v>
      </c>
      <c r="O165" s="14">
        <v>21.5</v>
      </c>
      <c r="S165" t="s">
        <v>148</v>
      </c>
    </row>
    <row r="166" spans="1:19" x14ac:dyDescent="0.2">
      <c r="A166" s="5">
        <v>39684</v>
      </c>
      <c r="B166" s="17">
        <v>2012</v>
      </c>
      <c r="C166" s="18" t="str">
        <f t="shared" si="7"/>
        <v>Tomales Bay_39684_TB South_0.6458</v>
      </c>
      <c r="D166" s="18" t="s">
        <v>46</v>
      </c>
      <c r="E166" s="19" t="s">
        <v>51</v>
      </c>
      <c r="F166" s="70" t="s">
        <v>288</v>
      </c>
      <c r="G166" s="70">
        <v>1</v>
      </c>
      <c r="H166" s="84" t="s">
        <v>280</v>
      </c>
      <c r="I166" s="19">
        <v>73</v>
      </c>
      <c r="J166" s="70" t="s">
        <v>289</v>
      </c>
      <c r="K166" s="2">
        <f>(VLOOKUP(H166,'functions and szcl estimates'!$A$14:$I$23,4, FALSE))*(('raw data'!I548)^(VLOOKUP('raw data'!H548,'functions and szcl estimates'!$A$14:$I$23, 7, FALSE)))</f>
        <v>320.817616127598</v>
      </c>
      <c r="L166" s="12">
        <v>0.64583333333333337</v>
      </c>
      <c r="M166" s="8">
        <v>0.52083333333333337</v>
      </c>
      <c r="N166" s="8">
        <f t="shared" si="9"/>
        <v>0.125</v>
      </c>
      <c r="O166" s="14">
        <v>21</v>
      </c>
      <c r="S166" t="s">
        <v>148</v>
      </c>
    </row>
    <row r="167" spans="1:19" x14ac:dyDescent="0.2">
      <c r="A167" s="5">
        <v>39684</v>
      </c>
      <c r="B167" s="17">
        <v>2012</v>
      </c>
      <c r="C167" s="18" t="str">
        <f t="shared" si="7"/>
        <v>Tomales Bay_39684_TB South_0.6458</v>
      </c>
      <c r="D167" s="18" t="s">
        <v>46</v>
      </c>
      <c r="E167" s="19" t="s">
        <v>51</v>
      </c>
      <c r="F167" s="70" t="s">
        <v>288</v>
      </c>
      <c r="G167" s="70">
        <v>1</v>
      </c>
      <c r="H167" s="84" t="s">
        <v>280</v>
      </c>
      <c r="I167" s="19">
        <v>83</v>
      </c>
      <c r="J167" s="70" t="s">
        <v>289</v>
      </c>
      <c r="K167" s="2">
        <f>(VLOOKUP(H167,'functions and szcl estimates'!$A$14:$I$23,4, FALSE))*(('raw data'!I549)^(VLOOKUP('raw data'!H549,'functions and szcl estimates'!$A$14:$I$23, 7, FALSE)))</f>
        <v>332.05963554628806</v>
      </c>
      <c r="L167" s="12">
        <v>0.64583333333333304</v>
      </c>
      <c r="M167" s="8">
        <v>0.52083333333333304</v>
      </c>
      <c r="N167" s="8">
        <f t="shared" si="9"/>
        <v>0.125</v>
      </c>
      <c r="O167" s="14">
        <v>21</v>
      </c>
      <c r="S167" t="s">
        <v>148</v>
      </c>
    </row>
    <row r="168" spans="1:19" x14ac:dyDescent="0.2">
      <c r="A168" s="5">
        <v>39684</v>
      </c>
      <c r="B168" s="17">
        <v>2012</v>
      </c>
      <c r="C168" s="18" t="str">
        <f t="shared" si="7"/>
        <v>Tomales Bay_39684_TB South_0.6458</v>
      </c>
      <c r="D168" s="18" t="s">
        <v>46</v>
      </c>
      <c r="E168" s="19" t="s">
        <v>51</v>
      </c>
      <c r="F168" s="70" t="s">
        <v>288</v>
      </c>
      <c r="G168" s="70">
        <v>1</v>
      </c>
      <c r="H168" s="84" t="s">
        <v>280</v>
      </c>
      <c r="I168" s="19">
        <v>80</v>
      </c>
      <c r="J168" s="70" t="s">
        <v>289</v>
      </c>
      <c r="K168" s="2">
        <f>(VLOOKUP(H168,'functions and szcl estimates'!$A$14:$I$23,4, FALSE))*(('raw data'!I551)^(VLOOKUP('raw data'!H551,'functions and szcl estimates'!$A$14:$I$23, 7, FALSE)))</f>
        <v>149.00000511455173</v>
      </c>
      <c r="L168" s="12">
        <v>0.64583333333333304</v>
      </c>
      <c r="M168" s="8">
        <v>0.52083333333333304</v>
      </c>
      <c r="N168" s="8">
        <f t="shared" si="9"/>
        <v>0.125</v>
      </c>
      <c r="O168" s="14">
        <v>21</v>
      </c>
      <c r="S168" t="s">
        <v>148</v>
      </c>
    </row>
    <row r="169" spans="1:19" x14ac:dyDescent="0.2">
      <c r="A169" s="5">
        <v>39684</v>
      </c>
      <c r="B169" s="17">
        <v>2012</v>
      </c>
      <c r="C169" s="18" t="str">
        <f t="shared" si="7"/>
        <v>Tomales Bay_39684_TB Central_0.625</v>
      </c>
      <c r="D169" s="18" t="s">
        <v>46</v>
      </c>
      <c r="E169" s="19" t="s">
        <v>52</v>
      </c>
      <c r="F169" s="70" t="s">
        <v>288</v>
      </c>
      <c r="G169" s="70">
        <v>1</v>
      </c>
      <c r="H169" s="84" t="s">
        <v>280</v>
      </c>
      <c r="I169" s="19">
        <v>80</v>
      </c>
      <c r="J169" s="70" t="s">
        <v>289</v>
      </c>
      <c r="K169" s="2">
        <f>(VLOOKUP(H169,'functions and szcl estimates'!$A$14:$I$23,4, FALSE))*(('raw data'!I554)^(VLOOKUP('raw data'!H554,'functions and szcl estimates'!$A$14:$I$23, 7, FALSE)))</f>
        <v>332.05963554628806</v>
      </c>
      <c r="L169" s="12">
        <v>0.625</v>
      </c>
      <c r="M169" s="8">
        <v>0.54166666666666663</v>
      </c>
      <c r="N169" s="8">
        <f t="shared" si="9"/>
        <v>8.333333333333337E-2</v>
      </c>
      <c r="O169" s="14">
        <v>22</v>
      </c>
      <c r="P169">
        <f>COUNT(O169:O189)</f>
        <v>21</v>
      </c>
      <c r="Q169" s="65">
        <f>SUM(K169:K189)</f>
        <v>8850.0157689105126</v>
      </c>
      <c r="R169" s="15">
        <f>P169/O169</f>
        <v>0.95454545454545459</v>
      </c>
      <c r="S169" t="s">
        <v>148</v>
      </c>
    </row>
    <row r="170" spans="1:19" x14ac:dyDescent="0.2">
      <c r="A170" s="5">
        <v>39684</v>
      </c>
      <c r="B170" s="17">
        <v>2012</v>
      </c>
      <c r="C170" s="18" t="str">
        <f t="shared" si="7"/>
        <v>Tomales Bay_39684_TB Central_0.625</v>
      </c>
      <c r="D170" s="18" t="s">
        <v>46</v>
      </c>
      <c r="E170" s="19" t="s">
        <v>52</v>
      </c>
      <c r="F170" s="70" t="s">
        <v>288</v>
      </c>
      <c r="G170" s="70">
        <v>1</v>
      </c>
      <c r="H170" s="84" t="s">
        <v>280</v>
      </c>
      <c r="I170" s="19">
        <v>95</v>
      </c>
      <c r="J170" s="70" t="s">
        <v>289</v>
      </c>
      <c r="K170" s="2">
        <f>(VLOOKUP(H170,'functions and szcl estimates'!$A$14:$I$23,4, FALSE))*(('raw data'!I555)^(VLOOKUP('raw data'!H555,'functions and szcl estimates'!$A$14:$I$23, 7, FALSE)))</f>
        <v>471.26758882594987</v>
      </c>
      <c r="L170" s="12">
        <v>0.625</v>
      </c>
      <c r="M170" s="8">
        <v>0.54166666666666663</v>
      </c>
      <c r="N170" s="8">
        <f t="shared" si="9"/>
        <v>8.333333333333337E-2</v>
      </c>
      <c r="O170" s="14">
        <v>22</v>
      </c>
      <c r="S170" t="s">
        <v>148</v>
      </c>
    </row>
    <row r="171" spans="1:19" x14ac:dyDescent="0.2">
      <c r="A171" s="5">
        <v>39684</v>
      </c>
      <c r="B171" s="17">
        <v>2012</v>
      </c>
      <c r="C171" s="18" t="str">
        <f t="shared" si="7"/>
        <v>Tomales Bay_39684_TB Central_0.625</v>
      </c>
      <c r="D171" s="18" t="s">
        <v>46</v>
      </c>
      <c r="E171" s="19" t="s">
        <v>52</v>
      </c>
      <c r="F171" s="70" t="s">
        <v>288</v>
      </c>
      <c r="G171" s="70">
        <v>1</v>
      </c>
      <c r="H171" s="84" t="s">
        <v>280</v>
      </c>
      <c r="I171" s="19">
        <v>75</v>
      </c>
      <c r="J171" s="70" t="s">
        <v>289</v>
      </c>
      <c r="K171" s="2">
        <f>(VLOOKUP(H171,'functions and szcl estimates'!$A$14:$I$23,4, FALSE))*(('raw data'!I556)^(VLOOKUP('raw data'!H556,'functions and szcl estimates'!$A$14:$I$23, 7, FALSE)))</f>
        <v>404.40771995983602</v>
      </c>
      <c r="L171" s="12">
        <v>0.625</v>
      </c>
      <c r="M171" s="8">
        <v>0.54166666666666696</v>
      </c>
      <c r="N171" s="8">
        <f t="shared" si="9"/>
        <v>8.3333333333333037E-2</v>
      </c>
      <c r="O171" s="14">
        <v>22</v>
      </c>
      <c r="S171" t="s">
        <v>148</v>
      </c>
    </row>
    <row r="172" spans="1:19" x14ac:dyDescent="0.2">
      <c r="A172" s="5">
        <v>39684</v>
      </c>
      <c r="B172" s="17">
        <v>2012</v>
      </c>
      <c r="C172" s="18" t="str">
        <f t="shared" si="7"/>
        <v>Tomales Bay_39684_TB Central_0.625</v>
      </c>
      <c r="D172" s="18" t="s">
        <v>46</v>
      </c>
      <c r="E172" s="19" t="s">
        <v>52</v>
      </c>
      <c r="F172" s="70" t="s">
        <v>288</v>
      </c>
      <c r="G172" s="70">
        <v>1</v>
      </c>
      <c r="H172" s="84" t="s">
        <v>280</v>
      </c>
      <c r="I172" s="19">
        <v>80</v>
      </c>
      <c r="J172" s="70" t="s">
        <v>289</v>
      </c>
      <c r="K172" s="2">
        <f>(VLOOKUP(H172,'functions and szcl estimates'!$A$14:$I$23,4, FALSE))*(('raw data'!I558)^(VLOOKUP('raw data'!H558,'functions and szcl estimates'!$A$14:$I$23, 7, FALSE)))</f>
        <v>529.18181065151418</v>
      </c>
      <c r="L172" s="12">
        <v>0.625</v>
      </c>
      <c r="M172" s="8">
        <v>0.54166666666666696</v>
      </c>
      <c r="N172" s="8">
        <f t="shared" si="9"/>
        <v>8.3333333333333037E-2</v>
      </c>
      <c r="O172" s="14">
        <v>22</v>
      </c>
      <c r="S172" t="s">
        <v>148</v>
      </c>
    </row>
    <row r="173" spans="1:19" x14ac:dyDescent="0.2">
      <c r="A173" s="5">
        <v>39684</v>
      </c>
      <c r="B173" s="17">
        <v>2012</v>
      </c>
      <c r="C173" s="18" t="str">
        <f t="shared" si="7"/>
        <v>Tomales Bay_39684_TB Central_0.625</v>
      </c>
      <c r="D173" s="18" t="s">
        <v>46</v>
      </c>
      <c r="E173" s="19" t="s">
        <v>52</v>
      </c>
      <c r="F173" s="70" t="s">
        <v>288</v>
      </c>
      <c r="G173" s="70">
        <v>1</v>
      </c>
      <c r="H173" s="84" t="s">
        <v>280</v>
      </c>
      <c r="I173" s="19">
        <v>87</v>
      </c>
      <c r="J173" s="70" t="s">
        <v>289</v>
      </c>
      <c r="K173" s="2">
        <f>(VLOOKUP(H173,'functions and szcl estimates'!$A$14:$I$23,4, FALSE))*(('raw data'!I560)^(VLOOKUP('raw data'!H560,'functions and szcl estimates'!$A$14:$I$23, 7, FALSE)))</f>
        <v>379.34940688169917</v>
      </c>
      <c r="L173" s="12">
        <v>0.625</v>
      </c>
      <c r="M173" s="8">
        <v>0.54166666666666696</v>
      </c>
      <c r="N173" s="8">
        <f t="shared" si="9"/>
        <v>8.3333333333333037E-2</v>
      </c>
      <c r="O173" s="14">
        <v>22</v>
      </c>
      <c r="S173" t="s">
        <v>148</v>
      </c>
    </row>
    <row r="174" spans="1:19" x14ac:dyDescent="0.2">
      <c r="A174" s="5">
        <v>39684</v>
      </c>
      <c r="B174" s="17">
        <v>2012</v>
      </c>
      <c r="C174" s="18" t="str">
        <f t="shared" si="7"/>
        <v>Tomales Bay_39684_TB Central_0.625</v>
      </c>
      <c r="D174" s="18" t="s">
        <v>46</v>
      </c>
      <c r="E174" s="19" t="s">
        <v>52</v>
      </c>
      <c r="F174" s="70" t="s">
        <v>288</v>
      </c>
      <c r="G174" s="70">
        <v>1</v>
      </c>
      <c r="H174" s="84" t="s">
        <v>280</v>
      </c>
      <c r="I174" s="19">
        <v>80</v>
      </c>
      <c r="J174" s="70" t="s">
        <v>289</v>
      </c>
      <c r="K174" s="2">
        <f>(VLOOKUP(H174,'functions and szcl estimates'!$A$14:$I$23,4, FALSE))*(('raw data'!I561)^(VLOOKUP('raw data'!H561,'functions and szcl estimates'!$A$14:$I$23, 7, FALSE)))</f>
        <v>607.24987607047603</v>
      </c>
      <c r="L174" s="12">
        <v>0.625</v>
      </c>
      <c r="M174" s="8">
        <v>0.54166666666666696</v>
      </c>
      <c r="N174" s="8">
        <f t="shared" si="9"/>
        <v>8.3333333333333037E-2</v>
      </c>
      <c r="O174" s="14">
        <v>22</v>
      </c>
      <c r="S174" t="s">
        <v>148</v>
      </c>
    </row>
    <row r="175" spans="1:19" x14ac:dyDescent="0.2">
      <c r="A175" s="5">
        <v>39684</v>
      </c>
      <c r="B175" s="17">
        <v>2012</v>
      </c>
      <c r="C175" s="18" t="str">
        <f t="shared" si="7"/>
        <v>Tomales Bay_39684_TB Central_0.625</v>
      </c>
      <c r="D175" s="18" t="s">
        <v>46</v>
      </c>
      <c r="E175" s="19" t="s">
        <v>52</v>
      </c>
      <c r="F175" s="70" t="s">
        <v>288</v>
      </c>
      <c r="G175" s="70">
        <v>1</v>
      </c>
      <c r="H175" s="84" t="s">
        <v>280</v>
      </c>
      <c r="I175" s="19">
        <v>65</v>
      </c>
      <c r="J175" s="70" t="s">
        <v>289</v>
      </c>
      <c r="K175" s="2">
        <f>(VLOOKUP(H175,'functions and szcl estimates'!$A$14:$I$23,4, FALSE))*(('raw data'!I562)^(VLOOKUP('raw data'!H562,'functions and szcl estimates'!$A$14:$I$23, 7, FALSE)))</f>
        <v>430.42362187994303</v>
      </c>
      <c r="L175" s="12">
        <v>0.625</v>
      </c>
      <c r="M175" s="8">
        <v>0.54166666666666696</v>
      </c>
      <c r="N175" s="8">
        <f t="shared" si="9"/>
        <v>8.3333333333333037E-2</v>
      </c>
      <c r="O175" s="14">
        <v>22</v>
      </c>
      <c r="S175" t="s">
        <v>148</v>
      </c>
    </row>
    <row r="176" spans="1:19" x14ac:dyDescent="0.2">
      <c r="A176" s="5">
        <v>39684</v>
      </c>
      <c r="B176" s="17">
        <v>2012</v>
      </c>
      <c r="C176" s="18" t="str">
        <f t="shared" si="7"/>
        <v>Tomales Bay_39684_TB Central_0.625</v>
      </c>
      <c r="D176" s="18" t="s">
        <v>46</v>
      </c>
      <c r="E176" s="19" t="s">
        <v>52</v>
      </c>
      <c r="F176" s="70" t="s">
        <v>288</v>
      </c>
      <c r="G176" s="70">
        <v>1</v>
      </c>
      <c r="H176" s="84" t="s">
        <v>280</v>
      </c>
      <c r="I176" s="19">
        <v>72</v>
      </c>
      <c r="J176" s="70" t="s">
        <v>289</v>
      </c>
      <c r="K176" s="2">
        <f>(VLOOKUP(H176,'functions and szcl estimates'!$A$14:$I$23,4, FALSE))*(('raw data'!I563)^(VLOOKUP('raw data'!H563,'functions and szcl estimates'!$A$14:$I$23, 7, FALSE)))</f>
        <v>128.71663019723266</v>
      </c>
      <c r="L176" s="12">
        <v>0.625</v>
      </c>
      <c r="M176" s="8">
        <v>0.54166666666666696</v>
      </c>
      <c r="N176" s="8">
        <f t="shared" si="9"/>
        <v>8.3333333333333037E-2</v>
      </c>
      <c r="O176" s="14">
        <v>22</v>
      </c>
      <c r="S176" t="s">
        <v>148</v>
      </c>
    </row>
    <row r="177" spans="1:19" x14ac:dyDescent="0.2">
      <c r="A177" s="5">
        <v>39684</v>
      </c>
      <c r="B177" s="17">
        <v>2012</v>
      </c>
      <c r="C177" s="18" t="str">
        <f t="shared" si="7"/>
        <v>Tomales Bay_39684_TB Central_0.625</v>
      </c>
      <c r="D177" s="18" t="s">
        <v>46</v>
      </c>
      <c r="E177" s="19" t="s">
        <v>52</v>
      </c>
      <c r="F177" s="70" t="s">
        <v>288</v>
      </c>
      <c r="G177" s="70">
        <v>1</v>
      </c>
      <c r="H177" s="84" t="s">
        <v>280</v>
      </c>
      <c r="I177" s="19">
        <v>69</v>
      </c>
      <c r="J177" s="70" t="s">
        <v>289</v>
      </c>
      <c r="K177" s="2">
        <f>(VLOOKUP(H177,'functions and szcl estimates'!$A$14:$I$23,4, FALSE))*(('raw data'!I565)^(VLOOKUP('raw data'!H565,'functions and szcl estimates'!$A$14:$I$23, 7, FALSE)))</f>
        <v>171.06940248758849</v>
      </c>
      <c r="L177" s="12">
        <v>0.625</v>
      </c>
      <c r="M177" s="8">
        <v>0.54166666666666696</v>
      </c>
      <c r="N177" s="8">
        <f t="shared" si="9"/>
        <v>8.3333333333333037E-2</v>
      </c>
      <c r="O177" s="14">
        <v>22</v>
      </c>
      <c r="S177" t="s">
        <v>148</v>
      </c>
    </row>
    <row r="178" spans="1:19" x14ac:dyDescent="0.2">
      <c r="A178" s="5">
        <v>39684</v>
      </c>
      <c r="B178" s="17">
        <v>2012</v>
      </c>
      <c r="C178" s="18" t="str">
        <f t="shared" si="7"/>
        <v>Tomales Bay_39684_TB Central_0.625</v>
      </c>
      <c r="D178" s="18" t="s">
        <v>46</v>
      </c>
      <c r="E178" s="19" t="s">
        <v>52</v>
      </c>
      <c r="F178" s="70" t="s">
        <v>288</v>
      </c>
      <c r="G178" s="70">
        <v>1</v>
      </c>
      <c r="H178" s="84" t="s">
        <v>280</v>
      </c>
      <c r="I178" s="19">
        <v>74</v>
      </c>
      <c r="J178" s="70" t="s">
        <v>289</v>
      </c>
      <c r="K178" s="2">
        <f>(VLOOKUP(H178,'functions and szcl estimates'!$A$14:$I$23,4, FALSE))*(('raw data'!I566)^(VLOOKUP('raw data'!H566,'functions and szcl estimates'!$A$14:$I$23, 7, FALSE)))</f>
        <v>239.00563570486423</v>
      </c>
      <c r="L178" s="12">
        <v>0.625</v>
      </c>
      <c r="M178" s="8">
        <v>0.54166666666666696</v>
      </c>
      <c r="N178" s="8">
        <f t="shared" si="9"/>
        <v>8.3333333333333037E-2</v>
      </c>
      <c r="O178" s="14">
        <v>22</v>
      </c>
      <c r="S178" t="s">
        <v>148</v>
      </c>
    </row>
    <row r="179" spans="1:19" x14ac:dyDescent="0.2">
      <c r="A179" s="5">
        <v>39684</v>
      </c>
      <c r="B179" s="17">
        <v>2012</v>
      </c>
      <c r="C179" s="18" t="str">
        <f t="shared" si="7"/>
        <v>Tomales Bay_39684_TB Central_0.625</v>
      </c>
      <c r="D179" s="18" t="s">
        <v>46</v>
      </c>
      <c r="E179" s="19" t="s">
        <v>52</v>
      </c>
      <c r="F179" s="70" t="s">
        <v>288</v>
      </c>
      <c r="G179" s="70">
        <v>1</v>
      </c>
      <c r="H179" s="84" t="s">
        <v>280</v>
      </c>
      <c r="I179" s="19">
        <v>75</v>
      </c>
      <c r="J179" s="70" t="s">
        <v>289</v>
      </c>
      <c r="K179" s="2">
        <f>(VLOOKUP(H179,'functions and szcl estimates'!$A$14:$I$23,4, FALSE))*(('raw data'!I567)^(VLOOKUP('raw data'!H567,'functions and szcl estimates'!$A$14:$I$23, 7, FALSE)))</f>
        <v>258.12604607903705</v>
      </c>
      <c r="L179" s="12">
        <v>0.625</v>
      </c>
      <c r="M179" s="8">
        <v>0.54166666666666696</v>
      </c>
      <c r="N179" s="8">
        <f t="shared" si="9"/>
        <v>8.3333333333333037E-2</v>
      </c>
      <c r="O179" s="14">
        <v>22</v>
      </c>
      <c r="S179" t="s">
        <v>148</v>
      </c>
    </row>
    <row r="180" spans="1:19" x14ac:dyDescent="0.2">
      <c r="A180" s="5">
        <v>39684</v>
      </c>
      <c r="B180" s="17">
        <v>2012</v>
      </c>
      <c r="C180" s="18" t="str">
        <f t="shared" si="7"/>
        <v>Tomales Bay_39684_TB Central_0.625</v>
      </c>
      <c r="D180" s="18" t="s">
        <v>46</v>
      </c>
      <c r="E180" s="19" t="s">
        <v>52</v>
      </c>
      <c r="F180" s="70" t="s">
        <v>288</v>
      </c>
      <c r="G180" s="70">
        <v>1</v>
      </c>
      <c r="H180" s="84" t="s">
        <v>280</v>
      </c>
      <c r="I180" s="19">
        <v>87</v>
      </c>
      <c r="J180" s="70" t="s">
        <v>289</v>
      </c>
      <c r="K180" s="2">
        <f>(VLOOKUP(H180,'functions and szcl estimates'!$A$14:$I$23,4, FALSE))*(('raw data'!I568)^(VLOOKUP('raw data'!H568,'functions and szcl estimates'!$A$14:$I$23, 7, FALSE)))</f>
        <v>299.01970979698109</v>
      </c>
      <c r="L180" s="12">
        <v>0.625</v>
      </c>
      <c r="M180" s="8">
        <v>0.54166666666666696</v>
      </c>
      <c r="N180" s="8">
        <f t="shared" si="9"/>
        <v>8.3333333333333037E-2</v>
      </c>
      <c r="O180" s="14">
        <v>22</v>
      </c>
      <c r="S180" t="s">
        <v>148</v>
      </c>
    </row>
    <row r="181" spans="1:19" x14ac:dyDescent="0.2">
      <c r="A181" s="5">
        <v>39684</v>
      </c>
      <c r="B181" s="17">
        <v>2012</v>
      </c>
      <c r="C181" s="18" t="str">
        <f t="shared" si="7"/>
        <v>Tomales Bay_39684_TB Central_0.625</v>
      </c>
      <c r="D181" s="18" t="s">
        <v>46</v>
      </c>
      <c r="E181" s="19" t="s">
        <v>52</v>
      </c>
      <c r="F181" s="70" t="s">
        <v>288</v>
      </c>
      <c r="G181" s="70">
        <v>1</v>
      </c>
      <c r="H181" s="84" t="s">
        <v>280</v>
      </c>
      <c r="I181" s="19">
        <v>67</v>
      </c>
      <c r="J181" s="70" t="s">
        <v>289</v>
      </c>
      <c r="K181" s="2">
        <f>(VLOOKUP(H181,'functions and szcl estimates'!$A$14:$I$23,4, FALSE))*(('raw data'!I569)^(VLOOKUP('raw data'!H569,'functions and szcl estimates'!$A$14:$I$23, 7, FALSE)))</f>
        <v>343.53235312339922</v>
      </c>
      <c r="L181" s="12">
        <v>0.625</v>
      </c>
      <c r="M181" s="8">
        <v>0.54166666666666696</v>
      </c>
      <c r="N181" s="8">
        <f t="shared" si="9"/>
        <v>8.3333333333333037E-2</v>
      </c>
      <c r="O181" s="14">
        <v>22</v>
      </c>
      <c r="S181" t="s">
        <v>148</v>
      </c>
    </row>
    <row r="182" spans="1:19" x14ac:dyDescent="0.2">
      <c r="A182" s="5">
        <v>39684</v>
      </c>
      <c r="B182" s="17">
        <v>2012</v>
      </c>
      <c r="C182" s="18" t="str">
        <f t="shared" si="7"/>
        <v>Tomales Bay_39684_TB Central_0.625</v>
      </c>
      <c r="D182" s="18" t="s">
        <v>46</v>
      </c>
      <c r="E182" s="19" t="s">
        <v>52</v>
      </c>
      <c r="F182" s="70" t="s">
        <v>288</v>
      </c>
      <c r="G182" s="70">
        <v>1</v>
      </c>
      <c r="H182" s="84" t="s">
        <v>280</v>
      </c>
      <c r="I182" s="19">
        <v>78</v>
      </c>
      <c r="J182" s="70" t="s">
        <v>289</v>
      </c>
      <c r="K182" s="2">
        <f>(VLOOKUP(H182,'functions and szcl estimates'!$A$14:$I$23,4, FALSE))*(('raw data'!I570)^(VLOOKUP('raw data'!H570,'functions and szcl estimates'!$A$14:$I$23, 7, FALSE)))</f>
        <v>485.37316406488418</v>
      </c>
      <c r="L182" s="12">
        <v>0.625</v>
      </c>
      <c r="M182" s="8">
        <v>0.54166666666666696</v>
      </c>
      <c r="N182" s="8">
        <f t="shared" si="9"/>
        <v>8.3333333333333037E-2</v>
      </c>
      <c r="O182" s="14">
        <v>22</v>
      </c>
      <c r="S182" t="s">
        <v>148</v>
      </c>
    </row>
    <row r="183" spans="1:19" x14ac:dyDescent="0.2">
      <c r="A183" s="5">
        <v>39684</v>
      </c>
      <c r="B183" s="17">
        <v>2012</v>
      </c>
      <c r="C183" s="18" t="str">
        <f t="shared" si="7"/>
        <v>Tomales Bay_39684_TB Central_0.625</v>
      </c>
      <c r="D183" s="18" t="s">
        <v>46</v>
      </c>
      <c r="E183" s="19" t="s">
        <v>52</v>
      </c>
      <c r="F183" s="70" t="s">
        <v>288</v>
      </c>
      <c r="G183" s="70">
        <v>1</v>
      </c>
      <c r="H183" s="84" t="s">
        <v>280</v>
      </c>
      <c r="I183" s="19">
        <v>77</v>
      </c>
      <c r="J183" s="70" t="s">
        <v>289</v>
      </c>
      <c r="K183" s="2">
        <f>(VLOOKUP(H183,'functions and szcl estimates'!$A$14:$I$23,4, FALSE))*(('raw data'!I571)^(VLOOKUP('raw data'!H571,'functions and szcl estimates'!$A$14:$I$23, 7, FALSE)))</f>
        <v>591.12470651919762</v>
      </c>
      <c r="L183" s="12">
        <v>0.625</v>
      </c>
      <c r="M183" s="8">
        <v>0.54166666666666696</v>
      </c>
      <c r="N183" s="8">
        <f t="shared" si="9"/>
        <v>8.3333333333333037E-2</v>
      </c>
      <c r="O183" s="14">
        <v>22</v>
      </c>
      <c r="S183" t="s">
        <v>148</v>
      </c>
    </row>
    <row r="184" spans="1:19" x14ac:dyDescent="0.2">
      <c r="A184" s="5">
        <v>39684</v>
      </c>
      <c r="B184" s="17">
        <v>2012</v>
      </c>
      <c r="C184" s="18" t="str">
        <f t="shared" si="7"/>
        <v>Tomales Bay_39684_TB Central_0.625</v>
      </c>
      <c r="D184" s="18" t="s">
        <v>46</v>
      </c>
      <c r="E184" s="19" t="s">
        <v>52</v>
      </c>
      <c r="F184" s="70" t="s">
        <v>288</v>
      </c>
      <c r="G184" s="70">
        <v>1</v>
      </c>
      <c r="H184" s="84" t="s">
        <v>280</v>
      </c>
      <c r="I184" s="19">
        <v>70</v>
      </c>
      <c r="J184" s="70" t="s">
        <v>289</v>
      </c>
      <c r="K184" s="2">
        <f>(VLOOKUP(H184,'functions and szcl estimates'!$A$14:$I$23,4, FALSE))*(('raw data'!I572)^(VLOOKUP('raw data'!H572,'functions and szcl estimates'!$A$14:$I$23, 7, FALSE)))</f>
        <v>607.24987607047603</v>
      </c>
      <c r="L184" s="12">
        <v>0.625</v>
      </c>
      <c r="M184" s="8">
        <v>0.54166666666666696</v>
      </c>
      <c r="N184" s="8">
        <f t="shared" si="9"/>
        <v>8.3333333333333037E-2</v>
      </c>
      <c r="O184" s="14">
        <v>22</v>
      </c>
      <c r="S184" t="s">
        <v>148</v>
      </c>
    </row>
    <row r="185" spans="1:19" x14ac:dyDescent="0.2">
      <c r="A185" s="5">
        <v>39684</v>
      </c>
      <c r="B185" s="17">
        <v>2012</v>
      </c>
      <c r="C185" s="18" t="str">
        <f t="shared" si="7"/>
        <v>Tomales Bay_39684_TB Central_0.625</v>
      </c>
      <c r="D185" s="18" t="s">
        <v>46</v>
      </c>
      <c r="E185" s="19" t="s">
        <v>52</v>
      </c>
      <c r="F185" s="70" t="s">
        <v>288</v>
      </c>
      <c r="G185" s="70">
        <v>1</v>
      </c>
      <c r="H185" s="84" t="s">
        <v>280</v>
      </c>
      <c r="I185" s="19">
        <v>75</v>
      </c>
      <c r="J185" s="70" t="s">
        <v>289</v>
      </c>
      <c r="K185" s="2">
        <f>(VLOOKUP(H185,'functions and szcl estimates'!$A$14:$I$23,4, FALSE))*(('raw data'!I573)^(VLOOKUP('raw data'!H573,'functions and szcl estimates'!$A$14:$I$23, 7, FALSE)))</f>
        <v>840.85537860632348</v>
      </c>
      <c r="L185" s="12">
        <v>0.625</v>
      </c>
      <c r="M185" s="8">
        <v>0.54166666666666696</v>
      </c>
      <c r="N185" s="8">
        <f t="shared" si="9"/>
        <v>8.3333333333333037E-2</v>
      </c>
      <c r="O185" s="14">
        <v>22</v>
      </c>
      <c r="S185" t="s">
        <v>148</v>
      </c>
    </row>
    <row r="186" spans="1:19" x14ac:dyDescent="0.2">
      <c r="A186" s="5">
        <v>39684</v>
      </c>
      <c r="B186" s="17">
        <v>2012</v>
      </c>
      <c r="C186" s="18" t="str">
        <f t="shared" si="7"/>
        <v>Tomales Bay_39684_TB Central_0.625</v>
      </c>
      <c r="D186" s="18" t="s">
        <v>46</v>
      </c>
      <c r="E186" s="19" t="s">
        <v>52</v>
      </c>
      <c r="F186" s="70" t="s">
        <v>288</v>
      </c>
      <c r="G186" s="70">
        <v>1</v>
      </c>
      <c r="H186" s="84" t="s">
        <v>280</v>
      </c>
      <c r="I186" s="19">
        <v>79</v>
      </c>
      <c r="J186" s="70" t="s">
        <v>289</v>
      </c>
      <c r="K186" s="2">
        <f>(VLOOKUP(H186,'functions and szcl estimates'!$A$14:$I$23,4, FALSE))*(('raw data'!I574)^(VLOOKUP('raw data'!H574,'functions and szcl estimates'!$A$14:$I$23, 7, FALSE)))</f>
        <v>457.40839324663727</v>
      </c>
      <c r="L186" s="12">
        <v>0.625</v>
      </c>
      <c r="M186" s="8">
        <v>0.54166666666666696</v>
      </c>
      <c r="N186" s="8">
        <f t="shared" si="9"/>
        <v>8.3333333333333037E-2</v>
      </c>
      <c r="O186" s="14">
        <v>22</v>
      </c>
      <c r="S186" t="s">
        <v>148</v>
      </c>
    </row>
    <row r="187" spans="1:19" x14ac:dyDescent="0.2">
      <c r="A187" s="5">
        <v>39685</v>
      </c>
      <c r="B187" s="17">
        <v>2012</v>
      </c>
      <c r="C187" s="18" t="str">
        <f t="shared" si="7"/>
        <v>Tomales Bay_39685_TB North_0.4861</v>
      </c>
      <c r="D187" s="18" t="s">
        <v>46</v>
      </c>
      <c r="E187" s="19" t="s">
        <v>55</v>
      </c>
      <c r="F187" s="70" t="s">
        <v>288</v>
      </c>
      <c r="G187" s="70">
        <v>1</v>
      </c>
      <c r="H187" s="84" t="s">
        <v>280</v>
      </c>
      <c r="I187" s="19">
        <v>74</v>
      </c>
      <c r="J187" s="70" t="s">
        <v>289</v>
      </c>
      <c r="K187" s="2">
        <f>(VLOOKUP(H187,'functions and szcl estimates'!$A$14:$I$23,4, FALSE))*(('raw data'!I586)^(VLOOKUP('raw data'!H586,'functions and szcl estimates'!$A$14:$I$23, 7, FALSE)))</f>
        <v>332.05963554628806</v>
      </c>
      <c r="L187" s="12">
        <v>0.4861111111111111</v>
      </c>
      <c r="M187" s="8">
        <v>0.39583333333333331</v>
      </c>
      <c r="N187" s="8">
        <f t="shared" si="9"/>
        <v>9.027777777777779E-2</v>
      </c>
      <c r="O187" s="14">
        <v>21.75</v>
      </c>
      <c r="S187" t="s">
        <v>148</v>
      </c>
    </row>
    <row r="188" spans="1:19" x14ac:dyDescent="0.2">
      <c r="A188" s="5">
        <v>39685</v>
      </c>
      <c r="B188" s="17">
        <v>2012</v>
      </c>
      <c r="C188" s="18" t="str">
        <f t="shared" si="7"/>
        <v>Tomales Bay_39685_TB Central_0.5417</v>
      </c>
      <c r="D188" s="18" t="s">
        <v>46</v>
      </c>
      <c r="E188" s="19" t="s">
        <v>52</v>
      </c>
      <c r="F188" s="70" t="s">
        <v>288</v>
      </c>
      <c r="G188" s="70">
        <v>1</v>
      </c>
      <c r="H188" s="84" t="s">
        <v>280</v>
      </c>
      <c r="I188" s="19">
        <v>66</v>
      </c>
      <c r="J188" s="70" t="s">
        <v>289</v>
      </c>
      <c r="K188" s="2">
        <f>(VLOOKUP(H188,'functions and szcl estimates'!$A$14:$I$23,4, FALSE))*(('raw data'!I588)^(VLOOKUP('raw data'!H588,'functions and szcl estimates'!$A$14:$I$23, 7, FALSE)))</f>
        <v>471.26758882594987</v>
      </c>
      <c r="L188" s="12">
        <v>0.54166666666666663</v>
      </c>
      <c r="M188" s="8">
        <v>0.4375</v>
      </c>
      <c r="N188" s="8">
        <f t="shared" si="9"/>
        <v>0.10416666666666663</v>
      </c>
      <c r="O188" s="14">
        <v>21.5</v>
      </c>
      <c r="S188" t="s">
        <v>148</v>
      </c>
    </row>
    <row r="189" spans="1:19" x14ac:dyDescent="0.2">
      <c r="A189" s="5">
        <v>39685</v>
      </c>
      <c r="B189" s="17">
        <v>2012</v>
      </c>
      <c r="C189" s="18" t="str">
        <f t="shared" si="7"/>
        <v>Tomales Bay_39685_TB Central_0.5417</v>
      </c>
      <c r="D189" s="18" t="s">
        <v>46</v>
      </c>
      <c r="E189" s="19" t="s">
        <v>52</v>
      </c>
      <c r="F189" s="70" t="s">
        <v>288</v>
      </c>
      <c r="G189" s="70">
        <v>1</v>
      </c>
      <c r="H189" s="84" t="s">
        <v>280</v>
      </c>
      <c r="I189" s="19">
        <v>65</v>
      </c>
      <c r="J189" s="70" t="s">
        <v>289</v>
      </c>
      <c r="K189" s="2">
        <f>(VLOOKUP(H189,'functions and szcl estimates'!$A$14:$I$23,4, FALSE))*(('raw data'!I589)^(VLOOKUP('raw data'!H589,'functions and szcl estimates'!$A$14:$I$23, 7, FALSE)))</f>
        <v>471.26758882594987</v>
      </c>
      <c r="L189" s="12">
        <v>0.54166666666666696</v>
      </c>
      <c r="M189" s="8">
        <v>0.4375</v>
      </c>
      <c r="N189" s="8">
        <f t="shared" si="9"/>
        <v>0.10416666666666696</v>
      </c>
      <c r="O189" s="14">
        <v>21.5</v>
      </c>
      <c r="S189" t="s">
        <v>148</v>
      </c>
    </row>
    <row r="190" spans="1:19" x14ac:dyDescent="0.2">
      <c r="A190" s="5">
        <v>39685</v>
      </c>
      <c r="B190" s="17">
        <v>2012</v>
      </c>
      <c r="C190" s="18" t="str">
        <f t="shared" si="7"/>
        <v>Tomales Bay_39685_TB Central_0.5417</v>
      </c>
      <c r="D190" s="18" t="s">
        <v>46</v>
      </c>
      <c r="E190" s="19" t="s">
        <v>52</v>
      </c>
      <c r="F190" s="70" t="s">
        <v>288</v>
      </c>
      <c r="G190" s="70">
        <v>1</v>
      </c>
      <c r="H190" s="84" t="s">
        <v>280</v>
      </c>
      <c r="I190" s="19">
        <v>67</v>
      </c>
      <c r="J190" s="70" t="s">
        <v>289</v>
      </c>
      <c r="K190" s="2">
        <f>(VLOOKUP(H190,'functions and szcl estimates'!$A$14:$I$23,4, FALSE))*(('raw data'!I590)^(VLOOKUP('raw data'!H590,'functions and szcl estimates'!$A$14:$I$23, 7, FALSE)))</f>
        <v>471.26758882594987</v>
      </c>
      <c r="L190" s="12">
        <v>0.54166666666666696</v>
      </c>
      <c r="M190" s="8">
        <v>0.4375</v>
      </c>
      <c r="N190" s="8">
        <f t="shared" si="9"/>
        <v>0.10416666666666696</v>
      </c>
      <c r="O190" s="14">
        <v>21.5</v>
      </c>
      <c r="S190" t="s">
        <v>148</v>
      </c>
    </row>
    <row r="191" spans="1:19" x14ac:dyDescent="0.2">
      <c r="A191" s="5">
        <v>39685</v>
      </c>
      <c r="B191" s="17">
        <v>2012</v>
      </c>
      <c r="C191" s="18" t="str">
        <f t="shared" si="7"/>
        <v>Tomales Bay_39685_TB Central_0.5417</v>
      </c>
      <c r="D191" s="18" t="s">
        <v>46</v>
      </c>
      <c r="E191" s="19" t="s">
        <v>52</v>
      </c>
      <c r="F191" s="70" t="s">
        <v>288</v>
      </c>
      <c r="G191" s="70">
        <v>1</v>
      </c>
      <c r="H191" s="84" t="s">
        <v>280</v>
      </c>
      <c r="I191" s="19">
        <v>88</v>
      </c>
      <c r="J191" s="70" t="s">
        <v>289</v>
      </c>
      <c r="K191" s="2">
        <f>(VLOOKUP(H191,'functions and szcl estimates'!$A$14:$I$23,4, FALSE))*(('raw data'!I592)^(VLOOKUP('raw data'!H592,'functions and szcl estimates'!$A$14:$I$23, 7, FALSE)))</f>
        <v>258.12604607903705</v>
      </c>
      <c r="L191" s="12">
        <v>0.54166666666666696</v>
      </c>
      <c r="M191" s="8">
        <v>0.4375</v>
      </c>
      <c r="N191" s="8">
        <f t="shared" si="9"/>
        <v>0.10416666666666696</v>
      </c>
      <c r="O191" s="14">
        <v>21.5</v>
      </c>
      <c r="S191" t="s">
        <v>148</v>
      </c>
    </row>
    <row r="192" spans="1:19" x14ac:dyDescent="0.2">
      <c r="A192" s="5">
        <v>39685</v>
      </c>
      <c r="B192" s="17">
        <v>2012</v>
      </c>
      <c r="C192" s="18" t="str">
        <f t="shared" si="7"/>
        <v>Tomales Bay_39685_TB Central_0.5417</v>
      </c>
      <c r="D192" s="18" t="s">
        <v>46</v>
      </c>
      <c r="E192" s="19" t="s">
        <v>52</v>
      </c>
      <c r="F192" s="70" t="s">
        <v>288</v>
      </c>
      <c r="G192" s="70">
        <v>1</v>
      </c>
      <c r="H192" s="84" t="s">
        <v>280</v>
      </c>
      <c r="I192" s="19">
        <v>70</v>
      </c>
      <c r="J192" s="70" t="s">
        <v>289</v>
      </c>
      <c r="K192" s="2">
        <f>(VLOOKUP(H192,'functions and szcl estimates'!$A$14:$I$23,4, FALSE))*(('raw data'!I593)^(VLOOKUP('raw data'!H593,'functions and szcl estimates'!$A$14:$I$23, 7, FALSE)))</f>
        <v>417.29526367896335</v>
      </c>
      <c r="L192" s="12">
        <v>0.54166666666666696</v>
      </c>
      <c r="M192" s="8">
        <v>0.4375</v>
      </c>
      <c r="N192" s="8">
        <f t="shared" si="9"/>
        <v>0.10416666666666696</v>
      </c>
      <c r="O192" s="14">
        <v>21.5</v>
      </c>
      <c r="S192" t="s">
        <v>148</v>
      </c>
    </row>
    <row r="193" spans="1:20" x14ac:dyDescent="0.2">
      <c r="A193" s="5">
        <v>39685</v>
      </c>
      <c r="B193" s="17">
        <v>2012</v>
      </c>
      <c r="C193" s="18" t="str">
        <f t="shared" si="7"/>
        <v>Tomales Bay_39685_TB Central_0.5417</v>
      </c>
      <c r="D193" s="18" t="s">
        <v>46</v>
      </c>
      <c r="E193" s="19" t="s">
        <v>52</v>
      </c>
      <c r="F193" s="70" t="s">
        <v>288</v>
      </c>
      <c r="G193" s="70">
        <v>1</v>
      </c>
      <c r="H193" s="84" t="s">
        <v>280</v>
      </c>
      <c r="I193" s="19">
        <v>72</v>
      </c>
      <c r="J193" s="70" t="s">
        <v>289</v>
      </c>
      <c r="K193" s="2">
        <f>(VLOOKUP(H193,'functions and szcl estimates'!$A$14:$I$23,4, FALSE))*(('raw data'!I594)^(VLOOKUP('raw data'!H594,'functions and szcl estimates'!$A$14:$I$23, 7, FALSE)))</f>
        <v>367.17577832604621</v>
      </c>
      <c r="L193" s="12">
        <v>0.54166666666666696</v>
      </c>
      <c r="M193" s="8">
        <v>0.4375</v>
      </c>
      <c r="N193" s="8">
        <f t="shared" si="9"/>
        <v>0.10416666666666696</v>
      </c>
      <c r="O193" s="14">
        <v>21.5</v>
      </c>
      <c r="S193" t="s">
        <v>148</v>
      </c>
    </row>
    <row r="194" spans="1:20" x14ac:dyDescent="0.2">
      <c r="A194" s="5">
        <v>39685</v>
      </c>
      <c r="B194" s="17">
        <v>2012</v>
      </c>
      <c r="C194" s="18" t="str">
        <f t="shared" si="7"/>
        <v>Tomales Bay_39685_TB Central_0.5417</v>
      </c>
      <c r="D194" s="18" t="s">
        <v>46</v>
      </c>
      <c r="E194" s="19" t="s">
        <v>52</v>
      </c>
      <c r="F194" s="70" t="s">
        <v>288</v>
      </c>
      <c r="G194" s="70">
        <v>1</v>
      </c>
      <c r="H194" s="84" t="s">
        <v>280</v>
      </c>
      <c r="I194" s="19">
        <v>70</v>
      </c>
      <c r="J194" s="70" t="s">
        <v>289</v>
      </c>
      <c r="K194" s="2">
        <f>(VLOOKUP(H194,'functions and szcl estimates'!$A$14:$I$23,4, FALSE))*(('raw data'!I595)^(VLOOKUP('raw data'!H595,'functions and szcl estimates'!$A$14:$I$23, 7, FALSE)))</f>
        <v>404.40771995983602</v>
      </c>
      <c r="L194" s="12">
        <v>0.54166666666666696</v>
      </c>
      <c r="M194" s="8">
        <v>0.4375</v>
      </c>
      <c r="N194" s="8">
        <f t="shared" si="9"/>
        <v>0.10416666666666696</v>
      </c>
      <c r="O194" s="14">
        <v>21.5</v>
      </c>
      <c r="S194" t="s">
        <v>148</v>
      </c>
    </row>
    <row r="195" spans="1:20" x14ac:dyDescent="0.2">
      <c r="A195" s="5">
        <v>39685</v>
      </c>
      <c r="B195" s="17">
        <v>2012</v>
      </c>
      <c r="C195" s="18" t="str">
        <f t="shared" ref="C195:C258" si="10">CONCATENATE(D195,"_",A195,"_",E195,"_",ROUND(L195,4))</f>
        <v>Tomales Bay_39685_TB Central_0.5417</v>
      </c>
      <c r="D195" s="18" t="s">
        <v>46</v>
      </c>
      <c r="E195" s="19" t="s">
        <v>52</v>
      </c>
      <c r="F195" s="70" t="s">
        <v>288</v>
      </c>
      <c r="G195" s="70">
        <v>1</v>
      </c>
      <c r="H195" s="84" t="s">
        <v>280</v>
      </c>
      <c r="I195" s="19">
        <v>81</v>
      </c>
      <c r="J195" s="70" t="s">
        <v>289</v>
      </c>
      <c r="K195" s="2">
        <f>(VLOOKUP(H195,'functions and szcl estimates'!$A$14:$I$23,4, FALSE))*(('raw data'!I596)^(VLOOKUP('raw data'!H596,'functions and szcl estimates'!$A$14:$I$23, 7, FALSE)))</f>
        <v>443.7941997949726</v>
      </c>
      <c r="L195" s="12">
        <v>0.54166666666666696</v>
      </c>
      <c r="M195" s="8">
        <v>0.4375</v>
      </c>
      <c r="N195" s="8">
        <f t="shared" si="9"/>
        <v>0.10416666666666696</v>
      </c>
      <c r="O195" s="14">
        <v>21.5</v>
      </c>
      <c r="S195" t="s">
        <v>148</v>
      </c>
    </row>
    <row r="196" spans="1:20" x14ac:dyDescent="0.2">
      <c r="A196" s="5">
        <v>39685</v>
      </c>
      <c r="B196" s="17">
        <v>2012</v>
      </c>
      <c r="C196" s="18" t="str">
        <f t="shared" si="10"/>
        <v>Tomales Bay_39685_TB South_0.5208</v>
      </c>
      <c r="D196" s="18" t="s">
        <v>46</v>
      </c>
      <c r="E196" s="19" t="s">
        <v>53</v>
      </c>
      <c r="F196" s="70" t="s">
        <v>288</v>
      </c>
      <c r="G196" s="70">
        <v>1</v>
      </c>
      <c r="H196" s="84" t="s">
        <v>280</v>
      </c>
      <c r="I196" s="19">
        <v>83</v>
      </c>
      <c r="J196" s="70" t="s">
        <v>289</v>
      </c>
      <c r="K196" s="2">
        <f>(VLOOKUP(H196,'functions and szcl estimates'!$A$14:$I$23,4, FALSE))*(('raw data'!I600)^(VLOOKUP('raw data'!H600,'functions and szcl estimates'!$A$14:$I$23, 7, FALSE)))</f>
        <v>745.66136806150985</v>
      </c>
      <c r="L196" s="12">
        <v>0.52083333333333337</v>
      </c>
      <c r="M196" s="8">
        <v>0.44791666666666669</v>
      </c>
      <c r="N196" s="8">
        <f t="shared" si="9"/>
        <v>7.2916666666666685E-2</v>
      </c>
      <c r="O196" s="14">
        <v>22.25</v>
      </c>
      <c r="S196" t="s">
        <v>148</v>
      </c>
    </row>
    <row r="197" spans="1:20" x14ac:dyDescent="0.2">
      <c r="A197" s="5">
        <v>39686</v>
      </c>
      <c r="B197" s="17">
        <v>2012</v>
      </c>
      <c r="C197" s="18" t="str">
        <f t="shared" si="10"/>
        <v>Tomales Bay_39686_TB Central_0.4375</v>
      </c>
      <c r="D197" s="18" t="s">
        <v>46</v>
      </c>
      <c r="E197" s="19" t="s">
        <v>52</v>
      </c>
      <c r="F197" s="70" t="s">
        <v>288</v>
      </c>
      <c r="G197" s="70">
        <v>1</v>
      </c>
      <c r="H197" s="84" t="s">
        <v>280</v>
      </c>
      <c r="I197" s="19">
        <v>70</v>
      </c>
      <c r="J197" s="70" t="s">
        <v>289</v>
      </c>
      <c r="K197" s="2">
        <f>(VLOOKUP(H197,'functions and szcl estimates'!$A$14:$I$23,4, FALSE))*(('raw data'!I603)^(VLOOKUP('raw data'!H603,'functions and szcl estimates'!$A$14:$I$23, 7, FALSE)))</f>
        <v>104.36643749570572</v>
      </c>
      <c r="L197" s="12">
        <v>0.4375</v>
      </c>
      <c r="M197" s="8">
        <v>0.42708333333333331</v>
      </c>
      <c r="N197" s="8">
        <f t="shared" si="9"/>
        <v>1.0416666666666685E-2</v>
      </c>
      <c r="O197" s="14">
        <v>23.75</v>
      </c>
      <c r="P197">
        <f>COUNT(O197:O204)</f>
        <v>8</v>
      </c>
      <c r="Q197" s="65">
        <f>SUM(K197:K204)</f>
        <v>1593.0125665423936</v>
      </c>
      <c r="R197" s="15">
        <f>P197/O197</f>
        <v>0.33684210526315789</v>
      </c>
      <c r="S197" t="s">
        <v>148</v>
      </c>
    </row>
    <row r="198" spans="1:20" x14ac:dyDescent="0.2">
      <c r="A198" s="5">
        <v>39686</v>
      </c>
      <c r="B198" s="17">
        <v>2012</v>
      </c>
      <c r="C198" s="18" t="str">
        <f t="shared" si="10"/>
        <v>Tomales Bay_39686_TB Central_0.4375</v>
      </c>
      <c r="D198" s="18" t="s">
        <v>46</v>
      </c>
      <c r="E198" s="19" t="s">
        <v>56</v>
      </c>
      <c r="F198" s="70" t="s">
        <v>288</v>
      </c>
      <c r="G198" s="70">
        <v>1</v>
      </c>
      <c r="H198" s="84" t="s">
        <v>280</v>
      </c>
      <c r="I198" s="19">
        <v>73</v>
      </c>
      <c r="J198" s="70" t="s">
        <v>289</v>
      </c>
      <c r="K198" s="2">
        <f>(VLOOKUP(H198,'functions and szcl estimates'!$A$14:$I$23,4, FALSE))*(('raw data'!I604)^(VLOOKUP('raw data'!H604,'functions and szcl estimates'!$A$14:$I$23, 7, FALSE)))</f>
        <v>116.16276026838595</v>
      </c>
      <c r="L198" s="12">
        <v>0.4375</v>
      </c>
      <c r="M198" s="8">
        <v>0.42708333333333331</v>
      </c>
      <c r="N198" s="8">
        <f t="shared" si="9"/>
        <v>1.0416666666666685E-2</v>
      </c>
      <c r="O198" s="14">
        <v>23.75</v>
      </c>
      <c r="S198" t="s">
        <v>148</v>
      </c>
    </row>
    <row r="199" spans="1:20" x14ac:dyDescent="0.2">
      <c r="A199" s="5">
        <v>39686</v>
      </c>
      <c r="B199" s="17">
        <v>2012</v>
      </c>
      <c r="C199" s="18" t="str">
        <f t="shared" si="10"/>
        <v>Tomales Bay_39686_TB Central_0.4375</v>
      </c>
      <c r="D199" s="18" t="s">
        <v>46</v>
      </c>
      <c r="E199" s="19" t="s">
        <v>52</v>
      </c>
      <c r="F199" s="70" t="s">
        <v>288</v>
      </c>
      <c r="G199" s="70">
        <v>1</v>
      </c>
      <c r="H199" s="84" t="s">
        <v>280</v>
      </c>
      <c r="I199" s="19">
        <v>80</v>
      </c>
      <c r="J199" s="70" t="s">
        <v>289</v>
      </c>
      <c r="K199" s="2">
        <f>(VLOOKUP(H199,'functions and szcl estimates'!$A$14:$I$23,4, FALSE))*(('raw data'!I605)^(VLOOKUP('raw data'!H605,'functions and szcl estimates'!$A$14:$I$23, 7, FALSE)))</f>
        <v>135.28226625830433</v>
      </c>
      <c r="L199" s="12">
        <v>0.4375</v>
      </c>
      <c r="M199" s="8">
        <v>0.42708333333333298</v>
      </c>
      <c r="N199" s="8">
        <f t="shared" si="9"/>
        <v>1.0416666666667018E-2</v>
      </c>
      <c r="O199" s="14">
        <v>23.75</v>
      </c>
      <c r="S199" t="s">
        <v>148</v>
      </c>
    </row>
    <row r="200" spans="1:20" x14ac:dyDescent="0.2">
      <c r="A200" s="5">
        <v>39686</v>
      </c>
      <c r="B200" s="17">
        <v>2012</v>
      </c>
      <c r="C200" s="18" t="str">
        <f t="shared" si="10"/>
        <v>Tomales Bay_39686_TB Central_0.4375</v>
      </c>
      <c r="D200" s="18" t="s">
        <v>46</v>
      </c>
      <c r="E200" s="19" t="s">
        <v>52</v>
      </c>
      <c r="F200" s="70" t="s">
        <v>288</v>
      </c>
      <c r="G200" s="70">
        <v>1</v>
      </c>
      <c r="H200" s="84" t="s">
        <v>280</v>
      </c>
      <c r="I200" s="19">
        <v>76</v>
      </c>
      <c r="J200" s="70" t="s">
        <v>289</v>
      </c>
      <c r="K200" s="2">
        <f>(VLOOKUP(H200,'functions and szcl estimates'!$A$14:$I$23,4, FALSE))*(('raw data'!I607)^(VLOOKUP('raw data'!H607,'functions and szcl estimates'!$A$14:$I$23, 7, FALSE)))</f>
        <v>211.94758793062127</v>
      </c>
      <c r="L200" s="12">
        <v>0.4375</v>
      </c>
      <c r="M200" s="8">
        <v>0.42708333333333298</v>
      </c>
      <c r="N200" s="8">
        <f t="shared" si="9"/>
        <v>1.0416666666667018E-2</v>
      </c>
      <c r="O200" s="14">
        <v>23.75</v>
      </c>
      <c r="S200" t="s">
        <v>148</v>
      </c>
    </row>
    <row r="201" spans="1:20" x14ac:dyDescent="0.2">
      <c r="A201" s="5">
        <v>39686</v>
      </c>
      <c r="B201" s="17">
        <v>2012</v>
      </c>
      <c r="C201" s="18" t="str">
        <f t="shared" si="10"/>
        <v>Tomales Bay_39686_TB Central_0.4375</v>
      </c>
      <c r="D201" s="18" t="s">
        <v>46</v>
      </c>
      <c r="E201" s="19" t="s">
        <v>56</v>
      </c>
      <c r="F201" s="70" t="s">
        <v>288</v>
      </c>
      <c r="G201" s="70">
        <v>1</v>
      </c>
      <c r="H201" s="84" t="s">
        <v>280</v>
      </c>
      <c r="I201" s="19">
        <v>68</v>
      </c>
      <c r="J201" s="70" t="s">
        <v>289</v>
      </c>
      <c r="K201" s="2">
        <f>(VLOOKUP(H201,'functions and szcl estimates'!$A$14:$I$23,4, FALSE))*(('raw data'!I608)^(VLOOKUP('raw data'!H608,'functions and szcl estimates'!$A$14:$I$23, 7, FALSE)))</f>
        <v>229.77154336687161</v>
      </c>
      <c r="L201" s="12">
        <v>0.4375</v>
      </c>
      <c r="M201" s="8">
        <v>0.42708333333333298</v>
      </c>
      <c r="N201" s="8">
        <f t="shared" si="9"/>
        <v>1.0416666666667018E-2</v>
      </c>
      <c r="O201" s="14">
        <v>23.75</v>
      </c>
      <c r="S201" t="s">
        <v>148</v>
      </c>
    </row>
    <row r="202" spans="1:20" x14ac:dyDescent="0.2">
      <c r="A202" s="5">
        <v>39686</v>
      </c>
      <c r="B202" s="17">
        <v>2012</v>
      </c>
      <c r="C202" s="18" t="str">
        <f t="shared" si="10"/>
        <v>Tomales Bay_39686_TB Central_0.4375</v>
      </c>
      <c r="D202" s="18" t="s">
        <v>46</v>
      </c>
      <c r="E202" s="19" t="s">
        <v>52</v>
      </c>
      <c r="F202" s="70" t="s">
        <v>288</v>
      </c>
      <c r="G202" s="70">
        <v>1</v>
      </c>
      <c r="H202" s="84" t="s">
        <v>280</v>
      </c>
      <c r="I202" s="19">
        <v>75</v>
      </c>
      <c r="J202" s="70" t="s">
        <v>289</v>
      </c>
      <c r="K202" s="2">
        <f>(VLOOKUP(H202,'functions and szcl estimates'!$A$14:$I$23,4, FALSE))*(('raw data'!I609)^(VLOOKUP('raw data'!H609,'functions and szcl estimates'!$A$14:$I$23, 7, FALSE)))</f>
        <v>239.00563570486423</v>
      </c>
      <c r="L202" s="12">
        <v>0.4375</v>
      </c>
      <c r="M202" s="8">
        <v>0.42708333333333298</v>
      </c>
      <c r="N202" s="8">
        <f t="shared" si="9"/>
        <v>1.0416666666667018E-2</v>
      </c>
      <c r="O202" s="14">
        <v>23.75</v>
      </c>
      <c r="S202" t="s">
        <v>148</v>
      </c>
    </row>
    <row r="203" spans="1:20" x14ac:dyDescent="0.2">
      <c r="A203" s="5">
        <v>39686</v>
      </c>
      <c r="B203" s="17">
        <v>2012</v>
      </c>
      <c r="C203" s="18" t="str">
        <f t="shared" si="10"/>
        <v>Tomales Bay_39686_TB Central_0.4375</v>
      </c>
      <c r="D203" s="18" t="s">
        <v>46</v>
      </c>
      <c r="E203" s="19" t="s">
        <v>56</v>
      </c>
      <c r="F203" s="70" t="s">
        <v>288</v>
      </c>
      <c r="G203" s="70">
        <v>1</v>
      </c>
      <c r="H203" s="84" t="s">
        <v>280</v>
      </c>
      <c r="I203" s="19">
        <v>75</v>
      </c>
      <c r="J203" s="70" t="s">
        <v>289</v>
      </c>
      <c r="K203" s="2">
        <f>(VLOOKUP(H203,'functions and szcl estimates'!$A$14:$I$23,4, FALSE))*(('raw data'!I610)^(VLOOKUP('raw data'!H610,'functions and szcl estimates'!$A$14:$I$23, 7, FALSE)))</f>
        <v>268.01552212872775</v>
      </c>
      <c r="L203" s="12">
        <v>0.4375</v>
      </c>
      <c r="M203" s="8">
        <v>0.42708333333333298</v>
      </c>
      <c r="N203" s="8">
        <f t="shared" si="9"/>
        <v>1.0416666666667018E-2</v>
      </c>
      <c r="O203" s="14">
        <v>23.75</v>
      </c>
      <c r="S203" t="s">
        <v>148</v>
      </c>
    </row>
    <row r="204" spans="1:20" x14ac:dyDescent="0.2">
      <c r="A204" s="5">
        <v>39686</v>
      </c>
      <c r="B204" s="17">
        <v>2012</v>
      </c>
      <c r="C204" s="18" t="str">
        <f t="shared" si="10"/>
        <v>Tomales Bay_39686_TB South_0.4479</v>
      </c>
      <c r="D204" s="18" t="s">
        <v>46</v>
      </c>
      <c r="E204" s="19" t="s">
        <v>53</v>
      </c>
      <c r="F204" s="70" t="s">
        <v>288</v>
      </c>
      <c r="G204" s="70">
        <v>1</v>
      </c>
      <c r="H204" s="84" t="s">
        <v>280</v>
      </c>
      <c r="I204" s="19">
        <v>76</v>
      </c>
      <c r="J204" s="70" t="s">
        <v>289</v>
      </c>
      <c r="K204" s="2">
        <f>(VLOOKUP(H204,'functions and szcl estimates'!$A$14:$I$23,4, FALSE))*(('raw data'!I611)^(VLOOKUP('raw data'!H611,'functions and szcl estimates'!$A$14:$I$23, 7, FALSE)))</f>
        <v>288.46081338891281</v>
      </c>
      <c r="L204" s="12">
        <v>0.44791666666666669</v>
      </c>
      <c r="M204" s="8">
        <v>0.43402777777777773</v>
      </c>
      <c r="N204" s="8">
        <f t="shared" si="9"/>
        <v>1.3888888888888951E-2</v>
      </c>
      <c r="O204" s="14">
        <v>23.75</v>
      </c>
      <c r="P204">
        <f>COUNT(O204:O205)</f>
        <v>2</v>
      </c>
      <c r="Q204" s="65">
        <f>SUM(K204:K205)</f>
        <v>732.25501318388547</v>
      </c>
      <c r="R204" s="15">
        <f>P204/O204</f>
        <v>8.4210526315789472E-2</v>
      </c>
      <c r="S204" t="s">
        <v>148</v>
      </c>
    </row>
    <row r="205" spans="1:20" x14ac:dyDescent="0.2">
      <c r="A205" s="5">
        <v>39686</v>
      </c>
      <c r="B205" s="17">
        <v>2012</v>
      </c>
      <c r="C205" s="18" t="str">
        <f t="shared" si="10"/>
        <v>Tomales Bay_39686_TB North_0.3958</v>
      </c>
      <c r="D205" s="18" t="s">
        <v>46</v>
      </c>
      <c r="E205" s="19" t="s">
        <v>55</v>
      </c>
      <c r="F205" s="70" t="s">
        <v>288</v>
      </c>
      <c r="G205" s="70">
        <v>1</v>
      </c>
      <c r="H205" s="84" t="s">
        <v>280</v>
      </c>
      <c r="I205" s="19">
        <v>80</v>
      </c>
      <c r="J205" s="70" t="s">
        <v>289</v>
      </c>
      <c r="K205" s="2">
        <f>(VLOOKUP(H205,'functions and szcl estimates'!$A$14:$I$23,4, FALSE))*(('raw data'!I616)^(VLOOKUP('raw data'!H616,'functions and szcl estimates'!$A$14:$I$23, 7, FALSE)))</f>
        <v>443.7941997949726</v>
      </c>
      <c r="L205" s="12">
        <v>0.39583333333333298</v>
      </c>
      <c r="M205" s="8">
        <v>0.45833333333333298</v>
      </c>
      <c r="N205" s="8">
        <f t="shared" si="9"/>
        <v>-6.25E-2</v>
      </c>
      <c r="O205" s="14">
        <v>25.5</v>
      </c>
      <c r="S205" t="s">
        <v>148</v>
      </c>
    </row>
    <row r="206" spans="1:20" x14ac:dyDescent="0.2">
      <c r="A206" s="5">
        <v>41214</v>
      </c>
      <c r="B206" s="17">
        <v>2016</v>
      </c>
      <c r="C206" s="18" t="str">
        <f t="shared" si="10"/>
        <v>Drakes_41214_ZM_mid2_0.5208</v>
      </c>
      <c r="D206" s="18" t="s">
        <v>285</v>
      </c>
      <c r="E206" s="70" t="s">
        <v>294</v>
      </c>
      <c r="F206" s="70" t="s">
        <v>288</v>
      </c>
      <c r="G206" s="70">
        <v>1</v>
      </c>
      <c r="H206" s="77" t="s">
        <v>278</v>
      </c>
      <c r="I206" s="70">
        <v>75</v>
      </c>
      <c r="J206" s="70" t="s">
        <v>292</v>
      </c>
      <c r="K206" s="2">
        <f>(VLOOKUP(H206,'functions and szcl estimates'!$A$14:$I$23,4, FALSE))*(('raw data'!I663)^(VLOOKUP('raw data'!H663,'functions and szcl estimates'!$A$14:$I$23, 7, FALSE)))</f>
        <v>234.84394540243679</v>
      </c>
      <c r="L206" s="12">
        <v>0.52083333333333337</v>
      </c>
      <c r="M206" s="8">
        <v>0.51527777777777783</v>
      </c>
      <c r="N206" s="8">
        <f t="shared" ref="N206:N212" si="11">L206-M206</f>
        <v>5.5555555555555358E-3</v>
      </c>
      <c r="O206" s="14">
        <v>23.75</v>
      </c>
      <c r="S206" t="s">
        <v>148</v>
      </c>
      <c r="T206" s="70" t="s">
        <v>295</v>
      </c>
    </row>
    <row r="207" spans="1:20" x14ac:dyDescent="0.2">
      <c r="A207" s="5">
        <v>41214</v>
      </c>
      <c r="B207" s="17">
        <v>2016</v>
      </c>
      <c r="C207" s="18" t="str">
        <f t="shared" si="10"/>
        <v>Drakes_41214_ZM_mid2_0.5208</v>
      </c>
      <c r="D207" s="18" t="s">
        <v>285</v>
      </c>
      <c r="E207" s="70" t="s">
        <v>294</v>
      </c>
      <c r="F207" s="70" t="s">
        <v>288</v>
      </c>
      <c r="G207" s="70">
        <v>1</v>
      </c>
      <c r="H207" s="77" t="s">
        <v>278</v>
      </c>
      <c r="I207" s="70">
        <v>77</v>
      </c>
      <c r="J207" s="70" t="s">
        <v>292</v>
      </c>
      <c r="K207" s="2">
        <f>(VLOOKUP(H207,'functions and szcl estimates'!$A$14:$I$23,4, FALSE))*(('raw data'!I664)^(VLOOKUP('raw data'!H664,'functions and szcl estimates'!$A$14:$I$23, 7, FALSE)))</f>
        <v>274.19774356319698</v>
      </c>
      <c r="L207" s="12">
        <v>0.52083333333333304</v>
      </c>
      <c r="M207" s="8">
        <v>0.51527777777777795</v>
      </c>
      <c r="N207" s="8">
        <f t="shared" si="11"/>
        <v>5.5555555555550917E-3</v>
      </c>
      <c r="O207" s="14">
        <v>23.75</v>
      </c>
      <c r="S207" t="s">
        <v>148</v>
      </c>
      <c r="T207" s="70" t="s">
        <v>295</v>
      </c>
    </row>
    <row r="208" spans="1:20" x14ac:dyDescent="0.2">
      <c r="A208" s="5">
        <v>41214</v>
      </c>
      <c r="B208" s="17">
        <v>2016</v>
      </c>
      <c r="C208" s="18" t="str">
        <f t="shared" si="10"/>
        <v>Drakes_41214_ZM_mid2_0.5208</v>
      </c>
      <c r="D208" s="18" t="s">
        <v>285</v>
      </c>
      <c r="E208" s="70" t="s">
        <v>294</v>
      </c>
      <c r="F208" s="70" t="s">
        <v>288</v>
      </c>
      <c r="G208" s="70">
        <v>1</v>
      </c>
      <c r="H208" s="77" t="s">
        <v>278</v>
      </c>
      <c r="I208" s="70">
        <v>77</v>
      </c>
      <c r="J208" s="70" t="s">
        <v>292</v>
      </c>
      <c r="K208" s="2">
        <f>(VLOOKUP(H208,'functions and szcl estimates'!$A$14:$I$23,4, FALSE))*(('raw data'!I665)^(VLOOKUP('raw data'!H665,'functions and szcl estimates'!$A$14:$I$23, 7, FALSE)))</f>
        <v>714.76672681578862</v>
      </c>
      <c r="L208" s="12">
        <v>0.52083333333333304</v>
      </c>
      <c r="M208" s="8">
        <v>0.51527777777777795</v>
      </c>
      <c r="N208" s="8">
        <f t="shared" si="11"/>
        <v>5.5555555555550917E-3</v>
      </c>
      <c r="O208" s="14">
        <v>23.75</v>
      </c>
      <c r="S208" t="s">
        <v>148</v>
      </c>
      <c r="T208" s="70" t="s">
        <v>295</v>
      </c>
    </row>
    <row r="209" spans="1:20" x14ac:dyDescent="0.2">
      <c r="A209" s="5">
        <v>41214</v>
      </c>
      <c r="B209" s="17">
        <v>2016</v>
      </c>
      <c r="C209" s="18" t="str">
        <f t="shared" si="10"/>
        <v>Drakes_41214_ZM_mid2_0.5208</v>
      </c>
      <c r="D209" s="18" t="s">
        <v>285</v>
      </c>
      <c r="E209" s="70" t="s">
        <v>294</v>
      </c>
      <c r="F209" s="70" t="s">
        <v>288</v>
      </c>
      <c r="G209" s="70">
        <v>1</v>
      </c>
      <c r="H209" s="77" t="s">
        <v>278</v>
      </c>
      <c r="I209" s="70">
        <v>74</v>
      </c>
      <c r="J209" s="70" t="s">
        <v>292</v>
      </c>
      <c r="K209" s="2">
        <f>(VLOOKUP(H209,'functions and szcl estimates'!$A$14:$I$23,4, FALSE))*(('raw data'!I666)^(VLOOKUP('raw data'!H666,'functions and szcl estimates'!$A$14:$I$23, 7, FALSE)))</f>
        <v>266.03658784328769</v>
      </c>
      <c r="L209" s="12">
        <v>0.52083333333333304</v>
      </c>
      <c r="M209" s="8">
        <v>0.51527777777777795</v>
      </c>
      <c r="N209" s="8">
        <f t="shared" si="11"/>
        <v>5.5555555555550917E-3</v>
      </c>
      <c r="O209" s="14">
        <v>23.75</v>
      </c>
      <c r="S209" t="s">
        <v>148</v>
      </c>
      <c r="T209" s="70" t="s">
        <v>295</v>
      </c>
    </row>
    <row r="210" spans="1:20" x14ac:dyDescent="0.2">
      <c r="A210" s="5">
        <v>41214</v>
      </c>
      <c r="B210" s="17">
        <v>2016</v>
      </c>
      <c r="C210" s="18" t="str">
        <f t="shared" si="10"/>
        <v>Drakes_41214_ZM_mid2_0.5208</v>
      </c>
      <c r="D210" s="18" t="s">
        <v>285</v>
      </c>
      <c r="E210" s="70" t="s">
        <v>294</v>
      </c>
      <c r="F210" s="70" t="s">
        <v>288</v>
      </c>
      <c r="G210" s="70">
        <v>1</v>
      </c>
      <c r="H210" s="77" t="s">
        <v>278</v>
      </c>
      <c r="I210" s="70">
        <v>68</v>
      </c>
      <c r="J210" s="70" t="s">
        <v>292</v>
      </c>
      <c r="K210" s="2">
        <f>(VLOOKUP(H210,'functions and szcl estimates'!$A$14:$I$23,4, FALSE))*(('raw data'!I667)^(VLOOKUP('raw data'!H667,'functions and szcl estimates'!$A$14:$I$23, 7, FALSE)))</f>
        <v>166.72559156136617</v>
      </c>
      <c r="L210" s="12">
        <v>0.52083333333333304</v>
      </c>
      <c r="M210" s="8">
        <v>0.51527777777777795</v>
      </c>
      <c r="N210" s="8">
        <f t="shared" si="11"/>
        <v>5.5555555555550917E-3</v>
      </c>
      <c r="O210" s="14">
        <v>23.75</v>
      </c>
      <c r="S210" t="s">
        <v>148</v>
      </c>
      <c r="T210" s="70" t="s">
        <v>295</v>
      </c>
    </row>
    <row r="211" spans="1:20" x14ac:dyDescent="0.2">
      <c r="A211" s="5">
        <v>41214</v>
      </c>
      <c r="B211" s="17">
        <v>2016</v>
      </c>
      <c r="C211" s="18" t="str">
        <f t="shared" si="10"/>
        <v>Drakes_41214_ZM_mid1_0.5208</v>
      </c>
      <c r="D211" s="18" t="s">
        <v>285</v>
      </c>
      <c r="E211" s="70" t="s">
        <v>296</v>
      </c>
      <c r="F211" s="70" t="s">
        <v>288</v>
      </c>
      <c r="G211" s="70">
        <v>1</v>
      </c>
      <c r="H211" s="77" t="s">
        <v>278</v>
      </c>
      <c r="I211" s="70">
        <v>60</v>
      </c>
      <c r="J211" s="70" t="s">
        <v>292</v>
      </c>
      <c r="K211" s="2">
        <f>(VLOOKUP(H211,'functions and szcl estimates'!$A$14:$I$23,4, FALSE))*(('raw data'!I687)^(VLOOKUP('raw data'!H687,'functions and szcl estimates'!$A$14:$I$23, 7, FALSE)))</f>
        <v>885.56504832980067</v>
      </c>
      <c r="L211" s="12">
        <v>0.52083333333333304</v>
      </c>
      <c r="M211" s="8">
        <v>0.59583333333333299</v>
      </c>
      <c r="N211" s="8">
        <f t="shared" si="11"/>
        <v>-7.4999999999999956E-2</v>
      </c>
      <c r="O211" s="14">
        <v>25.75</v>
      </c>
      <c r="S211" t="s">
        <v>148</v>
      </c>
      <c r="T211" s="70" t="s">
        <v>295</v>
      </c>
    </row>
    <row r="212" spans="1:20" x14ac:dyDescent="0.2">
      <c r="A212" s="5">
        <v>41214</v>
      </c>
      <c r="B212" s="17">
        <v>2016</v>
      </c>
      <c r="C212" s="18" t="str">
        <f t="shared" si="10"/>
        <v>Drakes_41214_ZM_mid1_0.5208</v>
      </c>
      <c r="D212" s="18" t="s">
        <v>285</v>
      </c>
      <c r="E212" s="70" t="s">
        <v>296</v>
      </c>
      <c r="F212" s="70" t="s">
        <v>288</v>
      </c>
      <c r="G212" s="70">
        <v>1</v>
      </c>
      <c r="H212" s="77" t="s">
        <v>278</v>
      </c>
      <c r="I212" s="70">
        <v>74</v>
      </c>
      <c r="J212" s="70" t="s">
        <v>292</v>
      </c>
      <c r="K212" s="2">
        <f>(VLOOKUP(H212,'functions and szcl estimates'!$A$14:$I$23,4, FALSE))*(('raw data'!I688)^(VLOOKUP('raw data'!H688,'functions and szcl estimates'!$A$14:$I$23, 7, FALSE)))</f>
        <v>1023.6433579783378</v>
      </c>
      <c r="L212" s="12">
        <v>0.52083333333333304</v>
      </c>
      <c r="M212" s="8">
        <v>0.59583333333333299</v>
      </c>
      <c r="N212" s="8">
        <f t="shared" si="11"/>
        <v>-7.4999999999999956E-2</v>
      </c>
      <c r="O212" s="14">
        <v>25.75</v>
      </c>
      <c r="S212" t="s">
        <v>148</v>
      </c>
      <c r="T212" s="70" t="s">
        <v>295</v>
      </c>
    </row>
    <row r="213" spans="1:20" x14ac:dyDescent="0.2">
      <c r="A213" s="5">
        <v>39633</v>
      </c>
      <c r="B213" s="17">
        <v>2012</v>
      </c>
      <c r="C213" s="18" t="str">
        <f t="shared" si="10"/>
        <v>Elkhorn Slough_39633_Crop Circles_0</v>
      </c>
      <c r="D213" s="4" t="s">
        <v>45</v>
      </c>
      <c r="E213" t="s">
        <v>160</v>
      </c>
      <c r="F213" s="70" t="s">
        <v>288</v>
      </c>
      <c r="G213" s="70">
        <v>1</v>
      </c>
      <c r="H213" s="79" t="s">
        <v>228</v>
      </c>
      <c r="I213">
        <v>45</v>
      </c>
      <c r="J213" s="70" t="s">
        <v>289</v>
      </c>
      <c r="K213" s="2">
        <f>(VLOOKUP(H213,'functions and szcl estimates'!$A$14:$I$23,4, FALSE))*(('raw data'!I25)^(VLOOKUP('raw data'!H25,'functions and szcl estimates'!$A$14:$I$23, 7, FALSE)))</f>
        <v>62.093875739667823</v>
      </c>
      <c r="O213" s="14">
        <v>168</v>
      </c>
      <c r="S213" t="s">
        <v>141</v>
      </c>
    </row>
    <row r="214" spans="1:20" x14ac:dyDescent="0.2">
      <c r="A214" s="5">
        <v>39633</v>
      </c>
      <c r="B214" s="17">
        <v>2012</v>
      </c>
      <c r="C214" s="18" t="str">
        <f t="shared" si="10"/>
        <v>Elkhorn Slough_39633_Crop Circles_0</v>
      </c>
      <c r="D214" s="4" t="s">
        <v>45</v>
      </c>
      <c r="E214" t="s">
        <v>160</v>
      </c>
      <c r="F214" s="70" t="s">
        <v>288</v>
      </c>
      <c r="G214" s="70">
        <v>1</v>
      </c>
      <c r="H214" s="79" t="s">
        <v>228</v>
      </c>
      <c r="I214">
        <v>50</v>
      </c>
      <c r="J214" s="70" t="s">
        <v>289</v>
      </c>
      <c r="K214" s="2">
        <f>(VLOOKUP(H214,'functions and szcl estimates'!$A$14:$I$23,4, FALSE))*(('raw data'!I26)^(VLOOKUP('raw data'!H26,'functions and szcl estimates'!$A$14:$I$23, 7, FALSE)))</f>
        <v>79.400746058394347</v>
      </c>
      <c r="O214" s="14">
        <v>168</v>
      </c>
      <c r="S214" t="s">
        <v>141</v>
      </c>
    </row>
    <row r="215" spans="1:20" x14ac:dyDescent="0.2">
      <c r="A215" s="5">
        <v>39635</v>
      </c>
      <c r="B215" s="17">
        <v>2012</v>
      </c>
      <c r="C215" s="18" t="str">
        <f t="shared" si="10"/>
        <v>Elkhorn Slough_39635_Crop Circles_0</v>
      </c>
      <c r="D215" s="4" t="s">
        <v>45</v>
      </c>
      <c r="E215" t="s">
        <v>160</v>
      </c>
      <c r="F215" s="70" t="s">
        <v>288</v>
      </c>
      <c r="G215" s="70">
        <v>1</v>
      </c>
      <c r="H215" s="79" t="s">
        <v>228</v>
      </c>
      <c r="I215">
        <v>18</v>
      </c>
      <c r="J215" s="70" t="s">
        <v>289</v>
      </c>
      <c r="K215" s="2">
        <f>(VLOOKUP(H215,'functions and szcl estimates'!$A$14:$I$23,4, FALSE))*(('raw data'!I30)^(VLOOKUP('raw data'!H30,'functions and szcl estimates'!$A$14:$I$23, 7, FALSE)))</f>
        <v>60.311744613903258</v>
      </c>
      <c r="O215" s="14">
        <v>24</v>
      </c>
      <c r="S215" t="s">
        <v>166</v>
      </c>
    </row>
    <row r="216" spans="1:20" x14ac:dyDescent="0.2">
      <c r="A216" s="5">
        <v>39635</v>
      </c>
      <c r="B216" s="17">
        <v>2012</v>
      </c>
      <c r="C216" s="18" t="str">
        <f t="shared" si="10"/>
        <v>Elkhorn Slough_39635_Crop Circles_0</v>
      </c>
      <c r="D216" s="4" t="s">
        <v>45</v>
      </c>
      <c r="E216" t="s">
        <v>160</v>
      </c>
      <c r="F216" s="70" t="s">
        <v>288</v>
      </c>
      <c r="G216" s="70">
        <v>1</v>
      </c>
      <c r="H216" s="79" t="s">
        <v>228</v>
      </c>
      <c r="I216">
        <v>47</v>
      </c>
      <c r="J216" s="70" t="s">
        <v>289</v>
      </c>
      <c r="K216" s="2">
        <f>(VLOOKUP(H216,'functions and szcl estimates'!$A$14:$I$23,4, FALSE))*(('raw data'!I31)^(VLOOKUP('raw data'!H31,'functions and szcl estimates'!$A$14:$I$23, 7, FALSE)))</f>
        <v>101.34419685093071</v>
      </c>
      <c r="O216" s="14">
        <v>24</v>
      </c>
      <c r="S216" t="s">
        <v>166</v>
      </c>
    </row>
    <row r="217" spans="1:20" x14ac:dyDescent="0.2">
      <c r="A217" s="5">
        <v>39635</v>
      </c>
      <c r="B217" s="17">
        <v>2012</v>
      </c>
      <c r="C217" s="18" t="str">
        <f t="shared" si="10"/>
        <v>Elkhorn Slough_39635_Crop Circles_0</v>
      </c>
      <c r="D217" s="4" t="s">
        <v>45</v>
      </c>
      <c r="E217" t="s">
        <v>160</v>
      </c>
      <c r="F217" s="70" t="s">
        <v>288</v>
      </c>
      <c r="G217" s="70">
        <v>1</v>
      </c>
      <c r="H217" s="79" t="s">
        <v>228</v>
      </c>
      <c r="I217">
        <v>59</v>
      </c>
      <c r="J217" s="70" t="s">
        <v>289</v>
      </c>
      <c r="K217" s="2">
        <f>(VLOOKUP(H217,'functions and szcl estimates'!$A$14:$I$23,4, FALSE))*(('raw data'!I32)^(VLOOKUP('raw data'!H32,'functions and szcl estimates'!$A$14:$I$23, 7, FALSE)))</f>
        <v>108.49220601604935</v>
      </c>
      <c r="O217" s="14">
        <v>24</v>
      </c>
      <c r="S217" t="s">
        <v>166</v>
      </c>
    </row>
    <row r="218" spans="1:20" x14ac:dyDescent="0.2">
      <c r="A218" s="5">
        <v>39637</v>
      </c>
      <c r="B218" s="17">
        <v>2012</v>
      </c>
      <c r="C218" s="18" t="str">
        <f t="shared" si="10"/>
        <v>Elkhorn Slough_39637_Seal Bend_0</v>
      </c>
      <c r="D218" s="4" t="s">
        <v>45</v>
      </c>
      <c r="E218" t="s">
        <v>167</v>
      </c>
      <c r="F218" s="70" t="s">
        <v>288</v>
      </c>
      <c r="G218" s="70">
        <v>1</v>
      </c>
      <c r="H218" s="79" t="s">
        <v>228</v>
      </c>
      <c r="I218">
        <v>58</v>
      </c>
      <c r="J218" s="70" t="s">
        <v>289</v>
      </c>
      <c r="K218" s="2">
        <f>(VLOOKUP(H218,'functions and szcl estimates'!$A$14:$I$23,4, FALSE))*(('raw data'!I62)^(VLOOKUP('raw data'!H62,'functions and szcl estimates'!$A$14:$I$23, 7, FALSE)))</f>
        <v>96.724436414409269</v>
      </c>
      <c r="O218" s="14">
        <v>48</v>
      </c>
      <c r="S218" t="s">
        <v>166</v>
      </c>
    </row>
    <row r="219" spans="1:20" x14ac:dyDescent="0.2">
      <c r="A219" s="5">
        <v>39637</v>
      </c>
      <c r="B219" s="17">
        <v>2012</v>
      </c>
      <c r="C219" s="18" t="str">
        <f t="shared" si="10"/>
        <v>Elkhorn Slough_39637_Seal Bend_0</v>
      </c>
      <c r="D219" s="4" t="s">
        <v>45</v>
      </c>
      <c r="E219" t="s">
        <v>167</v>
      </c>
      <c r="F219" s="70" t="s">
        <v>288</v>
      </c>
      <c r="G219" s="70">
        <v>1</v>
      </c>
      <c r="H219" s="79" t="s">
        <v>228</v>
      </c>
      <c r="I219">
        <v>63</v>
      </c>
      <c r="J219" s="70" t="s">
        <v>289</v>
      </c>
      <c r="K219" s="2">
        <f>(VLOOKUP(H219,'functions and szcl estimates'!$A$14:$I$23,4, FALSE))*(('raw data'!I63)^(VLOOKUP('raw data'!H63,'functions and szcl estimates'!$A$14:$I$23, 7, FALSE)))</f>
        <v>118.43267138809776</v>
      </c>
      <c r="O219" s="14">
        <v>48</v>
      </c>
      <c r="S219" t="s">
        <v>166</v>
      </c>
    </row>
    <row r="220" spans="1:20" x14ac:dyDescent="0.2">
      <c r="A220" s="5">
        <v>39639</v>
      </c>
      <c r="B220" s="17">
        <v>2012</v>
      </c>
      <c r="C220" s="18" t="str">
        <f t="shared" si="10"/>
        <v>Elkhorn Slough_39639_Crop Circles_0</v>
      </c>
      <c r="D220" s="4" t="s">
        <v>45</v>
      </c>
      <c r="E220" t="s">
        <v>160</v>
      </c>
      <c r="F220" s="70" t="s">
        <v>288</v>
      </c>
      <c r="G220" s="70">
        <v>1</v>
      </c>
      <c r="H220" s="79" t="s">
        <v>228</v>
      </c>
      <c r="I220">
        <v>53</v>
      </c>
      <c r="J220" s="70" t="s">
        <v>289</v>
      </c>
      <c r="K220" s="2">
        <f>(VLOOKUP(H220,'functions and szcl estimates'!$A$14:$I$23,4, FALSE))*(('raw data'!I90)^(VLOOKUP('raw data'!H90,'functions and szcl estimates'!$A$14:$I$23, 7, FALSE)))</f>
        <v>103.69769854554511</v>
      </c>
      <c r="O220" s="14">
        <v>24</v>
      </c>
      <c r="S220" t="s">
        <v>166</v>
      </c>
    </row>
    <row r="221" spans="1:20" x14ac:dyDescent="0.2">
      <c r="A221" s="5">
        <v>39639</v>
      </c>
      <c r="B221" s="17">
        <v>2012</v>
      </c>
      <c r="C221" s="18" t="str">
        <f t="shared" si="10"/>
        <v>Elkhorn Slough_39639_Crop Circles_0</v>
      </c>
      <c r="D221" s="4" t="s">
        <v>45</v>
      </c>
      <c r="E221" t="s">
        <v>160</v>
      </c>
      <c r="F221" s="70" t="s">
        <v>288</v>
      </c>
      <c r="G221" s="70">
        <v>1</v>
      </c>
      <c r="H221" s="79" t="s">
        <v>228</v>
      </c>
      <c r="I221">
        <v>52</v>
      </c>
      <c r="J221" s="70" t="s">
        <v>289</v>
      </c>
      <c r="K221" s="2">
        <f>(VLOOKUP(H221,'functions and szcl estimates'!$A$14:$I$23,4, FALSE))*(('raw data'!I91)^(VLOOKUP('raw data'!H91,'functions and szcl estimates'!$A$14:$I$23, 7, FALSE)))</f>
        <v>3.5295492928221948</v>
      </c>
      <c r="O221" s="14">
        <v>24</v>
      </c>
      <c r="S221" t="s">
        <v>166</v>
      </c>
    </row>
    <row r="222" spans="1:20" x14ac:dyDescent="0.2">
      <c r="A222" s="5">
        <v>39641</v>
      </c>
      <c r="B222" s="17">
        <v>2012</v>
      </c>
      <c r="C222" s="18" t="str">
        <f t="shared" si="10"/>
        <v>Elkhorn Slough_39641_Seal Bend_0.7083</v>
      </c>
      <c r="D222" s="4" t="s">
        <v>45</v>
      </c>
      <c r="E222" t="s">
        <v>157</v>
      </c>
      <c r="F222" s="70" t="s">
        <v>288</v>
      </c>
      <c r="G222" s="70">
        <v>1</v>
      </c>
      <c r="H222" s="79" t="s">
        <v>158</v>
      </c>
      <c r="I222">
        <v>51</v>
      </c>
      <c r="J222" s="70" t="s">
        <v>289</v>
      </c>
      <c r="K222" s="2">
        <f>(VLOOKUP(H222,'functions and szcl estimates'!$A$14:$I$23,4, FALSE))*(('raw data'!I107)^(VLOOKUP('raw data'!H107,'functions and szcl estimates'!$A$14:$I$23, 7, FALSE)))</f>
        <v>56.831245700969227</v>
      </c>
      <c r="L222" s="12">
        <v>0.70833333333333337</v>
      </c>
      <c r="M222" s="8" t="s">
        <v>244</v>
      </c>
      <c r="N222" s="8">
        <f t="shared" ref="N222:N253" si="12">L222-M222</f>
        <v>3.125E-2</v>
      </c>
      <c r="O222" s="14">
        <v>23.25</v>
      </c>
      <c r="S222" t="s">
        <v>159</v>
      </c>
    </row>
    <row r="223" spans="1:20" x14ac:dyDescent="0.2">
      <c r="A223" s="5">
        <v>39641</v>
      </c>
      <c r="B223" s="17">
        <v>2012</v>
      </c>
      <c r="C223" s="18" t="str">
        <f t="shared" si="10"/>
        <v>Elkhorn Slough_39641_Crop Circles_0.7083</v>
      </c>
      <c r="D223" s="4" t="s">
        <v>45</v>
      </c>
      <c r="E223" t="s">
        <v>6</v>
      </c>
      <c r="F223" s="70" t="s">
        <v>288</v>
      </c>
      <c r="G223" s="70">
        <v>1</v>
      </c>
      <c r="H223" s="79" t="s">
        <v>158</v>
      </c>
      <c r="I223">
        <v>51</v>
      </c>
      <c r="J223" s="70" t="s">
        <v>289</v>
      </c>
      <c r="K223" s="2">
        <f>(VLOOKUP(H223,'functions and szcl estimates'!$A$14:$I$23,4, FALSE))*(('raw data'!I108)^(VLOOKUP('raw data'!H108,'functions and szcl estimates'!$A$14:$I$23, 7, FALSE)))</f>
        <v>56.831245700969227</v>
      </c>
      <c r="L223" s="12">
        <v>0.70833333333333304</v>
      </c>
      <c r="M223" s="8" t="s">
        <v>244</v>
      </c>
      <c r="N223" s="8">
        <f t="shared" si="12"/>
        <v>3.1249999999999667E-2</v>
      </c>
      <c r="O223" s="14">
        <v>23.25</v>
      </c>
      <c r="P223">
        <v>1</v>
      </c>
      <c r="Q223" s="65">
        <f>K223</f>
        <v>56.831245700969227</v>
      </c>
      <c r="R223" s="2">
        <f>P223/O223</f>
        <v>4.3010752688172046E-2</v>
      </c>
      <c r="S223" t="s">
        <v>159</v>
      </c>
    </row>
    <row r="224" spans="1:20" x14ac:dyDescent="0.2">
      <c r="A224" s="5">
        <v>39641</v>
      </c>
      <c r="B224" s="17">
        <v>2012</v>
      </c>
      <c r="C224" s="18" t="str">
        <f t="shared" si="10"/>
        <v>Elkhorn Slough_39641_Outfall_0.7083</v>
      </c>
      <c r="D224" s="4" t="s">
        <v>45</v>
      </c>
      <c r="E224" t="s">
        <v>7</v>
      </c>
      <c r="F224" s="70" t="s">
        <v>288</v>
      </c>
      <c r="G224" s="70">
        <v>1</v>
      </c>
      <c r="H224" s="79" t="s">
        <v>158</v>
      </c>
      <c r="I224">
        <v>54</v>
      </c>
      <c r="J224" s="70" t="s">
        <v>289</v>
      </c>
      <c r="K224" s="2">
        <f>(VLOOKUP(H224,'functions and szcl estimates'!$A$14:$I$23,4, FALSE))*(('raw data'!I110)^(VLOOKUP('raw data'!H110,'functions and szcl estimates'!$A$14:$I$23, 7, FALSE)))</f>
        <v>94.458071824944398</v>
      </c>
      <c r="L224" s="12">
        <v>0.70833333333333304</v>
      </c>
      <c r="M224" s="8" t="s">
        <v>244</v>
      </c>
      <c r="N224" s="8">
        <f t="shared" si="12"/>
        <v>3.1249999999999667E-2</v>
      </c>
      <c r="O224" s="14">
        <v>23.25</v>
      </c>
      <c r="S224" t="s">
        <v>159</v>
      </c>
    </row>
    <row r="225" spans="1:19" x14ac:dyDescent="0.2">
      <c r="A225" s="5">
        <v>39644</v>
      </c>
      <c r="B225" s="17">
        <v>2012</v>
      </c>
      <c r="C225" s="18" t="str">
        <f t="shared" si="10"/>
        <v>Elkhorn Slough_39644_Crop Circles_0.4688</v>
      </c>
      <c r="D225" s="4" t="s">
        <v>45</v>
      </c>
      <c r="E225" t="s">
        <v>277</v>
      </c>
      <c r="F225" s="70" t="s">
        <v>288</v>
      </c>
      <c r="G225" s="70">
        <v>1</v>
      </c>
      <c r="H225" s="79" t="s">
        <v>278</v>
      </c>
      <c r="I225">
        <v>59</v>
      </c>
      <c r="J225" s="70" t="s">
        <v>289</v>
      </c>
      <c r="K225" s="2">
        <f>(VLOOKUP(H225,'functions and szcl estimates'!$A$14:$I$23,4, FALSE))*(('raw data'!I125)^(VLOOKUP('raw data'!H125,'functions and szcl estimates'!$A$14:$I$23, 7, FALSE)))</f>
        <v>38.26553435222695</v>
      </c>
      <c r="L225" s="12" t="s">
        <v>216</v>
      </c>
      <c r="M225" s="8" t="s">
        <v>218</v>
      </c>
      <c r="N225" s="8">
        <f t="shared" si="12"/>
        <v>-0.11805555555555558</v>
      </c>
      <c r="O225" s="14">
        <v>26.5</v>
      </c>
      <c r="P225">
        <v>2</v>
      </c>
      <c r="Q225" s="65">
        <f>SUM(K225:K226)</f>
        <v>79.352270021807513</v>
      </c>
      <c r="R225" s="15">
        <f>P225/O225</f>
        <v>7.5471698113207544E-2</v>
      </c>
      <c r="S225" t="s">
        <v>148</v>
      </c>
    </row>
    <row r="226" spans="1:19" x14ac:dyDescent="0.2">
      <c r="A226" s="5">
        <v>39644</v>
      </c>
      <c r="B226" s="17">
        <v>2012</v>
      </c>
      <c r="C226" s="18" t="str">
        <f t="shared" si="10"/>
        <v>Elkhorn Slough_39644_Outfall_0.4688</v>
      </c>
      <c r="D226" s="4" t="s">
        <v>45</v>
      </c>
      <c r="E226" t="s">
        <v>279</v>
      </c>
      <c r="F226" s="70" t="s">
        <v>288</v>
      </c>
      <c r="G226" s="70">
        <v>1</v>
      </c>
      <c r="H226" s="79" t="s">
        <v>278</v>
      </c>
      <c r="I226">
        <v>44</v>
      </c>
      <c r="J226" s="70" t="s">
        <v>289</v>
      </c>
      <c r="K226" s="2">
        <f>(VLOOKUP(H226,'functions and szcl estimates'!$A$14:$I$23,4, FALSE))*(('raw data'!I131)^(VLOOKUP('raw data'!H131,'functions and szcl estimates'!$A$14:$I$23, 7, FALSE)))</f>
        <v>41.086735669580563</v>
      </c>
      <c r="L226" s="12" t="s">
        <v>216</v>
      </c>
      <c r="M226" s="8" t="s">
        <v>219</v>
      </c>
      <c r="N226" s="8">
        <f t="shared" si="12"/>
        <v>-2.0833333333333315E-2</v>
      </c>
      <c r="O226" s="14">
        <v>48.5</v>
      </c>
      <c r="P226">
        <f>COUNT(O226:O239)</f>
        <v>14</v>
      </c>
      <c r="Q226" s="65">
        <f>SUM(K226:K239)</f>
        <v>762.81486930212372</v>
      </c>
      <c r="R226" s="15">
        <f>P226/O226</f>
        <v>0.28865979381443296</v>
      </c>
      <c r="S226" t="s">
        <v>148</v>
      </c>
    </row>
    <row r="227" spans="1:19" x14ac:dyDescent="0.2">
      <c r="A227" s="5">
        <v>39644</v>
      </c>
      <c r="B227" s="17">
        <v>2012</v>
      </c>
      <c r="C227" s="18" t="str">
        <f t="shared" si="10"/>
        <v>Elkhorn Slough_39644_Outfall_0.4688</v>
      </c>
      <c r="D227" s="4" t="s">
        <v>45</v>
      </c>
      <c r="E227" t="s">
        <v>279</v>
      </c>
      <c r="F227" s="70" t="s">
        <v>288</v>
      </c>
      <c r="G227" s="70">
        <v>1</v>
      </c>
      <c r="H227" s="79" t="s">
        <v>278</v>
      </c>
      <c r="I227">
        <v>47</v>
      </c>
      <c r="J227" s="70" t="s">
        <v>289</v>
      </c>
      <c r="K227" s="2">
        <f>(VLOOKUP(H227,'functions and szcl estimates'!$A$14:$I$23,4, FALSE))*(('raw data'!I132)^(VLOOKUP('raw data'!H132,'functions and szcl estimates'!$A$14:$I$23, 7, FALSE)))</f>
        <v>60.311744613903258</v>
      </c>
      <c r="L227" s="12" t="s">
        <v>216</v>
      </c>
      <c r="M227" s="8" t="s">
        <v>219</v>
      </c>
      <c r="N227" s="8">
        <f t="shared" si="12"/>
        <v>-2.0833333333333315E-2</v>
      </c>
      <c r="O227" s="14">
        <v>48.5</v>
      </c>
      <c r="S227" t="s">
        <v>148</v>
      </c>
    </row>
    <row r="228" spans="1:19" x14ac:dyDescent="0.2">
      <c r="A228" s="5">
        <v>39644</v>
      </c>
      <c r="B228" s="17">
        <v>2012</v>
      </c>
      <c r="C228" s="18" t="str">
        <f t="shared" si="10"/>
        <v>Elkhorn Slough_39644_Outfall_0.4688</v>
      </c>
      <c r="D228" s="4" t="s">
        <v>45</v>
      </c>
      <c r="E228" t="s">
        <v>279</v>
      </c>
      <c r="F228" s="70" t="s">
        <v>288</v>
      </c>
      <c r="G228" s="70">
        <v>1</v>
      </c>
      <c r="H228" s="79" t="s">
        <v>278</v>
      </c>
      <c r="I228">
        <v>50</v>
      </c>
      <c r="J228" s="70" t="s">
        <v>289</v>
      </c>
      <c r="K228" s="2">
        <f>(VLOOKUP(H228,'functions and szcl estimates'!$A$14:$I$23,4, FALSE))*(('raw data'!I133)^(VLOOKUP('raw data'!H133,'functions and szcl estimates'!$A$14:$I$23, 7, FALSE)))</f>
        <v>73.376971349984416</v>
      </c>
      <c r="L228" s="12" t="s">
        <v>216</v>
      </c>
      <c r="M228" s="8" t="s">
        <v>219</v>
      </c>
      <c r="N228" s="8">
        <f t="shared" si="12"/>
        <v>-2.0833333333333315E-2</v>
      </c>
      <c r="O228" s="14">
        <v>48.5</v>
      </c>
      <c r="S228" t="s">
        <v>148</v>
      </c>
    </row>
    <row r="229" spans="1:19" x14ac:dyDescent="0.2">
      <c r="A229" s="5">
        <v>39644</v>
      </c>
      <c r="B229" s="17">
        <v>2012</v>
      </c>
      <c r="C229" s="18" t="str">
        <f t="shared" si="10"/>
        <v>Elkhorn Slough_39644_Outfall_0.4688</v>
      </c>
      <c r="D229" s="4" t="s">
        <v>45</v>
      </c>
      <c r="E229" t="s">
        <v>279</v>
      </c>
      <c r="F229" s="70" t="s">
        <v>288</v>
      </c>
      <c r="G229" s="70">
        <v>1</v>
      </c>
      <c r="H229" s="79" t="s">
        <v>278</v>
      </c>
      <c r="I229">
        <v>51</v>
      </c>
      <c r="J229" s="70" t="s">
        <v>289</v>
      </c>
      <c r="K229" s="2">
        <f>(VLOOKUP(H229,'functions and szcl estimates'!$A$14:$I$23,4, FALSE))*(('raw data'!I134)^(VLOOKUP('raw data'!H134,'functions and szcl estimates'!$A$14:$I$23, 7, FALSE)))</f>
        <v>42.537974894379751</v>
      </c>
      <c r="L229" s="12" t="s">
        <v>216</v>
      </c>
      <c r="M229" s="8" t="s">
        <v>219</v>
      </c>
      <c r="N229" s="8">
        <f t="shared" si="12"/>
        <v>-2.0833333333333315E-2</v>
      </c>
      <c r="O229" s="14">
        <v>48.5</v>
      </c>
      <c r="S229" t="s">
        <v>148</v>
      </c>
    </row>
    <row r="230" spans="1:19" x14ac:dyDescent="0.2">
      <c r="A230" s="5">
        <v>39644</v>
      </c>
      <c r="B230" s="17">
        <v>2012</v>
      </c>
      <c r="C230" s="18" t="str">
        <f t="shared" si="10"/>
        <v>Elkhorn Slough_39644_Outfall_0.4688</v>
      </c>
      <c r="D230" s="4" t="s">
        <v>45</v>
      </c>
      <c r="E230" t="s">
        <v>279</v>
      </c>
      <c r="F230" s="70" t="s">
        <v>288</v>
      </c>
      <c r="G230" s="70">
        <v>1</v>
      </c>
      <c r="H230" s="79" t="s">
        <v>278</v>
      </c>
      <c r="I230">
        <v>51</v>
      </c>
      <c r="J230" s="70" t="s">
        <v>289</v>
      </c>
      <c r="K230" s="2">
        <f>(VLOOKUP(H230,'functions and szcl estimates'!$A$14:$I$23,4, FALSE))*(('raw data'!I135)^(VLOOKUP('raw data'!H135,'functions and szcl estimates'!$A$14:$I$23, 7, FALSE)))</f>
        <v>65.742219489365297</v>
      </c>
      <c r="L230" s="12" t="s">
        <v>216</v>
      </c>
      <c r="M230" s="8" t="s">
        <v>219</v>
      </c>
      <c r="N230" s="8">
        <f t="shared" si="12"/>
        <v>-2.0833333333333315E-2</v>
      </c>
      <c r="O230" s="14">
        <v>48.5</v>
      </c>
      <c r="S230" t="s">
        <v>148</v>
      </c>
    </row>
    <row r="231" spans="1:19" x14ac:dyDescent="0.2">
      <c r="A231" s="5">
        <v>39644</v>
      </c>
      <c r="B231" s="17">
        <v>2012</v>
      </c>
      <c r="C231" s="18" t="str">
        <f t="shared" si="10"/>
        <v>Elkhorn Slough_39644_Outfall_0.4688</v>
      </c>
      <c r="D231" s="4" t="s">
        <v>45</v>
      </c>
      <c r="E231" t="s">
        <v>279</v>
      </c>
      <c r="F231" s="70" t="s">
        <v>288</v>
      </c>
      <c r="G231" s="70">
        <v>1</v>
      </c>
      <c r="H231" s="79" t="s">
        <v>278</v>
      </c>
      <c r="I231">
        <v>54</v>
      </c>
      <c r="J231" s="70" t="s">
        <v>289</v>
      </c>
      <c r="K231" s="2">
        <f>(VLOOKUP(H231,'functions and szcl estimates'!$A$14:$I$23,4, FALSE))*(('raw data'!I136)^(VLOOKUP('raw data'!H136,'functions and szcl estimates'!$A$14:$I$23, 7, FALSE)))</f>
        <v>75.356443900675274</v>
      </c>
      <c r="L231" s="12" t="s">
        <v>216</v>
      </c>
      <c r="M231" s="8" t="s">
        <v>219</v>
      </c>
      <c r="N231" s="8">
        <f t="shared" si="12"/>
        <v>-2.0833333333333315E-2</v>
      </c>
      <c r="O231" s="14">
        <v>48.5</v>
      </c>
      <c r="S231" t="s">
        <v>148</v>
      </c>
    </row>
    <row r="232" spans="1:19" x14ac:dyDescent="0.2">
      <c r="A232" s="5">
        <v>39644</v>
      </c>
      <c r="B232" s="17">
        <v>2012</v>
      </c>
      <c r="C232" s="18" t="str">
        <f t="shared" si="10"/>
        <v>Elkhorn Slough_39644_Outfall_0.4688</v>
      </c>
      <c r="D232" s="4" t="s">
        <v>45</v>
      </c>
      <c r="E232" t="s">
        <v>279</v>
      </c>
      <c r="F232" s="70" t="s">
        <v>288</v>
      </c>
      <c r="G232" s="70">
        <v>1</v>
      </c>
      <c r="H232" s="79" t="s">
        <v>278</v>
      </c>
      <c r="I232">
        <v>55</v>
      </c>
      <c r="J232" s="70" t="s">
        <v>289</v>
      </c>
      <c r="K232" s="2">
        <f>(VLOOKUP(H232,'functions and szcl estimates'!$A$14:$I$23,4, FALSE))*(('raw data'!I137)^(VLOOKUP('raw data'!H137,'functions and szcl estimates'!$A$14:$I$23, 7, FALSE)))</f>
        <v>96.724436414409269</v>
      </c>
      <c r="L232" s="12" t="s">
        <v>216</v>
      </c>
      <c r="M232" s="8" t="s">
        <v>219</v>
      </c>
      <c r="N232" s="8">
        <f t="shared" si="12"/>
        <v>-2.0833333333333315E-2</v>
      </c>
      <c r="O232" s="14">
        <v>48.5</v>
      </c>
      <c r="S232" t="s">
        <v>148</v>
      </c>
    </row>
    <row r="233" spans="1:19" x14ac:dyDescent="0.2">
      <c r="A233" s="5">
        <v>39644</v>
      </c>
      <c r="B233" s="17">
        <v>2012</v>
      </c>
      <c r="C233" s="18" t="str">
        <f t="shared" si="10"/>
        <v>Elkhorn Slough_39644_Outfall_0.4688</v>
      </c>
      <c r="D233" s="4" t="s">
        <v>45</v>
      </c>
      <c r="E233" t="s">
        <v>279</v>
      </c>
      <c r="F233" s="70" t="s">
        <v>288</v>
      </c>
      <c r="G233" s="70">
        <v>1</v>
      </c>
      <c r="H233" s="79" t="s">
        <v>278</v>
      </c>
      <c r="I233">
        <v>60</v>
      </c>
      <c r="J233" s="70" t="s">
        <v>289</v>
      </c>
      <c r="K233" s="2">
        <f>(VLOOKUP(H233,'functions and szcl estimates'!$A$14:$I$23,4, FALSE))*(('raw data'!I138)^(VLOOKUP('raw data'!H138,'functions and szcl estimates'!$A$14:$I$23, 7, FALSE)))</f>
        <v>9.1334212041285614</v>
      </c>
      <c r="L233" s="12" t="s">
        <v>216</v>
      </c>
      <c r="M233" s="8" t="s">
        <v>219</v>
      </c>
      <c r="N233" s="8">
        <f t="shared" si="12"/>
        <v>-2.0833333333333315E-2</v>
      </c>
      <c r="O233" s="14">
        <v>48.5</v>
      </c>
      <c r="S233" t="s">
        <v>148</v>
      </c>
    </row>
    <row r="234" spans="1:19" x14ac:dyDescent="0.2">
      <c r="A234" s="5">
        <v>39644</v>
      </c>
      <c r="B234" s="17">
        <v>2012</v>
      </c>
      <c r="C234" s="18" t="str">
        <f t="shared" si="10"/>
        <v>Elkhorn Slough_39644_Outfall_0.4688</v>
      </c>
      <c r="D234" s="4" t="s">
        <v>45</v>
      </c>
      <c r="E234" t="s">
        <v>279</v>
      </c>
      <c r="F234" s="70" t="s">
        <v>288</v>
      </c>
      <c r="G234" s="70">
        <v>1</v>
      </c>
      <c r="H234" s="79" t="s">
        <v>278</v>
      </c>
      <c r="I234">
        <v>61</v>
      </c>
      <c r="J234" s="70" t="s">
        <v>289</v>
      </c>
      <c r="K234" s="2">
        <f>(VLOOKUP(H234,'functions and szcl estimates'!$A$14:$I$23,4, FALSE))*(('raw data'!I139)^(VLOOKUP('raw data'!H139,'functions and szcl estimates'!$A$14:$I$23, 7, FALSE)))</f>
        <v>39.662613693951378</v>
      </c>
      <c r="L234" s="12" t="s">
        <v>216</v>
      </c>
      <c r="M234" s="8" t="s">
        <v>219</v>
      </c>
      <c r="N234" s="8">
        <f t="shared" si="12"/>
        <v>-2.0833333333333315E-2</v>
      </c>
      <c r="O234" s="14">
        <v>48.5</v>
      </c>
      <c r="S234" t="s">
        <v>148</v>
      </c>
    </row>
    <row r="235" spans="1:19" x14ac:dyDescent="0.2">
      <c r="A235" s="5">
        <v>39644</v>
      </c>
      <c r="B235" s="17">
        <v>2012</v>
      </c>
      <c r="C235" s="18" t="str">
        <f t="shared" si="10"/>
        <v>Elkhorn Slough_39644_Outfall_0.4688</v>
      </c>
      <c r="D235" s="4" t="s">
        <v>45</v>
      </c>
      <c r="E235" t="s">
        <v>279</v>
      </c>
      <c r="F235" s="70" t="s">
        <v>288</v>
      </c>
      <c r="G235" s="70">
        <v>1</v>
      </c>
      <c r="H235" s="79" t="s">
        <v>278</v>
      </c>
      <c r="I235">
        <v>64</v>
      </c>
      <c r="J235" s="70" t="s">
        <v>289</v>
      </c>
      <c r="K235" s="2">
        <f>(VLOOKUP(H235,'functions and szcl estimates'!$A$14:$I$23,4, FALSE))*(('raw data'!I140)^(VLOOKUP('raw data'!H140,'functions and szcl estimates'!$A$14:$I$23, 7, FALSE)))</f>
        <v>44.016404990591354</v>
      </c>
      <c r="L235" s="12" t="s">
        <v>216</v>
      </c>
      <c r="M235" s="8" t="s">
        <v>219</v>
      </c>
      <c r="N235" s="8">
        <f t="shared" si="12"/>
        <v>-2.0833333333333315E-2</v>
      </c>
      <c r="O235" s="14">
        <v>48.5</v>
      </c>
      <c r="S235" t="s">
        <v>148</v>
      </c>
    </row>
    <row r="236" spans="1:19" x14ac:dyDescent="0.2">
      <c r="A236" s="5">
        <v>39646</v>
      </c>
      <c r="B236" s="17">
        <v>2012</v>
      </c>
      <c r="C236" s="18" t="str">
        <f t="shared" si="10"/>
        <v>Elkhorn Slough_39646_Outfall_0.4896</v>
      </c>
      <c r="D236" s="4" t="s">
        <v>45</v>
      </c>
      <c r="E236" t="s">
        <v>279</v>
      </c>
      <c r="F236" s="70" t="s">
        <v>288</v>
      </c>
      <c r="G236" s="70">
        <v>1</v>
      </c>
      <c r="H236" s="79" t="s">
        <v>278</v>
      </c>
      <c r="I236">
        <v>59</v>
      </c>
      <c r="J236" s="70" t="s">
        <v>289</v>
      </c>
      <c r="K236" s="2">
        <f>(VLOOKUP(H236,'functions and szcl estimates'!$A$14:$I$23,4, FALSE))*(('raw data'!I157)^(VLOOKUP('raw data'!H157,'functions and szcl estimates'!$A$14:$I$23, 7, FALSE)))</f>
        <v>28.053127746175214</v>
      </c>
      <c r="L236" s="12">
        <v>0.48958333333333298</v>
      </c>
      <c r="M236" s="8" t="s">
        <v>221</v>
      </c>
      <c r="N236" s="8">
        <f t="shared" si="12"/>
        <v>8.3333333333332982E-2</v>
      </c>
      <c r="O236" s="14">
        <v>46</v>
      </c>
      <c r="S236" t="s">
        <v>148</v>
      </c>
    </row>
    <row r="237" spans="1:19" x14ac:dyDescent="0.2">
      <c r="A237" s="5">
        <v>39647</v>
      </c>
      <c r="B237" s="17">
        <v>2012</v>
      </c>
      <c r="C237" s="18" t="str">
        <f t="shared" si="10"/>
        <v>Elkhorn Slough_39647_Area 4_0.4688</v>
      </c>
      <c r="D237" s="4" t="s">
        <v>45</v>
      </c>
      <c r="E237" t="s">
        <v>3</v>
      </c>
      <c r="F237" s="70" t="s">
        <v>288</v>
      </c>
      <c r="G237" s="70">
        <v>1</v>
      </c>
      <c r="H237" s="79" t="s">
        <v>278</v>
      </c>
      <c r="I237">
        <v>60</v>
      </c>
      <c r="J237" s="70" t="s">
        <v>289</v>
      </c>
      <c r="K237" s="2">
        <f>(VLOOKUP(H237,'functions and szcl estimates'!$A$14:$I$23,4, FALSE))*(('raw data'!I182)^(VLOOKUP('raw data'!H182,'functions and szcl estimates'!$A$14:$I$23, 7, FALSE)))</f>
        <v>67.608557284528089</v>
      </c>
      <c r="L237" s="12">
        <v>0.46875</v>
      </c>
      <c r="M237" s="8" t="s">
        <v>224</v>
      </c>
      <c r="N237" s="8">
        <f t="shared" si="12"/>
        <v>8.680555555555558E-2</v>
      </c>
      <c r="O237" s="14">
        <v>22</v>
      </c>
      <c r="S237" t="s">
        <v>148</v>
      </c>
    </row>
    <row r="238" spans="1:19" x14ac:dyDescent="0.2">
      <c r="A238" s="5">
        <v>39647</v>
      </c>
      <c r="B238" s="17">
        <v>2012</v>
      </c>
      <c r="C238" s="18" t="str">
        <f t="shared" si="10"/>
        <v>Elkhorn Slough_39647_Area 4_0.4688</v>
      </c>
      <c r="D238" s="4" t="s">
        <v>45</v>
      </c>
      <c r="E238" t="s">
        <v>3</v>
      </c>
      <c r="F238" s="70" t="s">
        <v>288</v>
      </c>
      <c r="G238" s="70">
        <v>1</v>
      </c>
      <c r="H238" s="79" t="s">
        <v>278</v>
      </c>
      <c r="I238">
        <v>56</v>
      </c>
      <c r="J238" s="70" t="s">
        <v>289</v>
      </c>
      <c r="K238" s="2">
        <f>(VLOOKUP(H238,'functions and szcl estimates'!$A$14:$I$23,4, FALSE))*(('raw data'!I183)^(VLOOKUP('raw data'!H183,'functions and szcl estimates'!$A$14:$I$23, 7, FALSE)))</f>
        <v>65.742219489365297</v>
      </c>
      <c r="L238" s="12">
        <v>0.46875</v>
      </c>
      <c r="M238" s="8" t="s">
        <v>224</v>
      </c>
      <c r="N238" s="8">
        <f t="shared" si="12"/>
        <v>8.680555555555558E-2</v>
      </c>
      <c r="O238" s="14">
        <v>22</v>
      </c>
      <c r="S238" t="s">
        <v>148</v>
      </c>
    </row>
    <row r="239" spans="1:19" x14ac:dyDescent="0.2">
      <c r="A239" s="5">
        <v>39647</v>
      </c>
      <c r="B239" s="17">
        <v>2012</v>
      </c>
      <c r="C239" s="18" t="str">
        <f t="shared" si="10"/>
        <v>Elkhorn Slough_39647_Area 4_0.4688</v>
      </c>
      <c r="D239" s="4" t="s">
        <v>45</v>
      </c>
      <c r="E239" t="s">
        <v>3</v>
      </c>
      <c r="F239" s="70" t="s">
        <v>288</v>
      </c>
      <c r="G239" s="70">
        <v>1</v>
      </c>
      <c r="H239" s="79" t="s">
        <v>278</v>
      </c>
      <c r="I239">
        <v>51</v>
      </c>
      <c r="J239" s="70" t="s">
        <v>289</v>
      </c>
      <c r="K239" s="2">
        <f>(VLOOKUP(H239,'functions and szcl estimates'!$A$14:$I$23,4, FALSE))*(('raw data'!I184)^(VLOOKUP('raw data'!H184,'functions and szcl estimates'!$A$14:$I$23, 7, FALSE)))</f>
        <v>53.46199856108602</v>
      </c>
      <c r="L239" s="12">
        <v>0.46875</v>
      </c>
      <c r="M239" s="8" t="s">
        <v>224</v>
      </c>
      <c r="N239" s="8">
        <f t="shared" si="12"/>
        <v>8.680555555555558E-2</v>
      </c>
      <c r="O239" s="14">
        <v>22</v>
      </c>
      <c r="S239" t="s">
        <v>148</v>
      </c>
    </row>
    <row r="240" spans="1:19" x14ac:dyDescent="0.2">
      <c r="A240" s="5">
        <v>39648</v>
      </c>
      <c r="B240" s="17">
        <v>2012</v>
      </c>
      <c r="C240" s="18" t="str">
        <f t="shared" si="10"/>
        <v>Elkhorn Slough_39648_Outfall_0.3958</v>
      </c>
      <c r="D240" s="4" t="s">
        <v>45</v>
      </c>
      <c r="E240" t="s">
        <v>279</v>
      </c>
      <c r="F240" s="70" t="s">
        <v>288</v>
      </c>
      <c r="G240" s="70">
        <v>1</v>
      </c>
      <c r="H240" s="79" t="s">
        <v>278</v>
      </c>
      <c r="I240">
        <v>51</v>
      </c>
      <c r="J240" s="70" t="s">
        <v>289</v>
      </c>
      <c r="K240" s="2">
        <f>(VLOOKUP(H240,'functions and szcl estimates'!$A$14:$I$23,4, FALSE))*(('raw data'!I211)^(VLOOKUP('raw data'!H211,'functions and szcl estimates'!$A$14:$I$23, 7, FALSE)))</f>
        <v>42.467015253664457</v>
      </c>
      <c r="L240" s="12">
        <v>0.39583333333333331</v>
      </c>
      <c r="M240" s="8" t="s">
        <v>61</v>
      </c>
      <c r="N240" s="8">
        <f t="shared" si="12"/>
        <v>-0.2326388888888889</v>
      </c>
      <c r="O240" s="14">
        <v>29.5</v>
      </c>
      <c r="P240">
        <v>3</v>
      </c>
      <c r="Q240" s="65">
        <f>SUM(K240:K242)</f>
        <v>129.15596147704306</v>
      </c>
      <c r="R240" s="15">
        <f>P240/O240</f>
        <v>0.10169491525423729</v>
      </c>
      <c r="S240" t="s">
        <v>148</v>
      </c>
    </row>
    <row r="241" spans="1:20" x14ac:dyDescent="0.2">
      <c r="A241" s="5">
        <v>39649</v>
      </c>
      <c r="B241" s="17">
        <v>2012</v>
      </c>
      <c r="C241" s="18" t="str">
        <f t="shared" si="10"/>
        <v>Elkhorn Slough_39649_Area 4_0.6354</v>
      </c>
      <c r="D241" s="4" t="s">
        <v>45</v>
      </c>
      <c r="E241" t="s">
        <v>3</v>
      </c>
      <c r="F241" s="70" t="s">
        <v>288</v>
      </c>
      <c r="G241" s="70">
        <v>1</v>
      </c>
      <c r="H241" s="79" t="s">
        <v>278</v>
      </c>
      <c r="I241">
        <v>50</v>
      </c>
      <c r="J241" s="70" t="s">
        <v>289</v>
      </c>
      <c r="K241" s="2">
        <f>(VLOOKUP(H241,'functions and szcl estimates'!$A$14:$I$23,4, FALSE))*(('raw data'!I218)^(VLOOKUP('raw data'!H218,'functions and szcl estimates'!$A$14:$I$23, 7, FALSE)))</f>
        <v>39.421742028640423</v>
      </c>
      <c r="L241" s="12">
        <v>0.63541666666666663</v>
      </c>
      <c r="M241" s="8" t="s">
        <v>126</v>
      </c>
      <c r="N241" s="8">
        <f t="shared" si="12"/>
        <v>-6.9444444444444531E-2</v>
      </c>
      <c r="O241" s="14">
        <v>25.75</v>
      </c>
      <c r="P241">
        <v>4</v>
      </c>
      <c r="Q241" s="65">
        <f>SUM(K241:K244)</f>
        <v>147.49499333802686</v>
      </c>
      <c r="R241" s="15">
        <f>P241/O241</f>
        <v>0.1553398058252427</v>
      </c>
      <c r="S241" t="s">
        <v>148</v>
      </c>
      <c r="T241" t="s">
        <v>10</v>
      </c>
    </row>
    <row r="242" spans="1:20" x14ac:dyDescent="0.2">
      <c r="A242" s="5">
        <v>39649</v>
      </c>
      <c r="B242" s="17">
        <v>2012</v>
      </c>
      <c r="C242" s="18" t="str">
        <f t="shared" si="10"/>
        <v>Elkhorn Slough_39649_Area 4_0.6354</v>
      </c>
      <c r="D242" s="4" t="s">
        <v>45</v>
      </c>
      <c r="E242" t="s">
        <v>3</v>
      </c>
      <c r="F242" s="70" t="s">
        <v>288</v>
      </c>
      <c r="G242" s="70">
        <v>1</v>
      </c>
      <c r="H242" s="79" t="s">
        <v>278</v>
      </c>
      <c r="I242">
        <v>53</v>
      </c>
      <c r="J242" s="70" t="s">
        <v>289</v>
      </c>
      <c r="K242" s="2">
        <f>(VLOOKUP(H242,'functions and szcl estimates'!$A$14:$I$23,4, FALSE))*(('raw data'!I219)^(VLOOKUP('raw data'!H219,'functions and szcl estimates'!$A$14:$I$23, 7, FALSE)))</f>
        <v>47.267204194738184</v>
      </c>
      <c r="L242" s="12">
        <v>0.63541666666666663</v>
      </c>
      <c r="M242" s="8" t="s">
        <v>126</v>
      </c>
      <c r="N242" s="8">
        <f t="shared" si="12"/>
        <v>-6.9444444444444531E-2</v>
      </c>
      <c r="O242" s="14">
        <v>25.75</v>
      </c>
      <c r="S242" t="s">
        <v>148</v>
      </c>
    </row>
    <row r="243" spans="1:20" x14ac:dyDescent="0.2">
      <c r="A243" s="5">
        <v>39649</v>
      </c>
      <c r="B243" s="17">
        <v>2012</v>
      </c>
      <c r="C243" s="18" t="str">
        <f t="shared" si="10"/>
        <v>Elkhorn Slough_39649_Area 4_0.6354</v>
      </c>
      <c r="D243" s="4" t="s">
        <v>45</v>
      </c>
      <c r="E243" t="s">
        <v>3</v>
      </c>
      <c r="F243" s="70" t="s">
        <v>288</v>
      </c>
      <c r="G243" s="70">
        <v>1</v>
      </c>
      <c r="H243" s="79" t="s">
        <v>278</v>
      </c>
      <c r="I243">
        <v>55</v>
      </c>
      <c r="J243" s="70" t="s">
        <v>289</v>
      </c>
      <c r="K243" s="2">
        <f>(VLOOKUP(H243,'functions and szcl estimates'!$A$14:$I$23,4, FALSE))*(('raw data'!I220)^(VLOOKUP('raw data'!H220,'functions and szcl estimates'!$A$14:$I$23, 7, FALSE)))</f>
        <v>32.344557446540321</v>
      </c>
      <c r="L243" s="12">
        <v>0.63541666666666696</v>
      </c>
      <c r="M243" s="8" t="s">
        <v>126</v>
      </c>
      <c r="N243" s="8">
        <f t="shared" si="12"/>
        <v>-6.9444444444444198E-2</v>
      </c>
      <c r="O243" s="14">
        <v>25.75</v>
      </c>
      <c r="S243" t="s">
        <v>148</v>
      </c>
    </row>
    <row r="244" spans="1:20" x14ac:dyDescent="0.2">
      <c r="A244" s="5">
        <v>39650</v>
      </c>
      <c r="B244" s="17">
        <v>2012</v>
      </c>
      <c r="C244" s="18" t="str">
        <f t="shared" si="10"/>
        <v>Elkhorn Slough_39650_Area 4_0.7049</v>
      </c>
      <c r="D244" s="4" t="s">
        <v>45</v>
      </c>
      <c r="E244" t="s">
        <v>3</v>
      </c>
      <c r="F244" s="70" t="s">
        <v>288</v>
      </c>
      <c r="G244" s="70">
        <v>1</v>
      </c>
      <c r="H244" s="79" t="s">
        <v>278</v>
      </c>
      <c r="I244">
        <v>48</v>
      </c>
      <c r="J244" s="70" t="s">
        <v>289</v>
      </c>
      <c r="K244" s="2">
        <f>(VLOOKUP(H244,'functions and szcl estimates'!$A$14:$I$23,4, FALSE))*(('raw data'!I228)^(VLOOKUP('raw data'!H228,'functions and szcl estimates'!$A$14:$I$23, 7, FALSE)))</f>
        <v>28.461489668107927</v>
      </c>
      <c r="L244" s="12">
        <v>0.70486111111111116</v>
      </c>
      <c r="M244" s="8" t="s">
        <v>129</v>
      </c>
      <c r="N244" s="8">
        <f t="shared" si="12"/>
        <v>-3.472222222222221E-2</v>
      </c>
      <c r="O244" s="14">
        <v>24.5</v>
      </c>
      <c r="P244">
        <v>4</v>
      </c>
      <c r="Q244" s="65">
        <f>SUM(K244:K247)</f>
        <v>121.61231978406379</v>
      </c>
      <c r="R244" s="15">
        <f>P244/O244</f>
        <v>0.16326530612244897</v>
      </c>
      <c r="S244" t="s">
        <v>148</v>
      </c>
      <c r="T244" t="s">
        <v>11</v>
      </c>
    </row>
    <row r="245" spans="1:20" x14ac:dyDescent="0.2">
      <c r="A245" s="5">
        <v>39650</v>
      </c>
      <c r="B245" s="17">
        <v>2012</v>
      </c>
      <c r="C245" s="18" t="str">
        <f t="shared" si="10"/>
        <v>Elkhorn Slough_39650_Area 4_0.7049</v>
      </c>
      <c r="D245" s="4" t="s">
        <v>45</v>
      </c>
      <c r="E245" t="s">
        <v>3</v>
      </c>
      <c r="F245" s="70" t="s">
        <v>288</v>
      </c>
      <c r="G245" s="70">
        <v>1</v>
      </c>
      <c r="H245" s="79" t="s">
        <v>278</v>
      </c>
      <c r="I245">
        <v>55</v>
      </c>
      <c r="J245" s="70" t="s">
        <v>289</v>
      </c>
      <c r="K245" s="2">
        <f>(VLOOKUP(H245,'functions and szcl estimates'!$A$14:$I$23,4, FALSE))*(('raw data'!I229)^(VLOOKUP('raw data'!H229,'functions and szcl estimates'!$A$14:$I$23, 7, FALSE)))</f>
        <v>29.725834580062603</v>
      </c>
      <c r="L245" s="12">
        <v>0.70486111111111116</v>
      </c>
      <c r="M245" s="8" t="s">
        <v>129</v>
      </c>
      <c r="N245" s="8">
        <f t="shared" si="12"/>
        <v>-3.472222222222221E-2</v>
      </c>
      <c r="O245" s="14">
        <v>24.5</v>
      </c>
      <c r="S245" t="s">
        <v>148</v>
      </c>
    </row>
    <row r="246" spans="1:20" x14ac:dyDescent="0.2">
      <c r="A246" s="5">
        <v>39650</v>
      </c>
      <c r="B246" s="17">
        <v>2012</v>
      </c>
      <c r="C246" s="18" t="str">
        <f t="shared" si="10"/>
        <v>Elkhorn Slough_39650_Area 4_0.7049</v>
      </c>
      <c r="D246" s="4" t="s">
        <v>45</v>
      </c>
      <c r="E246" t="s">
        <v>3</v>
      </c>
      <c r="F246" s="70" t="s">
        <v>288</v>
      </c>
      <c r="G246" s="70">
        <v>1</v>
      </c>
      <c r="H246" s="79" t="s">
        <v>278</v>
      </c>
      <c r="I246">
        <v>56</v>
      </c>
      <c r="J246" s="70" t="s">
        <v>289</v>
      </c>
      <c r="K246" s="2">
        <f>(VLOOKUP(H246,'functions and szcl estimates'!$A$14:$I$23,4, FALSE))*(('raw data'!I230)^(VLOOKUP('raw data'!H230,'functions and szcl estimates'!$A$14:$I$23, 7, FALSE)))</f>
        <v>29.725834580062603</v>
      </c>
      <c r="L246" s="12">
        <v>0.70486111111111105</v>
      </c>
      <c r="M246" s="8" t="s">
        <v>129</v>
      </c>
      <c r="N246" s="8">
        <f t="shared" si="12"/>
        <v>-3.4722222222222321E-2</v>
      </c>
      <c r="O246" s="14">
        <v>24.5</v>
      </c>
      <c r="S246" t="s">
        <v>148</v>
      </c>
    </row>
    <row r="247" spans="1:20" x14ac:dyDescent="0.2">
      <c r="A247" s="5">
        <v>39650</v>
      </c>
      <c r="B247" s="17">
        <v>2012</v>
      </c>
      <c r="C247" s="18" t="str">
        <f t="shared" si="10"/>
        <v>Elkhorn Slough_39650_Area 4_0.7049</v>
      </c>
      <c r="D247" s="4" t="s">
        <v>45</v>
      </c>
      <c r="E247" t="s">
        <v>3</v>
      </c>
      <c r="F247" s="70" t="s">
        <v>288</v>
      </c>
      <c r="G247" s="70">
        <v>1</v>
      </c>
      <c r="H247" s="79" t="s">
        <v>278</v>
      </c>
      <c r="I247">
        <v>60</v>
      </c>
      <c r="J247" s="70" t="s">
        <v>289</v>
      </c>
      <c r="K247" s="2">
        <f>(VLOOKUP(H247,'functions and szcl estimates'!$A$14:$I$23,4, FALSE))*(('raw data'!I231)^(VLOOKUP('raw data'!H231,'functions and szcl estimates'!$A$14:$I$23, 7, FALSE)))</f>
        <v>33.699160955830664</v>
      </c>
      <c r="L247" s="12">
        <v>0.70486111111111105</v>
      </c>
      <c r="M247" s="8" t="s">
        <v>129</v>
      </c>
      <c r="N247" s="8">
        <f t="shared" si="12"/>
        <v>-3.4722222222222321E-2</v>
      </c>
      <c r="O247" s="14">
        <v>24.5</v>
      </c>
      <c r="S247" t="s">
        <v>148</v>
      </c>
    </row>
    <row r="248" spans="1:20" x14ac:dyDescent="0.2">
      <c r="A248" s="5">
        <v>39652</v>
      </c>
      <c r="B248" s="17">
        <v>2012</v>
      </c>
      <c r="C248" s="18" t="str">
        <f t="shared" si="10"/>
        <v>Elkhorn Slough_39652_Crop Circles_0.7049</v>
      </c>
      <c r="D248" s="4" t="s">
        <v>45</v>
      </c>
      <c r="E248" t="s">
        <v>277</v>
      </c>
      <c r="F248" s="70" t="s">
        <v>288</v>
      </c>
      <c r="G248" s="70">
        <v>1</v>
      </c>
      <c r="H248" s="79" t="s">
        <v>278</v>
      </c>
      <c r="I248">
        <v>53</v>
      </c>
      <c r="J248" s="70" t="s">
        <v>289</v>
      </c>
      <c r="K248" s="2">
        <f>(VLOOKUP(H248,'functions and szcl estimates'!$A$14:$I$23,4, FALSE))*(('raw data'!I234)^(VLOOKUP('raw data'!H234,'functions and szcl estimates'!$A$14:$I$23, 7, FALSE)))</f>
        <v>44.036007852055796</v>
      </c>
      <c r="L248" s="12">
        <v>0.70486111111111116</v>
      </c>
      <c r="M248" s="8" t="s">
        <v>131</v>
      </c>
      <c r="N248" s="8">
        <f t="shared" si="12"/>
        <v>0.24652777777777785</v>
      </c>
      <c r="O248" s="14">
        <v>42</v>
      </c>
      <c r="P248">
        <v>3</v>
      </c>
      <c r="Q248" s="65">
        <f>SUM(K248:K250)</f>
        <v>135.43262680912363</v>
      </c>
      <c r="R248" s="15">
        <f>P248/O248</f>
        <v>7.1428571428571425E-2</v>
      </c>
      <c r="S248" t="s">
        <v>148</v>
      </c>
    </row>
    <row r="249" spans="1:20" x14ac:dyDescent="0.2">
      <c r="A249" s="5">
        <v>39652</v>
      </c>
      <c r="B249" s="17">
        <v>2012</v>
      </c>
      <c r="C249" s="18" t="str">
        <f t="shared" si="10"/>
        <v>Elkhorn Slough_39652_Crop Circles_0.7049</v>
      </c>
      <c r="D249" s="4" t="s">
        <v>45</v>
      </c>
      <c r="E249" t="s">
        <v>277</v>
      </c>
      <c r="F249" s="70" t="s">
        <v>288</v>
      </c>
      <c r="G249" s="70">
        <v>1</v>
      </c>
      <c r="H249" s="79" t="s">
        <v>278</v>
      </c>
      <c r="I249">
        <v>60</v>
      </c>
      <c r="J249" s="70" t="s">
        <v>289</v>
      </c>
      <c r="K249" s="2">
        <f>(VLOOKUP(H249,'functions and szcl estimates'!$A$14:$I$23,4, FALSE))*(('raw data'!I235)^(VLOOKUP('raw data'!H235,'functions and szcl estimates'!$A$14:$I$23, 7, FALSE)))</f>
        <v>48.929603703403359</v>
      </c>
      <c r="L249" s="12">
        <v>0.70486111111111116</v>
      </c>
      <c r="M249" s="8" t="s">
        <v>131</v>
      </c>
      <c r="N249" s="8">
        <f t="shared" si="12"/>
        <v>0.24652777777777785</v>
      </c>
      <c r="O249" s="14">
        <v>42</v>
      </c>
      <c r="S249" t="s">
        <v>148</v>
      </c>
    </row>
    <row r="250" spans="1:20" x14ac:dyDescent="0.2">
      <c r="A250" s="5">
        <v>39652</v>
      </c>
      <c r="B250" s="17">
        <v>2012</v>
      </c>
      <c r="C250" s="18" t="str">
        <f t="shared" si="10"/>
        <v>Elkhorn Slough_39652_Seal Bend_0.684</v>
      </c>
      <c r="D250" s="4" t="s">
        <v>45</v>
      </c>
      <c r="E250" t="s">
        <v>157</v>
      </c>
      <c r="F250" s="70" t="s">
        <v>288</v>
      </c>
      <c r="G250" s="70">
        <v>1</v>
      </c>
      <c r="H250" s="79" t="s">
        <v>278</v>
      </c>
      <c r="I250">
        <v>55</v>
      </c>
      <c r="J250" s="70" t="s">
        <v>289</v>
      </c>
      <c r="K250" s="2">
        <f>(VLOOKUP(H250,'functions and szcl estimates'!$A$14:$I$23,4, FALSE))*(('raw data'!I237)^(VLOOKUP('raw data'!H237,'functions and szcl estimates'!$A$14:$I$23, 7, FALSE)))</f>
        <v>42.467015253664457</v>
      </c>
      <c r="L250" s="12">
        <v>0.68402777777777779</v>
      </c>
      <c r="M250" s="8" t="s">
        <v>132</v>
      </c>
      <c r="N250" s="8">
        <f t="shared" si="12"/>
        <v>0.17361111111111116</v>
      </c>
      <c r="O250" s="14">
        <v>43.75</v>
      </c>
      <c r="P250">
        <v>2</v>
      </c>
      <c r="Q250" s="65">
        <f>SUM(K250:K251)</f>
        <v>70.928504921772387</v>
      </c>
      <c r="R250" s="15">
        <f>P250/O250</f>
        <v>4.5714285714285714E-2</v>
      </c>
      <c r="S250" t="s">
        <v>148</v>
      </c>
      <c r="T250" t="s">
        <v>163</v>
      </c>
    </row>
    <row r="251" spans="1:20" x14ac:dyDescent="0.2">
      <c r="A251" s="5">
        <v>39652</v>
      </c>
      <c r="B251" s="17">
        <v>2012</v>
      </c>
      <c r="C251" s="18" t="str">
        <f t="shared" si="10"/>
        <v>Elkhorn Slough_39652_Outfall_0.7153</v>
      </c>
      <c r="D251" s="4" t="s">
        <v>45</v>
      </c>
      <c r="E251" t="s">
        <v>17</v>
      </c>
      <c r="F251" s="70" t="s">
        <v>288</v>
      </c>
      <c r="G251" s="70">
        <v>1</v>
      </c>
      <c r="H251" s="79" t="s">
        <v>278</v>
      </c>
      <c r="I251">
        <v>57</v>
      </c>
      <c r="J251" s="70" t="s">
        <v>289</v>
      </c>
      <c r="K251" s="2">
        <f>(VLOOKUP(H251,'functions and szcl estimates'!$A$14:$I$23,4, FALSE))*(('raw data'!I241)^(VLOOKUP('raw data'!H241,'functions and szcl estimates'!$A$14:$I$23, 7, FALSE)))</f>
        <v>28.461489668107927</v>
      </c>
      <c r="L251" s="12">
        <v>0.71527777777777801</v>
      </c>
      <c r="M251" s="8" t="s">
        <v>133</v>
      </c>
      <c r="N251" s="8">
        <f t="shared" si="12"/>
        <v>0.17708333333333359</v>
      </c>
      <c r="O251" s="14">
        <v>43.75</v>
      </c>
      <c r="S251" t="s">
        <v>148</v>
      </c>
    </row>
    <row r="252" spans="1:20" x14ac:dyDescent="0.2">
      <c r="A252" s="5">
        <v>39652</v>
      </c>
      <c r="B252" s="17">
        <v>2012</v>
      </c>
      <c r="C252" s="18" t="str">
        <f t="shared" si="10"/>
        <v>Elkhorn Slough_39652_Outfall_0.7153</v>
      </c>
      <c r="D252" s="4" t="s">
        <v>45</v>
      </c>
      <c r="E252" t="s">
        <v>17</v>
      </c>
      <c r="F252" s="70" t="s">
        <v>288</v>
      </c>
      <c r="G252" s="70">
        <v>1</v>
      </c>
      <c r="H252" s="79" t="s">
        <v>278</v>
      </c>
      <c r="I252">
        <v>64</v>
      </c>
      <c r="J252" s="70" t="s">
        <v>289</v>
      </c>
      <c r="K252" s="2">
        <f>(VLOOKUP(H252,'functions and szcl estimates'!$A$14:$I$23,4, FALSE))*(('raw data'!I242)^(VLOOKUP('raw data'!H242,'functions and szcl estimates'!$A$14:$I$23, 7, FALSE)))</f>
        <v>32.344557446540321</v>
      </c>
      <c r="L252" s="12">
        <v>0.71527777777777801</v>
      </c>
      <c r="M252" s="8" t="s">
        <v>133</v>
      </c>
      <c r="N252" s="8">
        <f t="shared" si="12"/>
        <v>0.17708333333333359</v>
      </c>
      <c r="O252" s="14">
        <v>43.75</v>
      </c>
      <c r="S252" t="s">
        <v>148</v>
      </c>
    </row>
    <row r="253" spans="1:20" x14ac:dyDescent="0.2">
      <c r="A253" s="5">
        <v>39652</v>
      </c>
      <c r="B253" s="17">
        <v>2012</v>
      </c>
      <c r="C253" s="18" t="str">
        <f t="shared" si="10"/>
        <v>Elkhorn Slough_39652_Outfall_0.7153</v>
      </c>
      <c r="D253" s="4" t="s">
        <v>45</v>
      </c>
      <c r="E253" t="s">
        <v>17</v>
      </c>
      <c r="F253" s="70" t="s">
        <v>288</v>
      </c>
      <c r="G253" s="70">
        <v>1</v>
      </c>
      <c r="H253" s="79" t="s">
        <v>278</v>
      </c>
      <c r="I253">
        <v>66</v>
      </c>
      <c r="J253" s="70" t="s">
        <v>289</v>
      </c>
      <c r="K253" s="2">
        <f>(VLOOKUP(H253,'functions and szcl estimates'!$A$14:$I$23,4, FALSE))*(('raw data'!I243)^(VLOOKUP('raw data'!H243,'functions and szcl estimates'!$A$14:$I$23, 7, FALSE)))</f>
        <v>35.084073367331875</v>
      </c>
      <c r="L253" s="12">
        <v>0.71527777777777801</v>
      </c>
      <c r="M253" s="8" t="s">
        <v>133</v>
      </c>
      <c r="N253" s="8">
        <f t="shared" si="12"/>
        <v>0.17708333333333359</v>
      </c>
      <c r="O253" s="14">
        <v>43.75</v>
      </c>
      <c r="S253" t="s">
        <v>148</v>
      </c>
    </row>
    <row r="254" spans="1:20" x14ac:dyDescent="0.2">
      <c r="A254" s="5">
        <v>39652</v>
      </c>
      <c r="B254" s="17">
        <v>2012</v>
      </c>
      <c r="C254" s="18" t="str">
        <f t="shared" si="10"/>
        <v>Elkhorn Slough_39652_Outfall_0.7153</v>
      </c>
      <c r="D254" s="4" t="s">
        <v>45</v>
      </c>
      <c r="E254" t="s">
        <v>17</v>
      </c>
      <c r="F254" s="70" t="s">
        <v>288</v>
      </c>
      <c r="G254" s="70">
        <v>1</v>
      </c>
      <c r="H254" s="79" t="s">
        <v>278</v>
      </c>
      <c r="I254">
        <v>67</v>
      </c>
      <c r="J254" s="70" t="s">
        <v>289</v>
      </c>
      <c r="K254" s="2">
        <f>(VLOOKUP(H254,'functions and szcl estimates'!$A$14:$I$23,4, FALSE))*(('raw data'!I244)^(VLOOKUP('raw data'!H244,'functions and szcl estimates'!$A$14:$I$23, 7, FALSE)))</f>
        <v>26.022255524156126</v>
      </c>
      <c r="L254" s="12">
        <v>0.71527777777777801</v>
      </c>
      <c r="M254" s="8" t="s">
        <v>133</v>
      </c>
      <c r="N254" s="8">
        <f t="shared" ref="N254:N285" si="13">L254-M254</f>
        <v>0.17708333333333359</v>
      </c>
      <c r="O254" s="14">
        <v>43.75</v>
      </c>
      <c r="S254" t="s">
        <v>148</v>
      </c>
    </row>
    <row r="255" spans="1:20" x14ac:dyDescent="0.2">
      <c r="A255" s="5">
        <v>39652</v>
      </c>
      <c r="B255" s="17">
        <v>2012</v>
      </c>
      <c r="C255" s="18" t="str">
        <f t="shared" si="10"/>
        <v>Elkhorn Slough_39652_Area 4_0.7396</v>
      </c>
      <c r="D255" s="4" t="s">
        <v>45</v>
      </c>
      <c r="E255" t="s">
        <v>3</v>
      </c>
      <c r="F255" s="70" t="s">
        <v>288</v>
      </c>
      <c r="G255" s="70">
        <v>1</v>
      </c>
      <c r="H255" s="79" t="s">
        <v>278</v>
      </c>
      <c r="I255">
        <v>45</v>
      </c>
      <c r="J255" s="70" t="s">
        <v>289</v>
      </c>
      <c r="K255" s="2">
        <f>(VLOOKUP(H255,'functions and szcl estimates'!$A$14:$I$23,4, FALSE))*(('raw data'!I255)^(VLOOKUP('raw data'!H255,'functions and szcl estimates'!$A$14:$I$23, 7, FALSE)))</f>
        <v>22.585253887969351</v>
      </c>
      <c r="L255" s="12">
        <v>0.73958333333333337</v>
      </c>
      <c r="M255" s="8" t="s">
        <v>134</v>
      </c>
      <c r="N255" s="8">
        <f t="shared" si="13"/>
        <v>0.18055555555555558</v>
      </c>
      <c r="O255" s="14">
        <v>43.75</v>
      </c>
      <c r="P255">
        <f>COUNT(O255:O261)</f>
        <v>7</v>
      </c>
      <c r="Q255" s="65">
        <f>SUM(K255:K261)</f>
        <v>244.30120313544046</v>
      </c>
      <c r="R255" s="15">
        <f>P255/O255</f>
        <v>0.16</v>
      </c>
      <c r="S255" t="s">
        <v>148</v>
      </c>
    </row>
    <row r="256" spans="1:20" x14ac:dyDescent="0.2">
      <c r="A256" s="5">
        <v>39652</v>
      </c>
      <c r="B256" s="17">
        <v>2012</v>
      </c>
      <c r="C256" s="18" t="str">
        <f t="shared" si="10"/>
        <v>Elkhorn Slough_39652_Area 4_0.7396</v>
      </c>
      <c r="D256" s="4" t="s">
        <v>45</v>
      </c>
      <c r="E256" t="s">
        <v>3</v>
      </c>
      <c r="F256" s="70" t="s">
        <v>288</v>
      </c>
      <c r="G256" s="70">
        <v>1</v>
      </c>
      <c r="H256" s="79" t="s">
        <v>278</v>
      </c>
      <c r="I256">
        <v>48</v>
      </c>
      <c r="J256" s="70" t="s">
        <v>289</v>
      </c>
      <c r="K256" s="2">
        <f>(VLOOKUP(H256,'functions and szcl estimates'!$A$14:$I$23,4, FALSE))*(('raw data'!I256)^(VLOOKUP('raw data'!H256,'functions and szcl estimates'!$A$14:$I$23, 7, FALSE)))</f>
        <v>26.022255524156126</v>
      </c>
      <c r="L256" s="12">
        <v>0.73958333333333337</v>
      </c>
      <c r="M256" s="8" t="s">
        <v>134</v>
      </c>
      <c r="N256" s="8">
        <f t="shared" si="13"/>
        <v>0.18055555555555558</v>
      </c>
      <c r="O256" s="14">
        <v>43.75</v>
      </c>
      <c r="S256" t="s">
        <v>148</v>
      </c>
    </row>
    <row r="257" spans="1:20" x14ac:dyDescent="0.2">
      <c r="A257" s="5">
        <v>39652</v>
      </c>
      <c r="B257" s="17">
        <v>2012</v>
      </c>
      <c r="C257" s="18" t="str">
        <f t="shared" si="10"/>
        <v>Elkhorn Slough_39652_Area 4_0.7396</v>
      </c>
      <c r="D257" s="4" t="s">
        <v>45</v>
      </c>
      <c r="E257" t="s">
        <v>3</v>
      </c>
      <c r="F257" s="70" t="s">
        <v>288</v>
      </c>
      <c r="G257" s="70">
        <v>1</v>
      </c>
      <c r="H257" s="79" t="s">
        <v>278</v>
      </c>
      <c r="I257">
        <v>57</v>
      </c>
      <c r="J257" s="70" t="s">
        <v>289</v>
      </c>
      <c r="K257" s="2">
        <f>(VLOOKUP(H257,'functions and szcl estimates'!$A$14:$I$23,4, FALSE))*(('raw data'!I257)^(VLOOKUP('raw data'!H257,'functions and szcl estimates'!$A$14:$I$23, 7, FALSE)))</f>
        <v>37.94525766038695</v>
      </c>
      <c r="L257" s="12">
        <v>0.73958333333333304</v>
      </c>
      <c r="M257" s="8" t="s">
        <v>134</v>
      </c>
      <c r="N257" s="8">
        <f t="shared" si="13"/>
        <v>0.18055555555555525</v>
      </c>
      <c r="O257" s="14">
        <v>43.75</v>
      </c>
      <c r="S257" t="s">
        <v>148</v>
      </c>
    </row>
    <row r="258" spans="1:20" x14ac:dyDescent="0.2">
      <c r="A258" s="5">
        <v>39652</v>
      </c>
      <c r="B258" s="17">
        <v>2012</v>
      </c>
      <c r="C258" s="18" t="str">
        <f t="shared" si="10"/>
        <v>Elkhorn Slough_39652_Area 4_0.7396</v>
      </c>
      <c r="D258" s="4" t="s">
        <v>45</v>
      </c>
      <c r="E258" t="s">
        <v>3</v>
      </c>
      <c r="F258" s="70" t="s">
        <v>288</v>
      </c>
      <c r="G258" s="70">
        <v>1</v>
      </c>
      <c r="H258" s="79" t="s">
        <v>278</v>
      </c>
      <c r="I258">
        <v>57</v>
      </c>
      <c r="J258" s="70" t="s">
        <v>289</v>
      </c>
      <c r="K258" s="2">
        <f>(VLOOKUP(H258,'functions and szcl estimates'!$A$14:$I$23,4, FALSE))*(('raw data'!I258)^(VLOOKUP('raw data'!H258,'functions and szcl estimates'!$A$14:$I$23, 7, FALSE)))</f>
        <v>37.94525766038695</v>
      </c>
      <c r="L258" s="12">
        <v>0.73958333333333304</v>
      </c>
      <c r="M258" s="8" t="s">
        <v>134</v>
      </c>
      <c r="N258" s="8">
        <f t="shared" si="13"/>
        <v>0.18055555555555525</v>
      </c>
      <c r="O258" s="14">
        <v>43.75</v>
      </c>
      <c r="S258" t="s">
        <v>148</v>
      </c>
    </row>
    <row r="259" spans="1:20" x14ac:dyDescent="0.2">
      <c r="A259" s="5">
        <v>39652</v>
      </c>
      <c r="B259" s="17">
        <v>2012</v>
      </c>
      <c r="C259" s="18" t="str">
        <f t="shared" ref="C259:C322" si="14">CONCATENATE(D259,"_",A259,"_",E259,"_",ROUND(L259,4))</f>
        <v>Elkhorn Slough_39652_Area 4_0.7396</v>
      </c>
      <c r="D259" s="4" t="s">
        <v>45</v>
      </c>
      <c r="E259" t="s">
        <v>3</v>
      </c>
      <c r="F259" s="70" t="s">
        <v>288</v>
      </c>
      <c r="G259" s="70">
        <v>1</v>
      </c>
      <c r="H259" s="79" t="s">
        <v>278</v>
      </c>
      <c r="I259">
        <v>57</v>
      </c>
      <c r="J259" s="70" t="s">
        <v>289</v>
      </c>
      <c r="K259" s="2">
        <f>(VLOOKUP(H259,'functions and szcl estimates'!$A$14:$I$23,4, FALSE))*(('raw data'!I259)^(VLOOKUP('raw data'!H259,'functions and szcl estimates'!$A$14:$I$23, 7, FALSE)))</f>
        <v>37.94525766038695</v>
      </c>
      <c r="L259" s="12">
        <v>0.73958333333333304</v>
      </c>
      <c r="M259" s="8" t="s">
        <v>134</v>
      </c>
      <c r="N259" s="8">
        <f t="shared" si="13"/>
        <v>0.18055555555555525</v>
      </c>
      <c r="O259" s="14">
        <v>43.75</v>
      </c>
      <c r="S259" t="s">
        <v>148</v>
      </c>
    </row>
    <row r="260" spans="1:20" x14ac:dyDescent="0.2">
      <c r="A260" s="5">
        <v>39652</v>
      </c>
      <c r="B260" s="17">
        <v>2012</v>
      </c>
      <c r="C260" s="18" t="str">
        <f t="shared" si="14"/>
        <v>Elkhorn Slough_39652_Area 4_0.7396</v>
      </c>
      <c r="D260" s="4" t="s">
        <v>45</v>
      </c>
      <c r="E260" t="s">
        <v>3</v>
      </c>
      <c r="F260" s="70" t="s">
        <v>288</v>
      </c>
      <c r="G260" s="70">
        <v>1</v>
      </c>
      <c r="H260" s="79" t="s">
        <v>278</v>
      </c>
      <c r="I260">
        <v>59</v>
      </c>
      <c r="J260" s="70" t="s">
        <v>289</v>
      </c>
      <c r="K260" s="2">
        <f>(VLOOKUP(H260,'functions and szcl estimates'!$A$14:$I$23,4, FALSE))*(('raw data'!I260)^(VLOOKUP('raw data'!H260,'functions and szcl estimates'!$A$14:$I$23, 7, FALSE)))</f>
        <v>40.928960371077068</v>
      </c>
      <c r="L260" s="12">
        <v>0.73958333333333304</v>
      </c>
      <c r="M260" s="8" t="s">
        <v>134</v>
      </c>
      <c r="N260" s="8">
        <f t="shared" si="13"/>
        <v>0.18055555555555525</v>
      </c>
      <c r="O260" s="14">
        <v>43.75</v>
      </c>
      <c r="S260" t="s">
        <v>148</v>
      </c>
    </row>
    <row r="261" spans="1:20" x14ac:dyDescent="0.2">
      <c r="A261" s="5">
        <v>39652</v>
      </c>
      <c r="B261" s="17">
        <v>2012</v>
      </c>
      <c r="C261" s="18" t="str">
        <f t="shared" si="14"/>
        <v>Elkhorn Slough_39652_Area 4_0.7396</v>
      </c>
      <c r="D261" s="4" t="s">
        <v>45</v>
      </c>
      <c r="E261" t="s">
        <v>3</v>
      </c>
      <c r="F261" s="70" t="s">
        <v>288</v>
      </c>
      <c r="G261" s="70">
        <v>1</v>
      </c>
      <c r="H261" s="79" t="s">
        <v>278</v>
      </c>
      <c r="I261">
        <v>59</v>
      </c>
      <c r="J261" s="70" t="s">
        <v>289</v>
      </c>
      <c r="K261" s="2">
        <f>(VLOOKUP(H261,'functions and szcl estimates'!$A$14:$I$23,4, FALSE))*(('raw data'!I261)^(VLOOKUP('raw data'!H261,'functions and szcl estimates'!$A$14:$I$23, 7, FALSE)))</f>
        <v>40.928960371077068</v>
      </c>
      <c r="L261" s="12">
        <v>0.73958333333333304</v>
      </c>
      <c r="M261" s="8" t="s">
        <v>134</v>
      </c>
      <c r="N261" s="8">
        <f t="shared" si="13"/>
        <v>0.18055555555555525</v>
      </c>
      <c r="O261" s="14">
        <v>43.75</v>
      </c>
      <c r="S261" t="s">
        <v>148</v>
      </c>
    </row>
    <row r="262" spans="1:20" x14ac:dyDescent="0.2">
      <c r="A262" s="5">
        <v>39653</v>
      </c>
      <c r="B262" s="17">
        <v>2012</v>
      </c>
      <c r="C262" s="18" t="str">
        <f t="shared" si="14"/>
        <v>Elkhorn Slough_39653_Area 4_0.559</v>
      </c>
      <c r="D262" s="4" t="s">
        <v>45</v>
      </c>
      <c r="E262" s="6" t="s">
        <v>3</v>
      </c>
      <c r="F262" s="70" t="s">
        <v>288</v>
      </c>
      <c r="G262" s="70">
        <v>1</v>
      </c>
      <c r="H262" s="82" t="s">
        <v>278</v>
      </c>
      <c r="I262" s="6">
        <v>50</v>
      </c>
      <c r="J262" s="70" t="s">
        <v>289</v>
      </c>
      <c r="K262" s="2">
        <f>(VLOOKUP(H262,'functions and szcl estimates'!$A$14:$I$23,4, FALSE))*(('raw data'!I264)^(VLOOKUP('raw data'!H264,'functions and szcl estimates'!$A$14:$I$23, 7, FALSE)))</f>
        <v>24.84712967999322</v>
      </c>
      <c r="L262" s="12">
        <v>0.55902777777777779</v>
      </c>
      <c r="M262" s="8" t="s">
        <v>137</v>
      </c>
      <c r="N262" s="8">
        <f t="shared" si="13"/>
        <v>2.777777777777779E-2</v>
      </c>
      <c r="O262" s="14">
        <v>24.75</v>
      </c>
      <c r="P262">
        <v>1</v>
      </c>
      <c r="Q262" s="65">
        <f>K262</f>
        <v>24.84712967999322</v>
      </c>
      <c r="R262" s="15">
        <f>P262/O262</f>
        <v>4.0404040404040407E-2</v>
      </c>
      <c r="S262" t="s">
        <v>148</v>
      </c>
    </row>
    <row r="263" spans="1:20" x14ac:dyDescent="0.2">
      <c r="A263" s="5">
        <v>39654</v>
      </c>
      <c r="B263" s="17">
        <v>2012</v>
      </c>
      <c r="C263" s="18" t="str">
        <f t="shared" si="14"/>
        <v>Elkhorn Slough_39654_Outfall_0.5382</v>
      </c>
      <c r="D263" s="4" t="s">
        <v>45</v>
      </c>
      <c r="E263" t="s">
        <v>17</v>
      </c>
      <c r="F263" s="70" t="s">
        <v>288</v>
      </c>
      <c r="G263" s="70">
        <v>1</v>
      </c>
      <c r="H263" s="82" t="s">
        <v>278</v>
      </c>
      <c r="I263" s="6">
        <v>65</v>
      </c>
      <c r="J263" s="70" t="s">
        <v>289</v>
      </c>
      <c r="K263" s="2">
        <f>(VLOOKUP(H263,'functions and szcl estimates'!$A$14:$I$23,4, FALSE))*(('raw data'!I268)^(VLOOKUP('raw data'!H268,'functions and szcl estimates'!$A$14:$I$23, 7, FALSE)))</f>
        <v>32.344557446540321</v>
      </c>
      <c r="L263" s="12">
        <v>0.53819444444444442</v>
      </c>
      <c r="M263" s="8" t="s">
        <v>138</v>
      </c>
      <c r="N263" s="8">
        <f t="shared" si="13"/>
        <v>3.4722222222222099E-3</v>
      </c>
      <c r="O263" s="14">
        <v>24</v>
      </c>
      <c r="S263" t="s">
        <v>148</v>
      </c>
    </row>
    <row r="264" spans="1:20" x14ac:dyDescent="0.2">
      <c r="A264" s="5">
        <v>39654</v>
      </c>
      <c r="B264" s="17">
        <v>2012</v>
      </c>
      <c r="C264" s="18" t="str">
        <f t="shared" si="14"/>
        <v>Elkhorn Slough_39654_Crop Circles_0.5174</v>
      </c>
      <c r="D264" s="4" t="s">
        <v>45</v>
      </c>
      <c r="E264" s="6" t="s">
        <v>277</v>
      </c>
      <c r="F264" s="70" t="s">
        <v>288</v>
      </c>
      <c r="G264" s="70">
        <v>1</v>
      </c>
      <c r="H264" s="82" t="s">
        <v>278</v>
      </c>
      <c r="I264" s="6">
        <v>47</v>
      </c>
      <c r="J264" s="70" t="s">
        <v>289</v>
      </c>
      <c r="K264" s="2">
        <f>(VLOOKUP(H264,'functions and szcl estimates'!$A$14:$I$23,4, FALSE))*(('raw data'!I278)^(VLOOKUP('raw data'!H278,'functions and szcl estimates'!$A$14:$I$23, 7, FALSE)))</f>
        <v>36.499403266452177</v>
      </c>
      <c r="L264" s="12">
        <v>0.51736111111111105</v>
      </c>
      <c r="M264" s="8" t="s">
        <v>140</v>
      </c>
      <c r="N264" s="8">
        <f t="shared" si="13"/>
        <v>-0.13333333333333341</v>
      </c>
      <c r="O264" s="14">
        <v>27.25</v>
      </c>
      <c r="P264">
        <f>COUNT(O264:O269)</f>
        <v>6</v>
      </c>
      <c r="Q264" s="65">
        <f>SUM(K264:K269)</f>
        <v>206.5013544345714</v>
      </c>
      <c r="R264" s="15">
        <f>P264/O264</f>
        <v>0.22018348623853212</v>
      </c>
      <c r="S264" t="s">
        <v>148</v>
      </c>
    </row>
    <row r="265" spans="1:20" x14ac:dyDescent="0.2">
      <c r="A265" s="5">
        <v>39654</v>
      </c>
      <c r="B265" s="17">
        <v>2012</v>
      </c>
      <c r="C265" s="18" t="str">
        <f t="shared" si="14"/>
        <v>Elkhorn Slough_39654_Area 4_0.5313</v>
      </c>
      <c r="D265" s="4" t="s">
        <v>45</v>
      </c>
      <c r="E265" s="6" t="s">
        <v>3</v>
      </c>
      <c r="F265" s="70" t="s">
        <v>288</v>
      </c>
      <c r="G265" s="70">
        <v>1</v>
      </c>
      <c r="H265" s="82" t="s">
        <v>278</v>
      </c>
      <c r="I265" s="6">
        <v>46</v>
      </c>
      <c r="J265" s="70" t="s">
        <v>289</v>
      </c>
      <c r="K265" s="2">
        <f>(VLOOKUP(H265,'functions and szcl estimates'!$A$14:$I$23,4, FALSE))*(('raw data'!I284)^(VLOOKUP('raw data'!H284,'functions and szcl estimates'!$A$14:$I$23, 7, FALSE)))</f>
        <v>31.020152622673841</v>
      </c>
      <c r="L265" s="12">
        <v>0.53125</v>
      </c>
      <c r="M265" s="8" t="s">
        <v>28</v>
      </c>
      <c r="N265" s="8">
        <f t="shared" si="13"/>
        <v>-0.12569444444444444</v>
      </c>
      <c r="O265" s="14">
        <v>27</v>
      </c>
      <c r="P265">
        <f>COUNT(O265:O271)</f>
        <v>7</v>
      </c>
      <c r="Q265" s="65">
        <f>SUM(K265:K271)</f>
        <v>262.90519335600504</v>
      </c>
      <c r="R265" s="15">
        <f>P265/O265</f>
        <v>0.25925925925925924</v>
      </c>
      <c r="S265" t="s">
        <v>148</v>
      </c>
      <c r="T265" s="6" t="s">
        <v>208</v>
      </c>
    </row>
    <row r="266" spans="1:20" x14ac:dyDescent="0.2">
      <c r="A266" s="5">
        <v>39654</v>
      </c>
      <c r="B266" s="17">
        <v>2012</v>
      </c>
      <c r="C266" s="18" t="str">
        <f t="shared" si="14"/>
        <v>Elkhorn Slough_39654_Area 4_0.5313</v>
      </c>
      <c r="D266" s="4" t="s">
        <v>45</v>
      </c>
      <c r="E266" s="6" t="s">
        <v>3</v>
      </c>
      <c r="F266" s="70" t="s">
        <v>288</v>
      </c>
      <c r="G266" s="70">
        <v>1</v>
      </c>
      <c r="H266" s="82" t="s">
        <v>278</v>
      </c>
      <c r="I266" s="6">
        <v>49</v>
      </c>
      <c r="J266" s="70" t="s">
        <v>289</v>
      </c>
      <c r="K266" s="2">
        <f>(VLOOKUP(H266,'functions and szcl estimates'!$A$14:$I$23,4, FALSE))*(('raw data'!I285)^(VLOOKUP('raw data'!H285,'functions and szcl estimates'!$A$14:$I$23, 7, FALSE)))</f>
        <v>33.699160955830664</v>
      </c>
      <c r="L266" s="12">
        <v>0.53125</v>
      </c>
      <c r="M266" s="8" t="s">
        <v>28</v>
      </c>
      <c r="N266" s="8">
        <f t="shared" si="13"/>
        <v>-0.12569444444444444</v>
      </c>
      <c r="O266" s="14">
        <v>27</v>
      </c>
      <c r="S266" t="s">
        <v>148</v>
      </c>
    </row>
    <row r="267" spans="1:20" x14ac:dyDescent="0.2">
      <c r="A267" s="5">
        <v>39654</v>
      </c>
      <c r="B267" s="17">
        <v>2012</v>
      </c>
      <c r="C267" s="18" t="str">
        <f t="shared" si="14"/>
        <v>Elkhorn Slough_39654_Area 4_0.5313</v>
      </c>
      <c r="D267" s="4" t="s">
        <v>45</v>
      </c>
      <c r="E267" s="6" t="s">
        <v>3</v>
      </c>
      <c r="F267" s="70" t="s">
        <v>288</v>
      </c>
      <c r="G267" s="70">
        <v>1</v>
      </c>
      <c r="H267" s="82" t="s">
        <v>278</v>
      </c>
      <c r="I267" s="6">
        <v>52</v>
      </c>
      <c r="J267" s="70" t="s">
        <v>289</v>
      </c>
      <c r="K267" s="2">
        <f>(VLOOKUP(H267,'functions and szcl estimates'!$A$14:$I$23,4, FALSE))*(('raw data'!I286)^(VLOOKUP('raw data'!H286,'functions and szcl estimates'!$A$14:$I$23, 7, FALSE)))</f>
        <v>33.699160955830664</v>
      </c>
      <c r="L267" s="12">
        <v>0.53125</v>
      </c>
      <c r="M267" s="8" t="s">
        <v>28</v>
      </c>
      <c r="N267" s="8">
        <f t="shared" si="13"/>
        <v>-0.12569444444444444</v>
      </c>
      <c r="O267" s="14">
        <v>27</v>
      </c>
      <c r="S267" t="s">
        <v>148</v>
      </c>
    </row>
    <row r="268" spans="1:20" x14ac:dyDescent="0.2">
      <c r="A268" s="5">
        <v>39654</v>
      </c>
      <c r="B268" s="17">
        <v>2012</v>
      </c>
      <c r="C268" s="18" t="str">
        <f t="shared" si="14"/>
        <v>Elkhorn Slough_39654_Area 4_0.5313</v>
      </c>
      <c r="D268" s="4" t="s">
        <v>45</v>
      </c>
      <c r="E268" s="6" t="s">
        <v>3</v>
      </c>
      <c r="F268" s="70" t="s">
        <v>288</v>
      </c>
      <c r="G268" s="70">
        <v>1</v>
      </c>
      <c r="H268" s="82" t="s">
        <v>278</v>
      </c>
      <c r="I268" s="6">
        <v>53</v>
      </c>
      <c r="J268" s="70" t="s">
        <v>289</v>
      </c>
      <c r="K268" s="2">
        <f>(VLOOKUP(H268,'functions and szcl estimates'!$A$14:$I$23,4, FALSE))*(('raw data'!I287)^(VLOOKUP('raw data'!H287,'functions and szcl estimates'!$A$14:$I$23, 7, FALSE)))</f>
        <v>35.084073367331875</v>
      </c>
      <c r="L268" s="12">
        <v>0.53125</v>
      </c>
      <c r="M268" s="8" t="s">
        <v>28</v>
      </c>
      <c r="N268" s="8">
        <f t="shared" si="13"/>
        <v>-0.12569444444444444</v>
      </c>
      <c r="O268" s="14">
        <v>27</v>
      </c>
      <c r="S268" t="s">
        <v>148</v>
      </c>
    </row>
    <row r="269" spans="1:20" x14ac:dyDescent="0.2">
      <c r="A269" s="5">
        <v>39654</v>
      </c>
      <c r="B269" s="17">
        <v>2012</v>
      </c>
      <c r="C269" s="18" t="str">
        <f t="shared" si="14"/>
        <v>Elkhorn Slough_39654_Area 4_0.5313</v>
      </c>
      <c r="D269" s="4" t="s">
        <v>45</v>
      </c>
      <c r="E269" s="6" t="s">
        <v>3</v>
      </c>
      <c r="F269" s="70" t="s">
        <v>288</v>
      </c>
      <c r="G269" s="70">
        <v>1</v>
      </c>
      <c r="H269" s="82" t="s">
        <v>278</v>
      </c>
      <c r="I269" s="6">
        <v>54</v>
      </c>
      <c r="J269" s="70" t="s">
        <v>289</v>
      </c>
      <c r="K269" s="2">
        <f>(VLOOKUP(H269,'functions and szcl estimates'!$A$14:$I$23,4, FALSE))*(('raw data'!I288)^(VLOOKUP('raw data'!H288,'functions and szcl estimates'!$A$14:$I$23, 7, FALSE)))</f>
        <v>36.499403266452177</v>
      </c>
      <c r="L269" s="12">
        <v>0.53125</v>
      </c>
      <c r="M269" s="8" t="s">
        <v>28</v>
      </c>
      <c r="N269" s="8">
        <f t="shared" si="13"/>
        <v>-0.12569444444444444</v>
      </c>
      <c r="O269" s="14">
        <v>27</v>
      </c>
      <c r="S269" t="s">
        <v>148</v>
      </c>
    </row>
    <row r="270" spans="1:20" x14ac:dyDescent="0.2">
      <c r="A270" s="5">
        <v>39654</v>
      </c>
      <c r="B270" s="17">
        <v>2012</v>
      </c>
      <c r="C270" s="18" t="str">
        <f t="shared" si="14"/>
        <v>Elkhorn Slough_39654_Area 4_0.5313</v>
      </c>
      <c r="D270" s="4" t="s">
        <v>45</v>
      </c>
      <c r="E270" s="6" t="s">
        <v>3</v>
      </c>
      <c r="F270" s="70" t="s">
        <v>288</v>
      </c>
      <c r="G270" s="70">
        <v>1</v>
      </c>
      <c r="H270" s="82" t="s">
        <v>278</v>
      </c>
      <c r="I270" s="6">
        <v>55</v>
      </c>
      <c r="J270" s="70" t="s">
        <v>289</v>
      </c>
      <c r="K270" s="2">
        <f>(VLOOKUP(H270,'functions and szcl estimates'!$A$14:$I$23,4, FALSE))*(('raw data'!I289)^(VLOOKUP('raw data'!H289,'functions and szcl estimates'!$A$14:$I$23, 7, FALSE)))</f>
        <v>45.636037993147625</v>
      </c>
      <c r="L270" s="12">
        <v>0.53125</v>
      </c>
      <c r="M270" s="8" t="s">
        <v>28</v>
      </c>
      <c r="N270" s="8">
        <f t="shared" si="13"/>
        <v>-0.12569444444444444</v>
      </c>
      <c r="O270" s="14">
        <v>27</v>
      </c>
      <c r="S270" t="s">
        <v>148</v>
      </c>
    </row>
    <row r="271" spans="1:20" x14ac:dyDescent="0.2">
      <c r="A271" s="5">
        <v>39654</v>
      </c>
      <c r="B271" s="17">
        <v>2012</v>
      </c>
      <c r="C271" s="18" t="str">
        <f t="shared" si="14"/>
        <v>Elkhorn Slough_39654_Area 4_0.5313</v>
      </c>
      <c r="D271" s="4" t="s">
        <v>45</v>
      </c>
      <c r="E271" s="6" t="s">
        <v>3</v>
      </c>
      <c r="F271" s="70" t="s">
        <v>288</v>
      </c>
      <c r="G271" s="70">
        <v>1</v>
      </c>
      <c r="H271" s="82" t="s">
        <v>278</v>
      </c>
      <c r="I271" s="6">
        <v>57</v>
      </c>
      <c r="J271" s="70" t="s">
        <v>289</v>
      </c>
      <c r="K271" s="2">
        <f>(VLOOKUP(H271,'functions and szcl estimates'!$A$14:$I$23,4, FALSE))*(('raw data'!I290)^(VLOOKUP('raw data'!H290,'functions and szcl estimates'!$A$14:$I$23, 7, FALSE)))</f>
        <v>47.267204194738184</v>
      </c>
      <c r="L271" s="12">
        <v>0.53125</v>
      </c>
      <c r="M271" s="8" t="s">
        <v>28</v>
      </c>
      <c r="N271" s="8">
        <f t="shared" si="13"/>
        <v>-0.12569444444444444</v>
      </c>
      <c r="O271" s="14">
        <v>27</v>
      </c>
      <c r="S271" t="s">
        <v>148</v>
      </c>
    </row>
    <row r="272" spans="1:20" x14ac:dyDescent="0.2">
      <c r="A272" s="5">
        <v>39655</v>
      </c>
      <c r="B272" s="17">
        <v>2012</v>
      </c>
      <c r="C272" s="18" t="str">
        <f t="shared" si="14"/>
        <v>Elkhorn Slough_39655_Area 4_0.6569</v>
      </c>
      <c r="D272" s="4" t="s">
        <v>45</v>
      </c>
      <c r="E272" s="6" t="s">
        <v>3</v>
      </c>
      <c r="F272" s="70" t="s">
        <v>288</v>
      </c>
      <c r="G272" s="70">
        <v>1</v>
      </c>
      <c r="H272" s="82" t="s">
        <v>278</v>
      </c>
      <c r="I272" s="6">
        <v>47</v>
      </c>
      <c r="J272" s="70" t="s">
        <v>289</v>
      </c>
      <c r="K272" s="2">
        <f>(VLOOKUP(H272,'functions and szcl estimates'!$A$14:$I$23,4, FALSE))*(('raw data'!I294)^(VLOOKUP('raw data'!H294,'functions and szcl estimates'!$A$14:$I$23, 7, FALSE)))</f>
        <v>40.928960371077068</v>
      </c>
      <c r="L272" s="12">
        <v>0.65694444444444444</v>
      </c>
      <c r="M272" s="8" t="s">
        <v>132</v>
      </c>
      <c r="N272" s="8">
        <f t="shared" si="13"/>
        <v>0.14652777777777781</v>
      </c>
      <c r="O272" s="14">
        <v>20.5</v>
      </c>
      <c r="P272">
        <v>5</v>
      </c>
      <c r="Q272" s="65">
        <f>SUM(K272:K276)</f>
        <v>133.62416800269486</v>
      </c>
      <c r="R272" s="15">
        <f>P272/O272</f>
        <v>0.24390243902439024</v>
      </c>
      <c r="S272" t="s">
        <v>148</v>
      </c>
      <c r="T272" s="6" t="s">
        <v>210</v>
      </c>
    </row>
    <row r="273" spans="1:19" x14ac:dyDescent="0.2">
      <c r="A273" s="5">
        <v>39655</v>
      </c>
      <c r="B273" s="17">
        <v>2012</v>
      </c>
      <c r="C273" s="18" t="str">
        <f t="shared" si="14"/>
        <v>Elkhorn Slough_39655_Area 4_0.6569</v>
      </c>
      <c r="D273" s="4" t="s">
        <v>45</v>
      </c>
      <c r="E273" s="6" t="s">
        <v>3</v>
      </c>
      <c r="F273" s="70" t="s">
        <v>288</v>
      </c>
      <c r="G273" s="70">
        <v>1</v>
      </c>
      <c r="H273" s="82" t="s">
        <v>278</v>
      </c>
      <c r="I273" s="6">
        <v>49</v>
      </c>
      <c r="J273" s="70" t="s">
        <v>289</v>
      </c>
      <c r="K273" s="2">
        <f>(VLOOKUP(H273,'functions and szcl estimates'!$A$14:$I$23,4, FALSE))*(('raw data'!I295)^(VLOOKUP('raw data'!H295,'functions and szcl estimates'!$A$14:$I$23, 7, FALSE)))</f>
        <v>13.009628407447462</v>
      </c>
      <c r="L273" s="12">
        <v>0.65694444444444444</v>
      </c>
      <c r="M273" s="8" t="s">
        <v>132</v>
      </c>
      <c r="N273" s="8">
        <f t="shared" si="13"/>
        <v>0.14652777777777781</v>
      </c>
      <c r="O273" s="14">
        <v>20.5</v>
      </c>
      <c r="S273" t="s">
        <v>148</v>
      </c>
    </row>
    <row r="274" spans="1:19" x14ac:dyDescent="0.2">
      <c r="A274" s="5">
        <v>39655</v>
      </c>
      <c r="B274" s="17">
        <v>2012</v>
      </c>
      <c r="C274" s="18" t="str">
        <f t="shared" si="14"/>
        <v>Elkhorn Slough_39655_Area 4_0.6569</v>
      </c>
      <c r="D274" s="4" t="s">
        <v>45</v>
      </c>
      <c r="E274" s="6" t="s">
        <v>3</v>
      </c>
      <c r="F274" s="70" t="s">
        <v>288</v>
      </c>
      <c r="G274" s="70">
        <v>1</v>
      </c>
      <c r="H274" s="82" t="s">
        <v>278</v>
      </c>
      <c r="I274" s="6">
        <v>56</v>
      </c>
      <c r="J274" s="70" t="s">
        <v>289</v>
      </c>
      <c r="K274" s="2">
        <f>(VLOOKUP(H274,'functions and szcl estimates'!$A$14:$I$23,4, FALSE))*(('raw data'!I296)^(VLOOKUP('raw data'!H296,'functions and szcl estimates'!$A$14:$I$23, 7, FALSE)))</f>
        <v>28.461489668107927</v>
      </c>
      <c r="L274" s="12">
        <v>0.656944444444444</v>
      </c>
      <c r="M274" s="8" t="s">
        <v>132</v>
      </c>
      <c r="N274" s="8">
        <f t="shared" si="13"/>
        <v>0.14652777777777737</v>
      </c>
      <c r="O274" s="14">
        <v>20.5</v>
      </c>
      <c r="S274" t="s">
        <v>148</v>
      </c>
    </row>
    <row r="275" spans="1:19" x14ac:dyDescent="0.2">
      <c r="A275" s="5">
        <v>39655</v>
      </c>
      <c r="B275" s="17">
        <v>2012</v>
      </c>
      <c r="C275" s="18" t="str">
        <f t="shared" si="14"/>
        <v>Elkhorn Slough_39655_Area 4_0.6569</v>
      </c>
      <c r="D275" s="4" t="s">
        <v>45</v>
      </c>
      <c r="E275" s="6" t="s">
        <v>3</v>
      </c>
      <c r="F275" s="70" t="s">
        <v>288</v>
      </c>
      <c r="G275" s="70">
        <v>1</v>
      </c>
      <c r="H275" s="82" t="s">
        <v>278</v>
      </c>
      <c r="I275" s="6">
        <v>57</v>
      </c>
      <c r="J275" s="70" t="s">
        <v>289</v>
      </c>
      <c r="K275" s="2">
        <f>(VLOOKUP(H275,'functions and szcl estimates'!$A$14:$I$23,4, FALSE))*(('raw data'!I297)^(VLOOKUP('raw data'!H297,'functions and szcl estimates'!$A$14:$I$23, 7, FALSE)))</f>
        <v>29.725834580062603</v>
      </c>
      <c r="L275" s="12">
        <v>0.656944444444444</v>
      </c>
      <c r="M275" s="8" t="s">
        <v>132</v>
      </c>
      <c r="N275" s="8">
        <f t="shared" si="13"/>
        <v>0.14652777777777737</v>
      </c>
      <c r="O275" s="14">
        <v>20.5</v>
      </c>
      <c r="S275" t="s">
        <v>148</v>
      </c>
    </row>
    <row r="276" spans="1:19" x14ac:dyDescent="0.2">
      <c r="A276" s="5">
        <v>39655</v>
      </c>
      <c r="B276" s="17">
        <v>2012</v>
      </c>
      <c r="C276" s="18" t="str">
        <f t="shared" si="14"/>
        <v>Elkhorn Slough_39655_Area 4_0.6569</v>
      </c>
      <c r="D276" s="4" t="s">
        <v>45</v>
      </c>
      <c r="E276" s="6" t="s">
        <v>3</v>
      </c>
      <c r="F276" s="70" t="s">
        <v>288</v>
      </c>
      <c r="G276" s="70">
        <v>1</v>
      </c>
      <c r="H276" s="82" t="s">
        <v>278</v>
      </c>
      <c r="I276" s="6">
        <v>60</v>
      </c>
      <c r="J276" s="70" t="s">
        <v>289</v>
      </c>
      <c r="K276" s="2">
        <f>(VLOOKUP(H276,'functions and szcl estimates'!$A$14:$I$23,4, FALSE))*(('raw data'!I298)^(VLOOKUP('raw data'!H298,'functions and szcl estimates'!$A$14:$I$23, 7, FALSE)))</f>
        <v>21.498254975999789</v>
      </c>
      <c r="L276" s="12">
        <v>0.656944444444444</v>
      </c>
      <c r="M276" s="8" t="s">
        <v>132</v>
      </c>
      <c r="N276" s="8">
        <f t="shared" si="13"/>
        <v>0.14652777777777737</v>
      </c>
      <c r="O276" s="14">
        <v>20.5</v>
      </c>
      <c r="S276" t="s">
        <v>148</v>
      </c>
    </row>
    <row r="277" spans="1:19" x14ac:dyDescent="0.2">
      <c r="A277" s="5">
        <v>39655</v>
      </c>
      <c r="B277" s="17">
        <v>2012</v>
      </c>
      <c r="C277" s="18" t="str">
        <f t="shared" si="14"/>
        <v>Elkhorn Slough_39655_Outfall_0.5347</v>
      </c>
      <c r="D277" s="4" t="s">
        <v>45</v>
      </c>
      <c r="E277" s="6" t="s">
        <v>279</v>
      </c>
      <c r="F277" s="70" t="s">
        <v>288</v>
      </c>
      <c r="G277" s="70">
        <v>1</v>
      </c>
      <c r="H277" s="82" t="s">
        <v>278</v>
      </c>
      <c r="I277" s="6">
        <v>55</v>
      </c>
      <c r="J277" s="70" t="s">
        <v>289</v>
      </c>
      <c r="K277" s="2">
        <f>(VLOOKUP(H277,'functions and szcl estimates'!$A$14:$I$23,4, FALSE))*(('raw data'!I300)^(VLOOKUP('raw data'!H300,'functions and szcl estimates'!$A$14:$I$23, 7, FALSE)))</f>
        <v>23.701503598744196</v>
      </c>
      <c r="L277" s="12">
        <v>0.53472222222222221</v>
      </c>
      <c r="M277" s="8" t="s">
        <v>225</v>
      </c>
      <c r="N277" s="8">
        <f t="shared" si="13"/>
        <v>1.388888888888884E-2</v>
      </c>
      <c r="O277" s="14">
        <v>24.25</v>
      </c>
      <c r="S277" t="s">
        <v>148</v>
      </c>
    </row>
    <row r="278" spans="1:19" x14ac:dyDescent="0.2">
      <c r="A278" s="5">
        <v>39657</v>
      </c>
      <c r="B278" s="17">
        <v>2012</v>
      </c>
      <c r="C278" s="18" t="str">
        <f t="shared" si="14"/>
        <v>Elkhorn Slough_39657_Crop Circles_0.5035</v>
      </c>
      <c r="D278" s="4" t="s">
        <v>45</v>
      </c>
      <c r="E278" s="6" t="s">
        <v>277</v>
      </c>
      <c r="F278" s="70" t="s">
        <v>288</v>
      </c>
      <c r="G278" s="70">
        <v>1</v>
      </c>
      <c r="H278" s="82" t="s">
        <v>278</v>
      </c>
      <c r="I278" s="6">
        <v>56</v>
      </c>
      <c r="J278" s="70" t="s">
        <v>289</v>
      </c>
      <c r="K278" s="2">
        <f>(VLOOKUP(H278,'functions and szcl estimates'!$A$14:$I$23,4, FALSE))*(('raw data'!I317)^(VLOOKUP('raw data'!H317,'functions and szcl estimates'!$A$14:$I$23, 7, FALSE)))</f>
        <v>35.084073367331875</v>
      </c>
      <c r="L278" s="12">
        <v>0.50347222222222199</v>
      </c>
      <c r="M278" s="8" t="s">
        <v>31</v>
      </c>
      <c r="N278" s="8">
        <f t="shared" si="13"/>
        <v>0.13888888888888867</v>
      </c>
      <c r="O278" s="14">
        <v>44.75</v>
      </c>
      <c r="S278" t="s">
        <v>148</v>
      </c>
    </row>
    <row r="279" spans="1:19" x14ac:dyDescent="0.2">
      <c r="A279" s="5">
        <v>39657</v>
      </c>
      <c r="B279" s="17">
        <v>2012</v>
      </c>
      <c r="C279" s="18" t="str">
        <f t="shared" si="14"/>
        <v>Elkhorn Slough_39657_Seal Bend_0.4917</v>
      </c>
      <c r="D279" s="4" t="s">
        <v>45</v>
      </c>
      <c r="E279" s="6" t="s">
        <v>157</v>
      </c>
      <c r="F279" s="70" t="s">
        <v>288</v>
      </c>
      <c r="G279" s="70">
        <v>1</v>
      </c>
      <c r="H279" s="82" t="s">
        <v>278</v>
      </c>
      <c r="I279" s="6">
        <v>59</v>
      </c>
      <c r="J279" s="70" t="s">
        <v>289</v>
      </c>
      <c r="K279" s="2">
        <f>(VLOOKUP(H279,'functions and szcl estimates'!$A$14:$I$23,4, FALSE))*(('raw data'!I323)^(VLOOKUP('raw data'!H323,'functions and szcl estimates'!$A$14:$I$23, 7, FALSE)))</f>
        <v>31.020152622673841</v>
      </c>
      <c r="L279" s="12">
        <v>0.49166666666666697</v>
      </c>
      <c r="M279" s="8" t="s">
        <v>32</v>
      </c>
      <c r="N279" s="8">
        <f t="shared" si="13"/>
        <v>0.11666666666666697</v>
      </c>
      <c r="O279" s="14">
        <v>45.25</v>
      </c>
      <c r="S279" t="s">
        <v>148</v>
      </c>
    </row>
    <row r="280" spans="1:19" x14ac:dyDescent="0.2">
      <c r="A280" s="5">
        <v>39657</v>
      </c>
      <c r="B280" s="17">
        <v>2012</v>
      </c>
      <c r="C280" s="18" t="str">
        <f t="shared" si="14"/>
        <v>Elkhorn Slough_39657_Area 4_0.6569</v>
      </c>
      <c r="D280" s="4" t="s">
        <v>45</v>
      </c>
      <c r="E280" s="6" t="s">
        <v>3</v>
      </c>
      <c r="F280" s="70" t="s">
        <v>288</v>
      </c>
      <c r="G280" s="70">
        <v>1</v>
      </c>
      <c r="H280" s="82" t="s">
        <v>278</v>
      </c>
      <c r="I280" s="6">
        <v>42</v>
      </c>
      <c r="J280" s="70" t="s">
        <v>289</v>
      </c>
      <c r="K280" s="2">
        <f>(VLOOKUP(H280,'functions and szcl estimates'!$A$14:$I$23,4, FALSE))*(('raw data'!I326)^(VLOOKUP('raw data'!H326,'functions and szcl estimates'!$A$14:$I$23, 7, FALSE)))</f>
        <v>27.22700242745751</v>
      </c>
      <c r="L280" s="12">
        <v>0.65694444444444444</v>
      </c>
      <c r="M280" s="8" t="s">
        <v>33</v>
      </c>
      <c r="N280" s="8">
        <f t="shared" si="13"/>
        <v>0.22638888888888886</v>
      </c>
      <c r="O280" s="14">
        <v>42.5</v>
      </c>
      <c r="S280" t="s">
        <v>148</v>
      </c>
    </row>
    <row r="281" spans="1:19" x14ac:dyDescent="0.2">
      <c r="A281" s="5">
        <v>39657</v>
      </c>
      <c r="B281" s="17">
        <v>2012</v>
      </c>
      <c r="C281" s="18" t="str">
        <f t="shared" si="14"/>
        <v>Elkhorn Slough_39657_Area 4_0.6569</v>
      </c>
      <c r="D281" s="4" t="s">
        <v>45</v>
      </c>
      <c r="E281" s="6" t="s">
        <v>3</v>
      </c>
      <c r="F281" s="70" t="s">
        <v>288</v>
      </c>
      <c r="G281" s="70">
        <v>1</v>
      </c>
      <c r="H281" s="82" t="s">
        <v>278</v>
      </c>
      <c r="I281" s="6">
        <v>45</v>
      </c>
      <c r="J281" s="70" t="s">
        <v>289</v>
      </c>
      <c r="K281" s="2">
        <f>(VLOOKUP(H281,'functions and szcl estimates'!$A$14:$I$23,4, FALSE))*(('raw data'!I327)^(VLOOKUP('raw data'!H327,'functions and szcl estimates'!$A$14:$I$23, 7, FALSE)))</f>
        <v>29.725834580062603</v>
      </c>
      <c r="L281" s="12">
        <v>0.656944444444444</v>
      </c>
      <c r="M281" s="8" t="s">
        <v>33</v>
      </c>
      <c r="N281" s="8">
        <f t="shared" si="13"/>
        <v>0.22638888888888842</v>
      </c>
      <c r="O281" s="14">
        <v>42.5</v>
      </c>
      <c r="S281" t="s">
        <v>148</v>
      </c>
    </row>
    <row r="282" spans="1:19" x14ac:dyDescent="0.2">
      <c r="A282" s="5">
        <v>39657</v>
      </c>
      <c r="B282" s="17">
        <v>2012</v>
      </c>
      <c r="C282" s="18" t="str">
        <f t="shared" si="14"/>
        <v>Elkhorn Slough_39657_Area 4_0.6569</v>
      </c>
      <c r="D282" s="4" t="s">
        <v>45</v>
      </c>
      <c r="E282" s="6" t="s">
        <v>3</v>
      </c>
      <c r="F282" s="70" t="s">
        <v>288</v>
      </c>
      <c r="G282" s="70">
        <v>1</v>
      </c>
      <c r="H282" s="82" t="s">
        <v>278</v>
      </c>
      <c r="I282" s="6">
        <v>48</v>
      </c>
      <c r="J282" s="70" t="s">
        <v>289</v>
      </c>
      <c r="K282" s="2">
        <f>(VLOOKUP(H282,'functions and szcl estimates'!$A$14:$I$23,4, FALSE))*(('raw data'!I328)^(VLOOKUP('raw data'!H328,'functions and szcl estimates'!$A$14:$I$23, 7, FALSE)))</f>
        <v>20.440379023699119</v>
      </c>
      <c r="L282" s="12">
        <v>0.656944444444444</v>
      </c>
      <c r="M282" s="8" t="s">
        <v>33</v>
      </c>
      <c r="N282" s="8">
        <f t="shared" si="13"/>
        <v>0.22638888888888842</v>
      </c>
      <c r="O282" s="14">
        <v>42.5</v>
      </c>
      <c r="S282" t="s">
        <v>148</v>
      </c>
    </row>
    <row r="283" spans="1:19" x14ac:dyDescent="0.2">
      <c r="A283" s="5">
        <v>39657</v>
      </c>
      <c r="B283" s="17">
        <v>2012</v>
      </c>
      <c r="C283" s="18" t="str">
        <f t="shared" si="14"/>
        <v>Elkhorn Slough_39657_Area 4_0.6569</v>
      </c>
      <c r="D283" s="4" t="s">
        <v>45</v>
      </c>
      <c r="E283" s="6" t="s">
        <v>3</v>
      </c>
      <c r="F283" s="70" t="s">
        <v>288</v>
      </c>
      <c r="G283" s="70">
        <v>1</v>
      </c>
      <c r="H283" s="82" t="s">
        <v>278</v>
      </c>
      <c r="I283" s="6">
        <v>51</v>
      </c>
      <c r="J283" s="70" t="s">
        <v>289</v>
      </c>
      <c r="K283" s="2">
        <f>(VLOOKUP(H283,'functions and szcl estimates'!$A$14:$I$23,4, FALSE))*(('raw data'!I329)^(VLOOKUP('raw data'!H329,'functions and szcl estimates'!$A$14:$I$23, 7, FALSE)))</f>
        <v>23.701503598744196</v>
      </c>
      <c r="L283" s="12">
        <v>0.656944444444444</v>
      </c>
      <c r="M283" s="8" t="s">
        <v>33</v>
      </c>
      <c r="N283" s="8">
        <f t="shared" si="13"/>
        <v>0.22638888888888842</v>
      </c>
      <c r="O283" s="14">
        <v>42.5</v>
      </c>
      <c r="S283" t="s">
        <v>148</v>
      </c>
    </row>
    <row r="284" spans="1:19" x14ac:dyDescent="0.2">
      <c r="A284" s="5">
        <v>39657</v>
      </c>
      <c r="B284" s="17">
        <v>2012</v>
      </c>
      <c r="C284" s="18" t="str">
        <f t="shared" si="14"/>
        <v>Elkhorn Slough_39657_Area 4_0.6569</v>
      </c>
      <c r="D284" s="4" t="s">
        <v>45</v>
      </c>
      <c r="E284" s="6" t="s">
        <v>3</v>
      </c>
      <c r="F284" s="70" t="s">
        <v>288</v>
      </c>
      <c r="G284" s="70">
        <v>1</v>
      </c>
      <c r="H284" s="82" t="s">
        <v>278</v>
      </c>
      <c r="I284" s="6">
        <v>52</v>
      </c>
      <c r="J284" s="70" t="s">
        <v>289</v>
      </c>
      <c r="K284" s="2">
        <f>(VLOOKUP(H284,'functions and szcl estimates'!$A$14:$I$23,4, FALSE))*(('raw data'!I330)^(VLOOKUP('raw data'!H330,'functions and szcl estimates'!$A$14:$I$23, 7, FALSE)))</f>
        <v>23.701503598744196</v>
      </c>
      <c r="L284" s="12">
        <v>0.656944444444444</v>
      </c>
      <c r="M284" s="8" t="s">
        <v>33</v>
      </c>
      <c r="N284" s="8">
        <f t="shared" si="13"/>
        <v>0.22638888888888842</v>
      </c>
      <c r="O284" s="14">
        <v>42.5</v>
      </c>
      <c r="S284" t="s">
        <v>148</v>
      </c>
    </row>
    <row r="285" spans="1:19" x14ac:dyDescent="0.2">
      <c r="A285" s="5">
        <v>39657</v>
      </c>
      <c r="B285" s="17">
        <v>2012</v>
      </c>
      <c r="C285" s="18" t="str">
        <f t="shared" si="14"/>
        <v>Elkhorn Slough_39657_Area 4_0.6569</v>
      </c>
      <c r="D285" s="4" t="s">
        <v>45</v>
      </c>
      <c r="E285" s="6" t="s">
        <v>3</v>
      </c>
      <c r="F285" s="70" t="s">
        <v>288</v>
      </c>
      <c r="G285" s="70">
        <v>1</v>
      </c>
      <c r="H285" s="82" t="s">
        <v>278</v>
      </c>
      <c r="I285" s="6">
        <v>54</v>
      </c>
      <c r="J285" s="70" t="s">
        <v>289</v>
      </c>
      <c r="K285" s="2">
        <f>(VLOOKUP(H285,'functions and szcl estimates'!$A$14:$I$23,4, FALSE))*(('raw data'!I331)^(VLOOKUP('raw data'!H331,'functions and szcl estimates'!$A$14:$I$23, 7, FALSE)))</f>
        <v>23.701503598744196</v>
      </c>
      <c r="L285" s="12">
        <v>0.656944444444444</v>
      </c>
      <c r="M285" s="8" t="s">
        <v>33</v>
      </c>
      <c r="N285" s="8">
        <f t="shared" si="13"/>
        <v>0.22638888888888842</v>
      </c>
      <c r="O285" s="14">
        <v>42.5</v>
      </c>
      <c r="S285" t="s">
        <v>148</v>
      </c>
    </row>
    <row r="286" spans="1:19" x14ac:dyDescent="0.2">
      <c r="A286" s="5">
        <v>39657</v>
      </c>
      <c r="B286" s="17">
        <v>2012</v>
      </c>
      <c r="C286" s="18" t="str">
        <f t="shared" si="14"/>
        <v>Elkhorn Slough_39657_Area 4_0.6569</v>
      </c>
      <c r="D286" s="4" t="s">
        <v>45</v>
      </c>
      <c r="E286" s="6" t="s">
        <v>3</v>
      </c>
      <c r="F286" s="70" t="s">
        <v>288</v>
      </c>
      <c r="G286" s="70">
        <v>1</v>
      </c>
      <c r="H286" s="82" t="s">
        <v>278</v>
      </c>
      <c r="I286" s="6">
        <v>54</v>
      </c>
      <c r="J286" s="70" t="s">
        <v>289</v>
      </c>
      <c r="K286" s="2">
        <f>(VLOOKUP(H286,'functions and szcl estimates'!$A$14:$I$23,4, FALSE))*(('raw data'!I332)^(VLOOKUP('raw data'!H332,'functions and szcl estimates'!$A$14:$I$23, 7, FALSE)))</f>
        <v>24.84712967999322</v>
      </c>
      <c r="L286" s="12">
        <v>0.656944444444444</v>
      </c>
      <c r="M286" s="8" t="s">
        <v>33</v>
      </c>
      <c r="N286" s="8">
        <f t="shared" ref="N286:N317" si="15">L286-M286</f>
        <v>0.22638888888888842</v>
      </c>
      <c r="O286" s="14">
        <v>42.5</v>
      </c>
      <c r="S286" t="s">
        <v>148</v>
      </c>
    </row>
    <row r="287" spans="1:19" x14ac:dyDescent="0.2">
      <c r="A287" s="5">
        <v>39657</v>
      </c>
      <c r="B287" s="17">
        <v>2012</v>
      </c>
      <c r="C287" s="18" t="str">
        <f t="shared" si="14"/>
        <v>Elkhorn Slough_39657_Area 4_0.6569</v>
      </c>
      <c r="D287" s="4" t="s">
        <v>45</v>
      </c>
      <c r="E287" s="6" t="s">
        <v>3</v>
      </c>
      <c r="F287" s="70" t="s">
        <v>288</v>
      </c>
      <c r="G287" s="70">
        <v>1</v>
      </c>
      <c r="H287" s="82" t="s">
        <v>278</v>
      </c>
      <c r="I287" s="6">
        <v>55</v>
      </c>
      <c r="J287" s="70" t="s">
        <v>289</v>
      </c>
      <c r="K287" s="2">
        <f>(VLOOKUP(H287,'functions and szcl estimates'!$A$14:$I$23,4, FALSE))*(('raw data'!I333)^(VLOOKUP('raw data'!H333,'functions and szcl estimates'!$A$14:$I$23, 7, FALSE)))</f>
        <v>27.22700242745751</v>
      </c>
      <c r="L287" s="12">
        <v>0.656944444444444</v>
      </c>
      <c r="M287" s="8" t="s">
        <v>33</v>
      </c>
      <c r="N287" s="8">
        <f t="shared" si="15"/>
        <v>0.22638888888888842</v>
      </c>
      <c r="O287" s="14">
        <v>42.5</v>
      </c>
      <c r="S287" t="s">
        <v>148</v>
      </c>
    </row>
    <row r="288" spans="1:19" x14ac:dyDescent="0.2">
      <c r="A288" s="5">
        <v>39657</v>
      </c>
      <c r="B288" s="17">
        <v>2012</v>
      </c>
      <c r="C288" s="18" t="str">
        <f t="shared" si="14"/>
        <v>Elkhorn Slough_39657_Area 4_0.6569</v>
      </c>
      <c r="D288" s="4" t="s">
        <v>45</v>
      </c>
      <c r="E288" s="6" t="s">
        <v>3</v>
      </c>
      <c r="F288" s="70" t="s">
        <v>288</v>
      </c>
      <c r="G288" s="70">
        <v>1</v>
      </c>
      <c r="H288" s="82" t="s">
        <v>278</v>
      </c>
      <c r="I288" s="6">
        <v>56</v>
      </c>
      <c r="J288" s="70" t="s">
        <v>289</v>
      </c>
      <c r="K288" s="2">
        <f>(VLOOKUP(H288,'functions and szcl estimates'!$A$14:$I$23,4, FALSE))*(('raw data'!I334)^(VLOOKUP('raw data'!H334,'functions and szcl estimates'!$A$14:$I$23, 7, FALSE)))</f>
        <v>28.461489668107927</v>
      </c>
      <c r="L288" s="12">
        <v>0.656944444444444</v>
      </c>
      <c r="M288" s="8" t="s">
        <v>33</v>
      </c>
      <c r="N288" s="8">
        <f t="shared" si="15"/>
        <v>0.22638888888888842</v>
      </c>
      <c r="O288" s="14">
        <v>42.5</v>
      </c>
      <c r="S288" t="s">
        <v>148</v>
      </c>
    </row>
    <row r="289" spans="1:19" x14ac:dyDescent="0.2">
      <c r="A289" s="5">
        <v>39657</v>
      </c>
      <c r="B289" s="17">
        <v>2012</v>
      </c>
      <c r="C289" s="18" t="str">
        <f t="shared" si="14"/>
        <v>Elkhorn Slough_39657_Area 4_0.6569</v>
      </c>
      <c r="D289" s="4" t="s">
        <v>45</v>
      </c>
      <c r="E289" s="6" t="s">
        <v>3</v>
      </c>
      <c r="F289" s="70" t="s">
        <v>288</v>
      </c>
      <c r="G289" s="70">
        <v>1</v>
      </c>
      <c r="H289" s="82" t="s">
        <v>278</v>
      </c>
      <c r="I289" s="6">
        <v>62</v>
      </c>
      <c r="J289" s="70" t="s">
        <v>289</v>
      </c>
      <c r="K289" s="2">
        <f>(VLOOKUP(H289,'functions and szcl estimates'!$A$14:$I$23,4, FALSE))*(('raw data'!I335)^(VLOOKUP('raw data'!H335,'functions and szcl estimates'!$A$14:$I$23, 7, FALSE)))</f>
        <v>29.725834580062603</v>
      </c>
      <c r="L289" s="12">
        <v>0.656944444444444</v>
      </c>
      <c r="M289" s="8" t="s">
        <v>33</v>
      </c>
      <c r="N289" s="8">
        <f t="shared" si="15"/>
        <v>0.22638888888888842</v>
      </c>
      <c r="O289" s="14">
        <v>42.5</v>
      </c>
      <c r="S289" t="s">
        <v>148</v>
      </c>
    </row>
    <row r="290" spans="1:19" x14ac:dyDescent="0.2">
      <c r="A290" s="5">
        <v>39657</v>
      </c>
      <c r="B290" s="17">
        <v>2012</v>
      </c>
      <c r="C290" s="18" t="str">
        <f t="shared" si="14"/>
        <v>Elkhorn Slough_39657_Area 4_0.6569</v>
      </c>
      <c r="D290" s="4" t="s">
        <v>45</v>
      </c>
      <c r="E290" s="6" t="s">
        <v>3</v>
      </c>
      <c r="F290" s="70" t="s">
        <v>288</v>
      </c>
      <c r="G290" s="70">
        <v>1</v>
      </c>
      <c r="H290" s="82" t="s">
        <v>278</v>
      </c>
      <c r="I290" s="6">
        <v>63</v>
      </c>
      <c r="J290" s="70" t="s">
        <v>289</v>
      </c>
      <c r="K290" s="2">
        <f>(VLOOKUP(H290,'functions and szcl estimates'!$A$14:$I$23,4, FALSE))*(('raw data'!I336)^(VLOOKUP('raw data'!H336,'functions and szcl estimates'!$A$14:$I$23, 7, FALSE)))</f>
        <v>31.020152622673841</v>
      </c>
      <c r="L290" s="12">
        <v>0.656944444444444</v>
      </c>
      <c r="M290" s="8" t="s">
        <v>33</v>
      </c>
      <c r="N290" s="8">
        <f t="shared" si="15"/>
        <v>0.22638888888888842</v>
      </c>
      <c r="O290" s="14">
        <v>42.5</v>
      </c>
      <c r="S290" t="s">
        <v>148</v>
      </c>
    </row>
    <row r="291" spans="1:19" x14ac:dyDescent="0.2">
      <c r="A291" s="5">
        <v>39657</v>
      </c>
      <c r="B291" s="17">
        <v>2012</v>
      </c>
      <c r="C291" s="18" t="str">
        <f t="shared" si="14"/>
        <v>Elkhorn Slough_39657_Crop Circles_0.3646</v>
      </c>
      <c r="D291" s="4" t="s">
        <v>45</v>
      </c>
      <c r="E291" s="6" t="s">
        <v>277</v>
      </c>
      <c r="F291" s="70" t="s">
        <v>288</v>
      </c>
      <c r="G291" s="70">
        <v>1</v>
      </c>
      <c r="H291" s="82" t="s">
        <v>278</v>
      </c>
      <c r="I291" s="6">
        <v>44</v>
      </c>
      <c r="J291" s="70" t="s">
        <v>289</v>
      </c>
      <c r="K291" s="2">
        <f>(VLOOKUP(H291,'functions and szcl estimates'!$A$14:$I$23,4, FALSE))*(('raw data'!I343)^(VLOOKUP('raw data'!H343,'functions and szcl estimates'!$A$14:$I$23, 7, FALSE)))</f>
        <v>36.499403266452177</v>
      </c>
      <c r="L291" s="12">
        <v>0.36458333333333298</v>
      </c>
      <c r="M291" s="8" t="s">
        <v>34</v>
      </c>
      <c r="N291" s="8">
        <f t="shared" si="15"/>
        <v>-7.9861111111111438E-2</v>
      </c>
      <c r="O291" s="14">
        <v>50</v>
      </c>
      <c r="S291" t="s">
        <v>148</v>
      </c>
    </row>
    <row r="292" spans="1:19" x14ac:dyDescent="0.2">
      <c r="A292" s="5">
        <v>39657</v>
      </c>
      <c r="B292" s="17">
        <v>2012</v>
      </c>
      <c r="C292" s="18" t="str">
        <f t="shared" si="14"/>
        <v>Elkhorn Slough_39657_Crop Circles_0.3646</v>
      </c>
      <c r="D292" s="4" t="s">
        <v>45</v>
      </c>
      <c r="E292" s="6" t="s">
        <v>277</v>
      </c>
      <c r="F292" s="70" t="s">
        <v>288</v>
      </c>
      <c r="G292" s="70">
        <v>1</v>
      </c>
      <c r="H292" s="82" t="s">
        <v>278</v>
      </c>
      <c r="I292" s="6">
        <v>59</v>
      </c>
      <c r="J292" s="70" t="s">
        <v>289</v>
      </c>
      <c r="K292" s="2">
        <f>(VLOOKUP(H292,'functions and szcl estimates'!$A$14:$I$23,4, FALSE))*(('raw data'!I344)^(VLOOKUP('raw data'!H344,'functions and szcl estimates'!$A$14:$I$23, 7, FALSE)))</f>
        <v>37.94525766038695</v>
      </c>
      <c r="L292" s="12">
        <v>0.36458333333333298</v>
      </c>
      <c r="M292" s="8" t="s">
        <v>34</v>
      </c>
      <c r="N292" s="8">
        <f t="shared" si="15"/>
        <v>-7.9861111111111438E-2</v>
      </c>
      <c r="O292" s="14">
        <v>50</v>
      </c>
      <c r="S292" t="s">
        <v>148</v>
      </c>
    </row>
    <row r="293" spans="1:19" x14ac:dyDescent="0.2">
      <c r="A293" s="5">
        <v>39657</v>
      </c>
      <c r="B293" s="17">
        <v>2012</v>
      </c>
      <c r="C293" s="18" t="str">
        <f t="shared" si="14"/>
        <v>Elkhorn Slough_39657_Crop Circles_0.3646</v>
      </c>
      <c r="D293" s="4" t="s">
        <v>45</v>
      </c>
      <c r="E293" s="6" t="s">
        <v>277</v>
      </c>
      <c r="F293" s="70" t="s">
        <v>288</v>
      </c>
      <c r="G293" s="70">
        <v>1</v>
      </c>
      <c r="H293" s="82" t="s">
        <v>278</v>
      </c>
      <c r="I293" s="6">
        <v>60</v>
      </c>
      <c r="J293" s="70" t="s">
        <v>289</v>
      </c>
      <c r="K293" s="2">
        <f>(VLOOKUP(H293,'functions and szcl estimates'!$A$14:$I$23,4, FALSE))*(('raw data'!I345)^(VLOOKUP('raw data'!H345,'functions and szcl estimates'!$A$14:$I$23, 7, FALSE)))</f>
        <v>42.467015253664457</v>
      </c>
      <c r="L293" s="12">
        <v>0.36458333333333298</v>
      </c>
      <c r="M293" s="8" t="s">
        <v>34</v>
      </c>
      <c r="N293" s="8">
        <f t="shared" si="15"/>
        <v>-7.9861111111111438E-2</v>
      </c>
      <c r="O293" s="14">
        <v>50</v>
      </c>
      <c r="S293" t="s">
        <v>148</v>
      </c>
    </row>
    <row r="294" spans="1:19" x14ac:dyDescent="0.2">
      <c r="A294" s="5">
        <v>39658</v>
      </c>
      <c r="B294" s="17">
        <v>2012</v>
      </c>
      <c r="C294" s="18" t="str">
        <f t="shared" si="14"/>
        <v>Elkhorn Slough_39658_Outfall_0.4688</v>
      </c>
      <c r="D294" s="4" t="s">
        <v>45</v>
      </c>
      <c r="E294" s="6" t="s">
        <v>17</v>
      </c>
      <c r="F294" s="70" t="s">
        <v>288</v>
      </c>
      <c r="G294" s="70">
        <v>1</v>
      </c>
      <c r="H294" s="82" t="s">
        <v>278</v>
      </c>
      <c r="I294" s="6">
        <v>59</v>
      </c>
      <c r="J294" s="70" t="s">
        <v>289</v>
      </c>
      <c r="K294" s="2">
        <f>(VLOOKUP(H294,'functions and szcl estimates'!$A$14:$I$23,4, FALSE))*(('raw data'!I372)^(VLOOKUP('raw data'!H372,'functions and szcl estimates'!$A$14:$I$23, 7, FALSE)))</f>
        <v>35.084073367331875</v>
      </c>
      <c r="L294" s="12">
        <v>0.46875</v>
      </c>
      <c r="M294" s="8" t="s">
        <v>35</v>
      </c>
      <c r="N294" s="8">
        <f t="shared" si="15"/>
        <v>-0.25347222222222221</v>
      </c>
      <c r="O294" s="14">
        <v>6</v>
      </c>
      <c r="S294" t="s">
        <v>148</v>
      </c>
    </row>
    <row r="295" spans="1:19" x14ac:dyDescent="0.2">
      <c r="A295" s="5">
        <v>39659</v>
      </c>
      <c r="B295" s="17">
        <v>2012</v>
      </c>
      <c r="C295" s="18" t="str">
        <f t="shared" si="14"/>
        <v>Elkhorn Slough_39659_Crop Circles_0.6875</v>
      </c>
      <c r="D295" s="4" t="s">
        <v>45</v>
      </c>
      <c r="E295" s="6" t="s">
        <v>277</v>
      </c>
      <c r="F295" s="70" t="s">
        <v>288</v>
      </c>
      <c r="G295" s="70">
        <v>1</v>
      </c>
      <c r="H295" s="82" t="s">
        <v>278</v>
      </c>
      <c r="I295" s="6">
        <v>35</v>
      </c>
      <c r="J295" s="70" t="s">
        <v>289</v>
      </c>
      <c r="K295" s="2">
        <f>(VLOOKUP(H295,'functions and szcl estimates'!$A$14:$I$23,4, FALSE))*(('raw data'!I404)^(VLOOKUP('raw data'!H404,'functions and szcl estimates'!$A$14:$I$23, 7, FALSE)))</f>
        <v>40.928960371077068</v>
      </c>
      <c r="L295" s="12">
        <v>0.6875</v>
      </c>
      <c r="M295" s="8" t="s">
        <v>40</v>
      </c>
      <c r="N295" s="8">
        <f t="shared" si="15"/>
        <v>0.2673611111111111</v>
      </c>
      <c r="O295" s="14">
        <v>17.75</v>
      </c>
      <c r="P295">
        <v>3</v>
      </c>
      <c r="Q295" s="65">
        <f>SUM(K295:K297)</f>
        <v>153.50832312696895</v>
      </c>
      <c r="R295" s="15">
        <f>P295/O295</f>
        <v>0.16901408450704225</v>
      </c>
      <c r="S295" t="s">
        <v>148</v>
      </c>
    </row>
    <row r="296" spans="1:19" x14ac:dyDescent="0.2">
      <c r="A296" s="5">
        <v>39659</v>
      </c>
      <c r="B296" s="17">
        <v>2012</v>
      </c>
      <c r="C296" s="18" t="str">
        <f t="shared" si="14"/>
        <v>Elkhorn Slough_39659_Crop Circles_0.6875</v>
      </c>
      <c r="D296" s="4" t="s">
        <v>45</v>
      </c>
      <c r="E296" s="6" t="s">
        <v>277</v>
      </c>
      <c r="F296" s="70" t="s">
        <v>288</v>
      </c>
      <c r="G296" s="70">
        <v>1</v>
      </c>
      <c r="H296" s="82" t="s">
        <v>278</v>
      </c>
      <c r="I296" s="6">
        <v>50</v>
      </c>
      <c r="J296" s="70" t="s">
        <v>289</v>
      </c>
      <c r="K296" s="2">
        <f>(VLOOKUP(H296,'functions and szcl estimates'!$A$14:$I$23,4, FALSE))*(('raw data'!I405)^(VLOOKUP('raw data'!H405,'functions and szcl estimates'!$A$14:$I$23, 7, FALSE)))</f>
        <v>65.312158561153709</v>
      </c>
      <c r="L296" s="12">
        <v>0.6875</v>
      </c>
      <c r="M296" s="8" t="s">
        <v>40</v>
      </c>
      <c r="N296" s="8">
        <f t="shared" si="15"/>
        <v>0.2673611111111111</v>
      </c>
      <c r="O296" s="14">
        <v>17.75</v>
      </c>
      <c r="S296" t="s">
        <v>148</v>
      </c>
    </row>
    <row r="297" spans="1:19" x14ac:dyDescent="0.2">
      <c r="A297" s="5">
        <v>39659</v>
      </c>
      <c r="B297" s="17">
        <v>2012</v>
      </c>
      <c r="C297" s="18" t="str">
        <f t="shared" si="14"/>
        <v>Elkhorn Slough_39659_Crop Circles_0.6875</v>
      </c>
      <c r="D297" s="4" t="s">
        <v>45</v>
      </c>
      <c r="E297" s="6" t="s">
        <v>277</v>
      </c>
      <c r="F297" s="70" t="s">
        <v>288</v>
      </c>
      <c r="G297" s="70">
        <v>1</v>
      </c>
      <c r="H297" s="82" t="s">
        <v>278</v>
      </c>
      <c r="I297" s="6">
        <v>51</v>
      </c>
      <c r="J297" s="70" t="s">
        <v>289</v>
      </c>
      <c r="K297" s="2">
        <f>(VLOOKUP(H297,'functions and szcl estimates'!$A$14:$I$23,4, FALSE))*(('raw data'!I406)^(VLOOKUP('raw data'!H406,'functions and szcl estimates'!$A$14:$I$23, 7, FALSE)))</f>
        <v>47.267204194738184</v>
      </c>
      <c r="L297" s="12">
        <v>0.6875</v>
      </c>
      <c r="M297" s="8" t="s">
        <v>40</v>
      </c>
      <c r="N297" s="8">
        <f t="shared" si="15"/>
        <v>0.2673611111111111</v>
      </c>
      <c r="O297" s="14">
        <v>17.75</v>
      </c>
      <c r="S297" t="s">
        <v>148</v>
      </c>
    </row>
    <row r="298" spans="1:19" x14ac:dyDescent="0.2">
      <c r="A298" s="5">
        <v>39659</v>
      </c>
      <c r="B298" s="17">
        <v>2012</v>
      </c>
      <c r="C298" s="18" t="str">
        <f t="shared" si="14"/>
        <v>Elkhorn Slough_39659_Area 4_0.4306</v>
      </c>
      <c r="D298" s="4" t="s">
        <v>45</v>
      </c>
      <c r="E298" s="6" t="s">
        <v>3</v>
      </c>
      <c r="F298" s="70" t="s">
        <v>288</v>
      </c>
      <c r="G298" s="70">
        <v>1</v>
      </c>
      <c r="H298" s="82" t="s">
        <v>278</v>
      </c>
      <c r="I298" s="6">
        <v>44</v>
      </c>
      <c r="J298" s="70" t="s">
        <v>289</v>
      </c>
      <c r="K298" s="2">
        <f>(VLOOKUP(H298,'functions and szcl estimates'!$A$14:$I$23,4, FALSE))*(('raw data'!I410)^(VLOOKUP('raw data'!H410,'functions and szcl estimates'!$A$14:$I$23, 7, FALSE)))</f>
        <v>36.499403266452177</v>
      </c>
      <c r="L298" s="12">
        <v>0.43055555555555602</v>
      </c>
      <c r="M298" s="8" t="s">
        <v>41</v>
      </c>
      <c r="N298" s="8">
        <f t="shared" si="15"/>
        <v>-4.5138888888888395E-2</v>
      </c>
      <c r="O298" s="14">
        <v>25</v>
      </c>
      <c r="S298" t="s">
        <v>148</v>
      </c>
    </row>
    <row r="299" spans="1:19" x14ac:dyDescent="0.2">
      <c r="A299" s="5">
        <v>39659</v>
      </c>
      <c r="B299" s="17">
        <v>2012</v>
      </c>
      <c r="C299" s="18" t="str">
        <f t="shared" si="14"/>
        <v>Elkhorn Slough_39659_Area 4_0.4306</v>
      </c>
      <c r="D299" s="4" t="s">
        <v>45</v>
      </c>
      <c r="E299" s="6" t="s">
        <v>3</v>
      </c>
      <c r="F299" s="70" t="s">
        <v>288</v>
      </c>
      <c r="G299" s="70">
        <v>1</v>
      </c>
      <c r="H299" s="82" t="s">
        <v>278</v>
      </c>
      <c r="I299" s="6">
        <v>45</v>
      </c>
      <c r="J299" s="70" t="s">
        <v>289</v>
      </c>
      <c r="K299" s="2">
        <f>(VLOOKUP(H299,'functions and szcl estimates'!$A$14:$I$23,4, FALSE))*(('raw data'!I411)^(VLOOKUP('raw data'!H411,'functions and szcl estimates'!$A$14:$I$23, 7, FALSE)))</f>
        <v>540.26768037375734</v>
      </c>
      <c r="L299" s="12">
        <v>0.43055555555555602</v>
      </c>
      <c r="M299" s="8" t="s">
        <v>41</v>
      </c>
      <c r="N299" s="8">
        <f t="shared" si="15"/>
        <v>-4.5138888888888395E-2</v>
      </c>
      <c r="O299" s="14">
        <v>25</v>
      </c>
      <c r="S299" t="s">
        <v>148</v>
      </c>
    </row>
    <row r="300" spans="1:19" x14ac:dyDescent="0.2">
      <c r="A300" s="5">
        <v>39659</v>
      </c>
      <c r="B300" s="17">
        <v>2012</v>
      </c>
      <c r="C300" s="18" t="str">
        <f t="shared" si="14"/>
        <v>Elkhorn Slough_39659_Area 4_0.4306</v>
      </c>
      <c r="D300" s="4" t="s">
        <v>45</v>
      </c>
      <c r="E300" s="6" t="s">
        <v>3</v>
      </c>
      <c r="F300" s="70" t="s">
        <v>288</v>
      </c>
      <c r="G300" s="70">
        <v>1</v>
      </c>
      <c r="H300" s="82" t="s">
        <v>278</v>
      </c>
      <c r="I300" s="6">
        <v>46</v>
      </c>
      <c r="J300" s="70" t="s">
        <v>289</v>
      </c>
      <c r="K300" s="2">
        <f>(VLOOKUP(H300,'functions and szcl estimates'!$A$14:$I$23,4, FALSE))*(('raw data'!I412)^(VLOOKUP('raw data'!H412,'functions and szcl estimates'!$A$14:$I$23, 7, FALSE)))</f>
        <v>504.0586287460448</v>
      </c>
      <c r="L300" s="12">
        <v>0.43055555555555602</v>
      </c>
      <c r="M300" s="8" t="s">
        <v>41</v>
      </c>
      <c r="N300" s="8">
        <f t="shared" si="15"/>
        <v>-4.5138888888888395E-2</v>
      </c>
      <c r="O300" s="14">
        <v>25</v>
      </c>
      <c r="S300" t="s">
        <v>148</v>
      </c>
    </row>
    <row r="301" spans="1:19" x14ac:dyDescent="0.2">
      <c r="A301" s="5">
        <v>39659</v>
      </c>
      <c r="B301" s="17">
        <v>2012</v>
      </c>
      <c r="C301" s="18" t="str">
        <f t="shared" si="14"/>
        <v>Elkhorn Slough_39659_Area 4_0.4306</v>
      </c>
      <c r="D301" s="4" t="s">
        <v>45</v>
      </c>
      <c r="E301" s="6" t="s">
        <v>3</v>
      </c>
      <c r="F301" s="70" t="s">
        <v>288</v>
      </c>
      <c r="G301" s="70">
        <v>1</v>
      </c>
      <c r="H301" s="82" t="s">
        <v>278</v>
      </c>
      <c r="I301" s="6">
        <v>46</v>
      </c>
      <c r="J301" s="70" t="s">
        <v>289</v>
      </c>
      <c r="K301" s="2">
        <f>(VLOOKUP(H301,'functions and szcl estimates'!$A$14:$I$23,4, FALSE))*(('raw data'!I413)^(VLOOKUP('raw data'!H413,'functions and szcl estimates'!$A$14:$I$23, 7, FALSE)))</f>
        <v>185.71539205199562</v>
      </c>
      <c r="L301" s="12">
        <v>0.43055555555555602</v>
      </c>
      <c r="M301" s="8" t="s">
        <v>41</v>
      </c>
      <c r="N301" s="8">
        <f t="shared" si="15"/>
        <v>-4.5138888888888395E-2</v>
      </c>
      <c r="O301" s="14">
        <v>25</v>
      </c>
      <c r="S301" t="s">
        <v>148</v>
      </c>
    </row>
    <row r="302" spans="1:19" x14ac:dyDescent="0.2">
      <c r="A302" s="5">
        <v>39659</v>
      </c>
      <c r="B302" s="17">
        <v>2012</v>
      </c>
      <c r="C302" s="18" t="str">
        <f t="shared" si="14"/>
        <v>Elkhorn Slough_39659_Area 4_0.4306</v>
      </c>
      <c r="D302" s="4" t="s">
        <v>45</v>
      </c>
      <c r="E302" s="6" t="s">
        <v>3</v>
      </c>
      <c r="F302" s="70" t="s">
        <v>288</v>
      </c>
      <c r="G302" s="70">
        <v>1</v>
      </c>
      <c r="H302" s="82" t="s">
        <v>278</v>
      </c>
      <c r="I302" s="6">
        <v>47</v>
      </c>
      <c r="J302" s="70" t="s">
        <v>289</v>
      </c>
      <c r="K302" s="2">
        <f>(VLOOKUP(H302,'functions and szcl estimates'!$A$14:$I$23,4, FALSE))*(('raw data'!I414)^(VLOOKUP('raw data'!H414,'functions and szcl estimates'!$A$14:$I$23, 7, FALSE)))</f>
        <v>250.15155250700519</v>
      </c>
      <c r="L302" s="12">
        <v>0.43055555555555602</v>
      </c>
      <c r="M302" s="8" t="s">
        <v>41</v>
      </c>
      <c r="N302" s="8">
        <f t="shared" si="15"/>
        <v>-4.5138888888888395E-2</v>
      </c>
      <c r="O302" s="14">
        <v>25</v>
      </c>
      <c r="S302" t="s">
        <v>148</v>
      </c>
    </row>
    <row r="303" spans="1:19" x14ac:dyDescent="0.2">
      <c r="A303" s="5">
        <v>39659</v>
      </c>
      <c r="B303" s="17">
        <v>2012</v>
      </c>
      <c r="C303" s="18" t="str">
        <f t="shared" si="14"/>
        <v>Elkhorn Slough_39659_Area 4_0.4306</v>
      </c>
      <c r="D303" s="4" t="s">
        <v>45</v>
      </c>
      <c r="E303" s="6" t="s">
        <v>3</v>
      </c>
      <c r="F303" s="70" t="s">
        <v>288</v>
      </c>
      <c r="G303" s="70">
        <v>1</v>
      </c>
      <c r="H303" s="82" t="s">
        <v>278</v>
      </c>
      <c r="I303" s="6">
        <v>47</v>
      </c>
      <c r="J303" s="70" t="s">
        <v>289</v>
      </c>
      <c r="K303" s="2">
        <f>(VLOOKUP(H303,'functions and szcl estimates'!$A$14:$I$23,4, FALSE))*(('raw data'!I415)^(VLOOKUP('raw data'!H415,'functions and szcl estimates'!$A$14:$I$23, 7, FALSE)))</f>
        <v>1041.743016622702</v>
      </c>
      <c r="L303" s="12">
        <v>0.43055555555555602</v>
      </c>
      <c r="M303" s="8" t="s">
        <v>41</v>
      </c>
      <c r="N303" s="8">
        <f t="shared" si="15"/>
        <v>-4.5138888888888395E-2</v>
      </c>
      <c r="O303" s="14">
        <v>25</v>
      </c>
      <c r="S303" t="s">
        <v>148</v>
      </c>
    </row>
    <row r="304" spans="1:19" x14ac:dyDescent="0.2">
      <c r="A304" s="5">
        <v>39659</v>
      </c>
      <c r="B304" s="17">
        <v>2012</v>
      </c>
      <c r="C304" s="18" t="str">
        <f t="shared" si="14"/>
        <v>Elkhorn Slough_39659_Area 4_0.4306</v>
      </c>
      <c r="D304" s="4" t="s">
        <v>45</v>
      </c>
      <c r="E304" s="6" t="s">
        <v>3</v>
      </c>
      <c r="F304" s="70" t="s">
        <v>288</v>
      </c>
      <c r="G304" s="70">
        <v>1</v>
      </c>
      <c r="H304" s="82" t="s">
        <v>278</v>
      </c>
      <c r="I304" s="6">
        <v>47</v>
      </c>
      <c r="J304" s="70" t="s">
        <v>289</v>
      </c>
      <c r="K304" s="2">
        <f>(VLOOKUP(H304,'functions and szcl estimates'!$A$14:$I$23,4, FALSE))*(('raw data'!I416)^(VLOOKUP('raw data'!H416,'functions and szcl estimates'!$A$14:$I$23, 7, FALSE)))</f>
        <v>335.48403615557237</v>
      </c>
      <c r="L304" s="12">
        <v>0.43055555555555602</v>
      </c>
      <c r="M304" s="8" t="s">
        <v>41</v>
      </c>
      <c r="N304" s="8">
        <f t="shared" si="15"/>
        <v>-4.5138888888888395E-2</v>
      </c>
      <c r="O304" s="14">
        <v>25</v>
      </c>
      <c r="S304" t="s">
        <v>148</v>
      </c>
    </row>
    <row r="305" spans="1:19" x14ac:dyDescent="0.2">
      <c r="A305" s="5">
        <v>39659</v>
      </c>
      <c r="B305" s="17">
        <v>2012</v>
      </c>
      <c r="C305" s="18" t="str">
        <f t="shared" si="14"/>
        <v>Elkhorn Slough_39659_Area 4_0.4306</v>
      </c>
      <c r="D305" s="4" t="s">
        <v>45</v>
      </c>
      <c r="E305" s="6" t="s">
        <v>3</v>
      </c>
      <c r="F305" s="70" t="s">
        <v>288</v>
      </c>
      <c r="G305" s="70">
        <v>1</v>
      </c>
      <c r="H305" s="82" t="s">
        <v>278</v>
      </c>
      <c r="I305" s="6">
        <v>47</v>
      </c>
      <c r="J305" s="70" t="s">
        <v>289</v>
      </c>
      <c r="K305" s="2">
        <f>(VLOOKUP(H305,'functions and szcl estimates'!$A$14:$I$23,4, FALSE))*(('raw data'!I417)^(VLOOKUP('raw data'!H417,'functions and szcl estimates'!$A$14:$I$23, 7, FALSE)))</f>
        <v>127.05396582633846</v>
      </c>
      <c r="L305" s="12">
        <v>0.43055555555555602</v>
      </c>
      <c r="M305" s="8" t="s">
        <v>41</v>
      </c>
      <c r="N305" s="8">
        <f t="shared" si="15"/>
        <v>-4.5138888888888395E-2</v>
      </c>
      <c r="O305" s="14">
        <v>25</v>
      </c>
      <c r="S305" t="s">
        <v>148</v>
      </c>
    </row>
    <row r="306" spans="1:19" x14ac:dyDescent="0.2">
      <c r="A306" s="5">
        <v>39659</v>
      </c>
      <c r="B306" s="17">
        <v>2012</v>
      </c>
      <c r="C306" s="18" t="str">
        <f t="shared" si="14"/>
        <v>Elkhorn Slough_39659_Area 4_0.4306</v>
      </c>
      <c r="D306" s="4" t="s">
        <v>45</v>
      </c>
      <c r="E306" s="6" t="s">
        <v>3</v>
      </c>
      <c r="F306" s="70" t="s">
        <v>288</v>
      </c>
      <c r="G306" s="70">
        <v>1</v>
      </c>
      <c r="H306" s="82" t="s">
        <v>278</v>
      </c>
      <c r="I306" s="6">
        <v>48</v>
      </c>
      <c r="J306" s="70" t="s">
        <v>289</v>
      </c>
      <c r="K306" s="2">
        <f>(VLOOKUP(H306,'functions and szcl estimates'!$A$14:$I$23,4, FALSE))*(('raw data'!I418)^(VLOOKUP('raw data'!H418,'functions and szcl estimates'!$A$14:$I$23, 7, FALSE)))</f>
        <v>199.05625725174448</v>
      </c>
      <c r="L306" s="12">
        <v>0.43055555555555602</v>
      </c>
      <c r="M306" s="8" t="s">
        <v>41</v>
      </c>
      <c r="N306" s="8">
        <f t="shared" si="15"/>
        <v>-4.5138888888888395E-2</v>
      </c>
      <c r="O306" s="14">
        <v>25</v>
      </c>
      <c r="S306" t="s">
        <v>148</v>
      </c>
    </row>
    <row r="307" spans="1:19" x14ac:dyDescent="0.2">
      <c r="A307" s="5">
        <v>39659</v>
      </c>
      <c r="B307" s="17">
        <v>2012</v>
      </c>
      <c r="C307" s="18" t="str">
        <f t="shared" si="14"/>
        <v>Elkhorn Slough_39659_Area 4_0.4306</v>
      </c>
      <c r="D307" s="4" t="s">
        <v>45</v>
      </c>
      <c r="E307" s="6" t="s">
        <v>3</v>
      </c>
      <c r="F307" s="70" t="s">
        <v>288</v>
      </c>
      <c r="G307" s="70">
        <v>1</v>
      </c>
      <c r="H307" s="82" t="s">
        <v>278</v>
      </c>
      <c r="I307" s="6">
        <v>50</v>
      </c>
      <c r="J307" s="70" t="s">
        <v>289</v>
      </c>
      <c r="K307" s="2">
        <f>(VLOOKUP(H307,'functions and szcl estimates'!$A$14:$I$23,4, FALSE))*(('raw data'!I419)^(VLOOKUP('raw data'!H419,'functions and szcl estimates'!$A$14:$I$23, 7, FALSE)))</f>
        <v>234.84394540243679</v>
      </c>
      <c r="L307" s="12">
        <v>0.43055555555555602</v>
      </c>
      <c r="M307" s="8" t="s">
        <v>41</v>
      </c>
      <c r="N307" s="8">
        <f t="shared" si="15"/>
        <v>-4.5138888888888395E-2</v>
      </c>
      <c r="O307" s="14">
        <v>25</v>
      </c>
      <c r="S307" t="s">
        <v>148</v>
      </c>
    </row>
    <row r="308" spans="1:19" x14ac:dyDescent="0.2">
      <c r="A308" s="5">
        <v>39659</v>
      </c>
      <c r="B308" s="17">
        <v>2012</v>
      </c>
      <c r="C308" s="18" t="str">
        <f t="shared" si="14"/>
        <v>Elkhorn Slough_39659_Area 4_0.4306</v>
      </c>
      <c r="D308" s="4" t="s">
        <v>45</v>
      </c>
      <c r="E308" s="6" t="s">
        <v>3</v>
      </c>
      <c r="F308" s="70" t="s">
        <v>288</v>
      </c>
      <c r="G308" s="70">
        <v>1</v>
      </c>
      <c r="H308" s="82" t="s">
        <v>278</v>
      </c>
      <c r="I308" s="6">
        <v>51</v>
      </c>
      <c r="J308" s="70" t="s">
        <v>289</v>
      </c>
      <c r="K308" s="2">
        <f>(VLOOKUP(H308,'functions and szcl estimates'!$A$14:$I$23,4, FALSE))*(('raw data'!I420)^(VLOOKUP('raw data'!H420,'functions and szcl estimates'!$A$14:$I$23, 7, FALSE)))</f>
        <v>603.96197711642844</v>
      </c>
      <c r="L308" s="12">
        <v>0.43055555555555602</v>
      </c>
      <c r="M308" s="8" t="s">
        <v>41</v>
      </c>
      <c r="N308" s="8">
        <f t="shared" si="15"/>
        <v>-4.5138888888888395E-2</v>
      </c>
      <c r="O308" s="14">
        <v>25</v>
      </c>
      <c r="S308" t="s">
        <v>148</v>
      </c>
    </row>
    <row r="309" spans="1:19" x14ac:dyDescent="0.2">
      <c r="A309" s="5">
        <v>39659</v>
      </c>
      <c r="B309" s="17">
        <v>2012</v>
      </c>
      <c r="C309" s="18" t="str">
        <f t="shared" si="14"/>
        <v>Elkhorn Slough_39659_Area 4_0.4306</v>
      </c>
      <c r="D309" s="4" t="s">
        <v>45</v>
      </c>
      <c r="E309" s="6" t="s">
        <v>3</v>
      </c>
      <c r="F309" s="70" t="s">
        <v>288</v>
      </c>
      <c r="G309" s="70">
        <v>1</v>
      </c>
      <c r="H309" s="82" t="s">
        <v>278</v>
      </c>
      <c r="I309" s="6">
        <v>51</v>
      </c>
      <c r="J309" s="70" t="s">
        <v>289</v>
      </c>
      <c r="K309" s="2">
        <f>(VLOOKUP(H309,'functions and szcl estimates'!$A$14:$I$23,4, FALSE))*(('raw data'!I421)^(VLOOKUP('raw data'!H421,'functions and szcl estimates'!$A$14:$I$23, 7, FALSE)))</f>
        <v>630.62724208908276</v>
      </c>
      <c r="L309" s="12">
        <v>0.43055555555555602</v>
      </c>
      <c r="M309" s="8" t="s">
        <v>41</v>
      </c>
      <c r="N309" s="8">
        <f t="shared" si="15"/>
        <v>-4.5138888888888395E-2</v>
      </c>
      <c r="O309" s="14">
        <v>25</v>
      </c>
      <c r="S309" t="s">
        <v>148</v>
      </c>
    </row>
    <row r="310" spans="1:19" x14ac:dyDescent="0.2">
      <c r="A310" s="5">
        <v>39659</v>
      </c>
      <c r="B310" s="17">
        <v>2012</v>
      </c>
      <c r="C310" s="18" t="str">
        <f t="shared" si="14"/>
        <v>Elkhorn Slough_39659_Area 4_0.4306</v>
      </c>
      <c r="D310" s="4" t="s">
        <v>45</v>
      </c>
      <c r="E310" s="6" t="s">
        <v>3</v>
      </c>
      <c r="F310" s="70" t="s">
        <v>288</v>
      </c>
      <c r="G310" s="70">
        <v>1</v>
      </c>
      <c r="H310" s="82" t="s">
        <v>278</v>
      </c>
      <c r="I310" s="6">
        <v>52</v>
      </c>
      <c r="J310" s="70" t="s">
        <v>289</v>
      </c>
      <c r="K310" s="2">
        <f>(VLOOKUP(H310,'functions and szcl estimates'!$A$14:$I$23,4, FALSE))*(('raw data'!I422)^(VLOOKUP('raw data'!H422,'functions and szcl estimates'!$A$14:$I$23, 7, FALSE)))</f>
        <v>308.31928582440258</v>
      </c>
      <c r="L310" s="12">
        <v>0.43055555555555602</v>
      </c>
      <c r="M310" s="8" t="s">
        <v>41</v>
      </c>
      <c r="N310" s="8">
        <f t="shared" si="15"/>
        <v>-4.5138888888888395E-2</v>
      </c>
      <c r="O310" s="14">
        <v>25</v>
      </c>
      <c r="S310" t="s">
        <v>148</v>
      </c>
    </row>
    <row r="311" spans="1:19" x14ac:dyDescent="0.2">
      <c r="A311" s="5">
        <v>39659</v>
      </c>
      <c r="B311" s="17">
        <v>2012</v>
      </c>
      <c r="C311" s="18" t="str">
        <f t="shared" si="14"/>
        <v>Elkhorn Slough_39659_Area 4_0.4306</v>
      </c>
      <c r="D311" s="4" t="s">
        <v>45</v>
      </c>
      <c r="E311" s="6" t="s">
        <v>3</v>
      </c>
      <c r="F311" s="70" t="s">
        <v>288</v>
      </c>
      <c r="G311" s="70">
        <v>1</v>
      </c>
      <c r="H311" s="82" t="s">
        <v>278</v>
      </c>
      <c r="I311" s="6">
        <v>53</v>
      </c>
      <c r="J311" s="70" t="s">
        <v>289</v>
      </c>
      <c r="K311" s="2">
        <f>(VLOOKUP(H311,'functions and szcl estimates'!$A$14:$I$23,4, FALSE))*(('raw data'!I423)^(VLOOKUP('raw data'!H423,'functions and szcl estimates'!$A$14:$I$23, 7, FALSE)))</f>
        <v>290.9614872347974</v>
      </c>
      <c r="L311" s="12">
        <v>0.43055555555555602</v>
      </c>
      <c r="M311" s="8" t="s">
        <v>41</v>
      </c>
      <c r="N311" s="8">
        <f t="shared" si="15"/>
        <v>-4.5138888888888395E-2</v>
      </c>
      <c r="O311" s="14">
        <v>25</v>
      </c>
      <c r="S311" t="s">
        <v>148</v>
      </c>
    </row>
    <row r="312" spans="1:19" x14ac:dyDescent="0.2">
      <c r="A312" s="5">
        <v>39659</v>
      </c>
      <c r="B312" s="17">
        <v>2012</v>
      </c>
      <c r="C312" s="18" t="str">
        <f t="shared" si="14"/>
        <v>Elkhorn Slough_39659_Area 4_0.4306</v>
      </c>
      <c r="D312" s="4" t="s">
        <v>45</v>
      </c>
      <c r="E312" s="6" t="s">
        <v>3</v>
      </c>
      <c r="F312" s="70" t="s">
        <v>288</v>
      </c>
      <c r="G312" s="70">
        <v>1</v>
      </c>
      <c r="H312" s="82" t="s">
        <v>278</v>
      </c>
      <c r="I312" s="6">
        <v>53</v>
      </c>
      <c r="J312" s="70" t="s">
        <v>289</v>
      </c>
      <c r="K312" s="2">
        <f>(VLOOKUP(H312,'functions and szcl estimates'!$A$14:$I$23,4, FALSE))*(('raw data'!I424)^(VLOOKUP('raw data'!H424,'functions and szcl estimates'!$A$14:$I$23, 7, FALSE)))</f>
        <v>172.9205351397994</v>
      </c>
      <c r="L312" s="12">
        <v>0.43055555555555602</v>
      </c>
      <c r="M312" s="8" t="s">
        <v>41</v>
      </c>
      <c r="N312" s="8">
        <f t="shared" si="15"/>
        <v>-4.5138888888888395E-2</v>
      </c>
      <c r="O312" s="14">
        <v>25</v>
      </c>
      <c r="S312" t="s">
        <v>148</v>
      </c>
    </row>
    <row r="313" spans="1:19" x14ac:dyDescent="0.2">
      <c r="A313" s="5">
        <v>39659</v>
      </c>
      <c r="B313" s="17">
        <v>2012</v>
      </c>
      <c r="C313" s="18" t="str">
        <f t="shared" si="14"/>
        <v>Elkhorn Slough_39659_Area 4_0.4306</v>
      </c>
      <c r="D313" s="4" t="s">
        <v>45</v>
      </c>
      <c r="E313" s="6" t="s">
        <v>3</v>
      </c>
      <c r="F313" s="70" t="s">
        <v>288</v>
      </c>
      <c r="G313" s="70">
        <v>1</v>
      </c>
      <c r="H313" s="82" t="s">
        <v>278</v>
      </c>
      <c r="I313" s="6">
        <v>54</v>
      </c>
      <c r="J313" s="70" t="s">
        <v>289</v>
      </c>
      <c r="K313" s="2">
        <f>(VLOOKUP(H313,'functions and szcl estimates'!$A$14:$I$23,4, FALSE))*(('raw data'!I425)^(VLOOKUP('raw data'!H425,'functions and szcl estimates'!$A$14:$I$23, 7, FALSE)))</f>
        <v>160.66441388622138</v>
      </c>
      <c r="L313" s="12">
        <v>0.43055555555555602</v>
      </c>
      <c r="M313" s="8" t="s">
        <v>41</v>
      </c>
      <c r="N313" s="8">
        <f t="shared" si="15"/>
        <v>-4.5138888888888395E-2</v>
      </c>
      <c r="O313" s="14">
        <v>25</v>
      </c>
      <c r="S313" t="s">
        <v>148</v>
      </c>
    </row>
    <row r="314" spans="1:19" x14ac:dyDescent="0.2">
      <c r="A314" s="5">
        <v>39659</v>
      </c>
      <c r="B314" s="17">
        <v>2012</v>
      </c>
      <c r="C314" s="18" t="str">
        <f t="shared" si="14"/>
        <v>Elkhorn Slough_39659_Area 4_0.4306</v>
      </c>
      <c r="D314" s="4" t="s">
        <v>45</v>
      </c>
      <c r="E314" s="6" t="s">
        <v>3</v>
      </c>
      <c r="F314" s="70" t="s">
        <v>288</v>
      </c>
      <c r="G314" s="70">
        <v>1</v>
      </c>
      <c r="H314" s="82" t="s">
        <v>278</v>
      </c>
      <c r="I314" s="6">
        <v>55</v>
      </c>
      <c r="J314" s="70" t="s">
        <v>289</v>
      </c>
      <c r="K314" s="2">
        <f>(VLOOKUP(H314,'functions and szcl estimates'!$A$14:$I$23,4, FALSE))*(('raw data'!I426)^(VLOOKUP('raw data'!H426,'functions and szcl estimates'!$A$14:$I$23, 7, FALSE)))</f>
        <v>220.10695779641259</v>
      </c>
      <c r="L314" s="12">
        <v>0.43055555555555602</v>
      </c>
      <c r="M314" s="8" t="s">
        <v>41</v>
      </c>
      <c r="N314" s="8">
        <f t="shared" si="15"/>
        <v>-4.5138888888888395E-2</v>
      </c>
      <c r="O314" s="14">
        <v>25</v>
      </c>
      <c r="S314" t="s">
        <v>148</v>
      </c>
    </row>
    <row r="315" spans="1:19" x14ac:dyDescent="0.2">
      <c r="A315" s="5">
        <v>39659</v>
      </c>
      <c r="B315" s="17">
        <v>2012</v>
      </c>
      <c r="C315" s="18" t="str">
        <f t="shared" si="14"/>
        <v>Elkhorn Slough_39659_Area 4_0.4306</v>
      </c>
      <c r="D315" s="4" t="s">
        <v>45</v>
      </c>
      <c r="E315" s="6" t="s">
        <v>3</v>
      </c>
      <c r="F315" s="70" t="s">
        <v>288</v>
      </c>
      <c r="G315" s="70">
        <v>1</v>
      </c>
      <c r="H315" s="82" t="s">
        <v>278</v>
      </c>
      <c r="I315" s="6">
        <v>55</v>
      </c>
      <c r="J315" s="70" t="s">
        <v>289</v>
      </c>
      <c r="K315" s="2">
        <f>(VLOOKUP(H315,'functions and szcl estimates'!$A$14:$I$23,4, FALSE))*(('raw data'!I427)^(VLOOKUP('raw data'!H427,'functions and szcl estimates'!$A$14:$I$23, 7, FALSE)))</f>
        <v>199.05625725174448</v>
      </c>
      <c r="L315" s="12">
        <v>0.43055555555555602</v>
      </c>
      <c r="M315" s="8" t="s">
        <v>41</v>
      </c>
      <c r="N315" s="8">
        <f t="shared" si="15"/>
        <v>-4.5138888888888395E-2</v>
      </c>
      <c r="O315" s="14">
        <v>25</v>
      </c>
      <c r="S315" t="s">
        <v>148</v>
      </c>
    </row>
    <row r="316" spans="1:19" x14ac:dyDescent="0.2">
      <c r="A316" s="5">
        <v>39659</v>
      </c>
      <c r="B316" s="17">
        <v>2012</v>
      </c>
      <c r="C316" s="18" t="str">
        <f t="shared" si="14"/>
        <v>Elkhorn Slough_39659_Area 4_0.4306</v>
      </c>
      <c r="D316" s="4" t="s">
        <v>45</v>
      </c>
      <c r="E316" s="6" t="s">
        <v>3</v>
      </c>
      <c r="F316" s="70" t="s">
        <v>288</v>
      </c>
      <c r="G316" s="70">
        <v>1</v>
      </c>
      <c r="H316" s="82" t="s">
        <v>278</v>
      </c>
      <c r="I316" s="6">
        <v>55</v>
      </c>
      <c r="J316" s="70" t="s">
        <v>289</v>
      </c>
      <c r="K316" s="2">
        <f>(VLOOKUP(H316,'functions and szcl estimates'!$A$14:$I$23,4, FALSE))*(('raw data'!I428)^(VLOOKUP('raw data'!H428,'functions and szcl estimates'!$A$14:$I$23, 7, FALSE)))</f>
        <v>154.736074883519</v>
      </c>
      <c r="L316" s="12">
        <v>0.43055555555555602</v>
      </c>
      <c r="M316" s="8" t="s">
        <v>41</v>
      </c>
      <c r="N316" s="8">
        <f t="shared" si="15"/>
        <v>-4.5138888888888395E-2</v>
      </c>
      <c r="O316" s="14">
        <v>25</v>
      </c>
      <c r="S316" t="s">
        <v>148</v>
      </c>
    </row>
    <row r="317" spans="1:19" x14ac:dyDescent="0.2">
      <c r="A317" s="5">
        <v>39659</v>
      </c>
      <c r="B317" s="17">
        <v>2012</v>
      </c>
      <c r="C317" s="18" t="str">
        <f t="shared" si="14"/>
        <v>Elkhorn Slough_39659_Area 4_0.4306</v>
      </c>
      <c r="D317" s="4" t="s">
        <v>45</v>
      </c>
      <c r="E317" s="6" t="s">
        <v>3</v>
      </c>
      <c r="F317" s="70" t="s">
        <v>288</v>
      </c>
      <c r="G317" s="70">
        <v>1</v>
      </c>
      <c r="H317" s="82" t="s">
        <v>278</v>
      </c>
      <c r="I317" s="6">
        <v>55</v>
      </c>
      <c r="J317" s="70" t="s">
        <v>289</v>
      </c>
      <c r="K317" s="2">
        <f>(VLOOKUP(H317,'functions and szcl estimates'!$A$14:$I$23,4, FALSE))*(('raw data'!I429)^(VLOOKUP('raw data'!H429,'functions and szcl estimates'!$A$14:$I$23, 7, FALSE)))</f>
        <v>282.50576810222088</v>
      </c>
      <c r="L317" s="12">
        <v>0.43055555555555602</v>
      </c>
      <c r="M317" s="8" t="s">
        <v>41</v>
      </c>
      <c r="N317" s="8">
        <f t="shared" si="15"/>
        <v>-4.5138888888888395E-2</v>
      </c>
      <c r="O317" s="14">
        <v>25</v>
      </c>
      <c r="S317" t="s">
        <v>148</v>
      </c>
    </row>
    <row r="318" spans="1:19" x14ac:dyDescent="0.2">
      <c r="A318" s="5">
        <v>39659</v>
      </c>
      <c r="B318" s="17">
        <v>2012</v>
      </c>
      <c r="C318" s="18" t="str">
        <f t="shared" si="14"/>
        <v>Elkhorn Slough_39659_Area 4_0.4306</v>
      </c>
      <c r="D318" s="4" t="s">
        <v>45</v>
      </c>
      <c r="E318" s="6" t="s">
        <v>3</v>
      </c>
      <c r="F318" s="70" t="s">
        <v>288</v>
      </c>
      <c r="G318" s="70">
        <v>1</v>
      </c>
      <c r="H318" s="82" t="s">
        <v>278</v>
      </c>
      <c r="I318" s="6">
        <v>57</v>
      </c>
      <c r="J318" s="70" t="s">
        <v>289</v>
      </c>
      <c r="K318" s="2">
        <f>(VLOOKUP(H318,'functions and szcl estimates'!$A$14:$I$23,4, FALSE))*(('raw data'!I430)^(VLOOKUP('raw data'!H430,'functions and szcl estimates'!$A$14:$I$23, 7, FALSE)))</f>
        <v>404.24387953972592</v>
      </c>
      <c r="L318" s="12">
        <v>0.43055555555555602</v>
      </c>
      <c r="M318" s="8" t="s">
        <v>41</v>
      </c>
      <c r="N318" s="8">
        <f t="shared" ref="N318:N349" si="16">L318-M318</f>
        <v>-4.5138888888888395E-2</v>
      </c>
      <c r="O318" s="14">
        <v>25</v>
      </c>
      <c r="S318" t="s">
        <v>148</v>
      </c>
    </row>
    <row r="319" spans="1:19" x14ac:dyDescent="0.2">
      <c r="A319" s="5">
        <v>39659</v>
      </c>
      <c r="B319" s="17">
        <v>2012</v>
      </c>
      <c r="C319" s="18" t="str">
        <f t="shared" si="14"/>
        <v>Elkhorn Slough_39659_Area 4_0.4306</v>
      </c>
      <c r="D319" s="4" t="s">
        <v>45</v>
      </c>
      <c r="E319" s="6" t="s">
        <v>3</v>
      </c>
      <c r="F319" s="70" t="s">
        <v>288</v>
      </c>
      <c r="G319" s="70">
        <v>1</v>
      </c>
      <c r="H319" s="82" t="s">
        <v>278</v>
      </c>
      <c r="I319" s="6">
        <v>57</v>
      </c>
      <c r="J319" s="70" t="s">
        <v>289</v>
      </c>
      <c r="K319" s="2">
        <f>(VLOOKUP(H319,'functions and szcl estimates'!$A$14:$I$23,4, FALSE))*(('raw data'!I431)^(VLOOKUP('raw data'!H431,'functions and szcl estimates'!$A$14:$I$23, 7, FALSE)))</f>
        <v>326.27764065313386</v>
      </c>
      <c r="L319" s="12">
        <v>0.43055555555555602</v>
      </c>
      <c r="M319" s="8" t="s">
        <v>41</v>
      </c>
      <c r="N319" s="8">
        <f t="shared" si="16"/>
        <v>-4.5138888888888395E-2</v>
      </c>
      <c r="O319" s="14">
        <v>25</v>
      </c>
      <c r="S319" t="s">
        <v>148</v>
      </c>
    </row>
    <row r="320" spans="1:19" x14ac:dyDescent="0.2">
      <c r="A320" s="5">
        <v>39659</v>
      </c>
      <c r="B320" s="17">
        <v>2012</v>
      </c>
      <c r="C320" s="18" t="str">
        <f t="shared" si="14"/>
        <v>Elkhorn Slough_39659_Area 4_0.4306</v>
      </c>
      <c r="D320" s="4" t="s">
        <v>45</v>
      </c>
      <c r="E320" s="6" t="s">
        <v>3</v>
      </c>
      <c r="F320" s="70" t="s">
        <v>288</v>
      </c>
      <c r="G320" s="70">
        <v>1</v>
      </c>
      <c r="H320" s="82" t="s">
        <v>278</v>
      </c>
      <c r="I320" s="6">
        <v>66</v>
      </c>
      <c r="J320" s="70" t="s">
        <v>289</v>
      </c>
      <c r="K320" s="2">
        <f>(VLOOKUP(H320,'functions and szcl estimates'!$A$14:$I$23,4, FALSE))*(('raw data'!I432)^(VLOOKUP('raw data'!H432,'functions and szcl estimates'!$A$14:$I$23, 7, FALSE)))</f>
        <v>205.93368521027671</v>
      </c>
      <c r="L320" s="12">
        <v>0.43055555555555602</v>
      </c>
      <c r="M320" s="8" t="s">
        <v>41</v>
      </c>
      <c r="N320" s="8">
        <f t="shared" si="16"/>
        <v>-4.5138888888888395E-2</v>
      </c>
      <c r="O320" s="14">
        <v>25</v>
      </c>
      <c r="S320" t="s">
        <v>148</v>
      </c>
    </row>
    <row r="321" spans="1:20" x14ac:dyDescent="0.2">
      <c r="A321" s="5">
        <v>39659</v>
      </c>
      <c r="B321" s="17">
        <v>2012</v>
      </c>
      <c r="C321" s="18" t="str">
        <f t="shared" si="14"/>
        <v>Elkhorn Slough_39659_Outfall_0.7222</v>
      </c>
      <c r="D321" s="4" t="s">
        <v>45</v>
      </c>
      <c r="E321" s="6" t="s">
        <v>17</v>
      </c>
      <c r="F321" s="70" t="s">
        <v>288</v>
      </c>
      <c r="G321" s="70">
        <v>1</v>
      </c>
      <c r="H321" s="82" t="s">
        <v>278</v>
      </c>
      <c r="I321" s="6">
        <v>45</v>
      </c>
      <c r="J321" s="70" t="s">
        <v>289</v>
      </c>
      <c r="K321" s="2">
        <f>(VLOOKUP(H321,'functions and szcl estimates'!$A$14:$I$23,4, FALSE))*(('raw data'!I437)^(VLOOKUP('raw data'!H437,'functions and szcl estimates'!$A$14:$I$23, 7, FALSE)))</f>
        <v>436.06662461828864</v>
      </c>
      <c r="L321" s="12">
        <v>0.72222222222222199</v>
      </c>
      <c r="M321" s="8" t="s">
        <v>136</v>
      </c>
      <c r="N321" s="8">
        <f t="shared" si="16"/>
        <v>0.20486111111111094</v>
      </c>
      <c r="O321" s="14">
        <v>19</v>
      </c>
      <c r="S321" t="s">
        <v>148</v>
      </c>
      <c r="T321" s="6" t="s">
        <v>237</v>
      </c>
    </row>
    <row r="322" spans="1:20" x14ac:dyDescent="0.2">
      <c r="A322" s="5">
        <v>39659</v>
      </c>
      <c r="B322" s="17">
        <v>2012</v>
      </c>
      <c r="C322" s="18" t="str">
        <f t="shared" si="14"/>
        <v>Elkhorn Slough_39659_Outfall_0.7222</v>
      </c>
      <c r="D322" s="4" t="s">
        <v>45</v>
      </c>
      <c r="E322" s="6" t="s">
        <v>17</v>
      </c>
      <c r="F322" s="70" t="s">
        <v>288</v>
      </c>
      <c r="G322" s="70">
        <v>1</v>
      </c>
      <c r="H322" s="82" t="s">
        <v>278</v>
      </c>
      <c r="I322" s="6">
        <v>49</v>
      </c>
      <c r="J322" s="70" t="s">
        <v>289</v>
      </c>
      <c r="K322" s="2">
        <f>(VLOOKUP(H322,'functions and szcl estimates'!$A$14:$I$23,4, FALSE))*(('raw data'!I438)^(VLOOKUP('raw data'!H438,'functions and szcl estimates'!$A$14:$I$23, 7, FALSE)))</f>
        <v>274.19774356319698</v>
      </c>
      <c r="L322" s="12">
        <v>0.72222222222222199</v>
      </c>
      <c r="M322" s="8" t="s">
        <v>136</v>
      </c>
      <c r="N322" s="8">
        <f t="shared" si="16"/>
        <v>0.20486111111111094</v>
      </c>
      <c r="O322" s="14">
        <v>19</v>
      </c>
      <c r="S322" t="s">
        <v>148</v>
      </c>
    </row>
    <row r="323" spans="1:20" x14ac:dyDescent="0.2">
      <c r="A323" s="5">
        <v>39659</v>
      </c>
      <c r="B323" s="17">
        <v>2012</v>
      </c>
      <c r="C323" s="18" t="str">
        <f t="shared" ref="C323:C386" si="17">CONCATENATE(D323,"_",A323,"_",E323,"_",ROUND(L323,4))</f>
        <v>Elkhorn Slough_39659_Outfall_0.7222</v>
      </c>
      <c r="D323" s="4" t="s">
        <v>45</v>
      </c>
      <c r="E323" s="6" t="s">
        <v>17</v>
      </c>
      <c r="F323" s="70" t="s">
        <v>288</v>
      </c>
      <c r="G323" s="70">
        <v>1</v>
      </c>
      <c r="H323" s="82" t="s">
        <v>278</v>
      </c>
      <c r="I323" s="6">
        <v>52</v>
      </c>
      <c r="J323" s="70" t="s">
        <v>289</v>
      </c>
      <c r="K323" s="2">
        <f>(VLOOKUP(H323,'functions and szcl estimates'!$A$14:$I$23,4, FALSE))*(('raw data'!I439)^(VLOOKUP('raw data'!H439,'functions and szcl estimates'!$A$14:$I$23, 7, FALSE)))</f>
        <v>242.42599377211911</v>
      </c>
      <c r="L323" s="12">
        <v>0.72222222222222199</v>
      </c>
      <c r="M323" s="8" t="s">
        <v>136</v>
      </c>
      <c r="N323" s="8">
        <f t="shared" si="16"/>
        <v>0.20486111111111094</v>
      </c>
      <c r="O323" s="14">
        <v>19</v>
      </c>
      <c r="S323" t="s">
        <v>148</v>
      </c>
    </row>
    <row r="324" spans="1:20" x14ac:dyDescent="0.2">
      <c r="A324" s="5">
        <v>39659</v>
      </c>
      <c r="B324" s="17">
        <v>2012</v>
      </c>
      <c r="C324" s="18" t="str">
        <f t="shared" si="17"/>
        <v>Elkhorn Slough_39659_Outfall_0.7222</v>
      </c>
      <c r="D324" s="4" t="s">
        <v>45</v>
      </c>
      <c r="E324" s="6" t="s">
        <v>17</v>
      </c>
      <c r="F324" s="70" t="s">
        <v>288</v>
      </c>
      <c r="G324" s="70">
        <v>1</v>
      </c>
      <c r="H324" s="82" t="s">
        <v>278</v>
      </c>
      <c r="I324" s="6">
        <v>59</v>
      </c>
      <c r="J324" s="70" t="s">
        <v>289</v>
      </c>
      <c r="K324" s="2">
        <f>(VLOOKUP(H324,'functions and szcl estimates'!$A$14:$I$23,4, FALSE))*(('raw data'!I440)^(VLOOKUP('raw data'!H440,'functions and szcl estimates'!$A$14:$I$23, 7, FALSE)))</f>
        <v>242.42599377211911</v>
      </c>
      <c r="L324" s="12">
        <v>0.72222222222222199</v>
      </c>
      <c r="M324" s="8" t="s">
        <v>136</v>
      </c>
      <c r="N324" s="8">
        <f t="shared" si="16"/>
        <v>0.20486111111111094</v>
      </c>
      <c r="O324" s="14">
        <v>19</v>
      </c>
      <c r="S324" t="s">
        <v>148</v>
      </c>
    </row>
    <row r="325" spans="1:20" x14ac:dyDescent="0.2">
      <c r="A325" s="5">
        <v>39659</v>
      </c>
      <c r="B325" s="17">
        <v>2012</v>
      </c>
      <c r="C325" s="18" t="str">
        <f t="shared" si="17"/>
        <v>Elkhorn Slough_39659_Outfall_0.7222</v>
      </c>
      <c r="D325" s="4" t="s">
        <v>45</v>
      </c>
      <c r="E325" s="6" t="s">
        <v>17</v>
      </c>
      <c r="F325" s="70" t="s">
        <v>288</v>
      </c>
      <c r="G325" s="70">
        <v>1</v>
      </c>
      <c r="H325" s="82" t="s">
        <v>278</v>
      </c>
      <c r="I325" s="6">
        <v>67</v>
      </c>
      <c r="J325" s="70" t="s">
        <v>289</v>
      </c>
      <c r="K325" s="2">
        <f>(VLOOKUP(H325,'functions and szcl estimates'!$A$14:$I$23,4, FALSE))*(('raw data'!I441)^(VLOOKUP('raw data'!H441,'functions and szcl estimates'!$A$14:$I$23, 7, FALSE)))</f>
        <v>590.88522019024435</v>
      </c>
      <c r="L325" s="12">
        <v>0.72222222222222199</v>
      </c>
      <c r="M325" s="8" t="s">
        <v>136</v>
      </c>
      <c r="N325" s="8">
        <f t="shared" si="16"/>
        <v>0.20486111111111094</v>
      </c>
      <c r="O325" s="14">
        <v>19</v>
      </c>
      <c r="S325" t="s">
        <v>148</v>
      </c>
    </row>
    <row r="326" spans="1:20" x14ac:dyDescent="0.2">
      <c r="A326" s="5">
        <v>39661</v>
      </c>
      <c r="B326" s="17">
        <v>2012</v>
      </c>
      <c r="C326" s="18" t="str">
        <f t="shared" si="17"/>
        <v>Elkhorn Slough_39661_Crop Circles_0.4201</v>
      </c>
      <c r="D326" s="4" t="s">
        <v>45</v>
      </c>
      <c r="E326" s="6" t="s">
        <v>277</v>
      </c>
      <c r="F326" s="70" t="s">
        <v>288</v>
      </c>
      <c r="G326" s="70">
        <v>1</v>
      </c>
      <c r="H326" s="82" t="s">
        <v>278</v>
      </c>
      <c r="I326" s="6">
        <v>49</v>
      </c>
      <c r="J326" s="70" t="s">
        <v>289</v>
      </c>
      <c r="K326" s="2">
        <f>(VLOOKUP(H326,'functions and szcl estimates'!$A$14:$I$23,4, FALSE))*(('raw data'!I446)^(VLOOKUP('raw data'!H446,'functions and szcl estimates'!$A$14:$I$23, 7, FALSE)))</f>
        <v>258.02146973752923</v>
      </c>
      <c r="L326" s="12">
        <v>0.4201388888888889</v>
      </c>
      <c r="M326" s="8" t="s">
        <v>172</v>
      </c>
      <c r="N326" s="8">
        <f t="shared" si="16"/>
        <v>-0.28124999999999994</v>
      </c>
      <c r="O326" s="14">
        <v>54.75</v>
      </c>
      <c r="S326" t="s">
        <v>148</v>
      </c>
    </row>
    <row r="327" spans="1:20" x14ac:dyDescent="0.2">
      <c r="A327" s="5">
        <v>39661</v>
      </c>
      <c r="B327" s="17">
        <v>2012</v>
      </c>
      <c r="C327" s="18" t="str">
        <f t="shared" si="17"/>
        <v>Elkhorn Slough_39661_Crop Circles_0.4201</v>
      </c>
      <c r="D327" s="4" t="s">
        <v>45</v>
      </c>
      <c r="E327" s="6" t="s">
        <v>277</v>
      </c>
      <c r="F327" s="70" t="s">
        <v>288</v>
      </c>
      <c r="G327" s="70">
        <v>1</v>
      </c>
      <c r="H327" s="82" t="s">
        <v>278</v>
      </c>
      <c r="I327" s="6">
        <v>51</v>
      </c>
      <c r="J327" s="70" t="s">
        <v>289</v>
      </c>
      <c r="K327" s="2">
        <f>(VLOOKUP(H327,'functions and szcl estimates'!$A$14:$I$23,4, FALSE))*(('raw data'!I447)^(VLOOKUP('raw data'!H447,'functions and szcl estimates'!$A$14:$I$23, 7, FALSE)))</f>
        <v>250.15155250700519</v>
      </c>
      <c r="L327" s="12">
        <v>0.4201388888888889</v>
      </c>
      <c r="M327" s="8" t="s">
        <v>172</v>
      </c>
      <c r="N327" s="8">
        <f t="shared" si="16"/>
        <v>-0.28124999999999994</v>
      </c>
      <c r="O327" s="14">
        <v>54.75</v>
      </c>
      <c r="S327" t="s">
        <v>148</v>
      </c>
    </row>
    <row r="328" spans="1:20" x14ac:dyDescent="0.2">
      <c r="A328" s="5">
        <v>39661</v>
      </c>
      <c r="B328" s="17">
        <v>2012</v>
      </c>
      <c r="C328" s="18" t="str">
        <f t="shared" si="17"/>
        <v>Elkhorn Slough_39661_Area 4_0.4757</v>
      </c>
      <c r="D328" s="4" t="s">
        <v>45</v>
      </c>
      <c r="E328" s="6" t="s">
        <v>3</v>
      </c>
      <c r="F328" s="70" t="s">
        <v>288</v>
      </c>
      <c r="G328" s="70">
        <v>1</v>
      </c>
      <c r="H328" s="82" t="s">
        <v>278</v>
      </c>
      <c r="I328" s="6">
        <v>43</v>
      </c>
      <c r="J328" s="70" t="s">
        <v>289</v>
      </c>
      <c r="K328" s="2">
        <f>(VLOOKUP(H328,'functions and szcl estimates'!$A$14:$I$23,4, FALSE))*(('raw data'!I449)^(VLOOKUP('raw data'!H449,'functions and szcl estimates'!$A$14:$I$23, 7, FALSE)))</f>
        <v>630.62724208908276</v>
      </c>
      <c r="L328" s="12">
        <v>0.47569444444444442</v>
      </c>
      <c r="M328" s="8" t="s">
        <v>173</v>
      </c>
      <c r="N328" s="8">
        <f t="shared" si="16"/>
        <v>-0.23611111111111105</v>
      </c>
      <c r="O328" s="14">
        <v>53.75</v>
      </c>
      <c r="S328" t="s">
        <v>148</v>
      </c>
    </row>
    <row r="329" spans="1:20" x14ac:dyDescent="0.2">
      <c r="A329" s="5">
        <v>39661</v>
      </c>
      <c r="B329" s="17">
        <v>2012</v>
      </c>
      <c r="C329" s="18" t="str">
        <f t="shared" si="17"/>
        <v>Elkhorn Slough_39661_Area 4_0.4757</v>
      </c>
      <c r="D329" s="4" t="s">
        <v>45</v>
      </c>
      <c r="E329" s="6" t="s">
        <v>3</v>
      </c>
      <c r="F329" s="70" t="s">
        <v>288</v>
      </c>
      <c r="G329" s="70">
        <v>1</v>
      </c>
      <c r="H329" s="82" t="s">
        <v>278</v>
      </c>
      <c r="I329" s="6">
        <v>46</v>
      </c>
      <c r="J329" s="70" t="s">
        <v>289</v>
      </c>
      <c r="K329" s="2">
        <f>(VLOOKUP(H329,'functions and szcl estimates'!$A$14:$I$23,4, FALSE))*(('raw data'!I450)^(VLOOKUP('raw data'!H450,'functions and szcl estimates'!$A$14:$I$23, 7, FALSE)))</f>
        <v>515.96268598186305</v>
      </c>
      <c r="L329" s="12">
        <v>0.47569444444444398</v>
      </c>
      <c r="M329" s="8" t="s">
        <v>173</v>
      </c>
      <c r="N329" s="8">
        <f t="shared" si="16"/>
        <v>-0.23611111111111149</v>
      </c>
      <c r="O329" s="14">
        <v>53.75</v>
      </c>
      <c r="S329" t="s">
        <v>148</v>
      </c>
    </row>
    <row r="330" spans="1:20" x14ac:dyDescent="0.2">
      <c r="A330" s="5">
        <v>39661</v>
      </c>
      <c r="B330" s="17">
        <v>2012</v>
      </c>
      <c r="C330" s="18" t="str">
        <f t="shared" si="17"/>
        <v>Elkhorn Slough_39661_Area 4_0.4757</v>
      </c>
      <c r="D330" s="4" t="s">
        <v>45</v>
      </c>
      <c r="E330" s="6" t="s">
        <v>3</v>
      </c>
      <c r="F330" s="70" t="s">
        <v>288</v>
      </c>
      <c r="G330" s="70">
        <v>1</v>
      </c>
      <c r="H330" s="82" t="s">
        <v>278</v>
      </c>
      <c r="I330" s="6">
        <v>46</v>
      </c>
      <c r="J330" s="70" t="s">
        <v>289</v>
      </c>
      <c r="K330" s="2">
        <f>(VLOOKUP(H330,'functions and szcl estimates'!$A$14:$I$23,4, FALSE))*(('raw data'!I451)^(VLOOKUP('raw data'!H451,'functions and szcl estimates'!$A$14:$I$23, 7, FALSE)))</f>
        <v>282.50576810222088</v>
      </c>
      <c r="L330" s="12">
        <v>0.47569444444444398</v>
      </c>
      <c r="M330" s="8" t="s">
        <v>173</v>
      </c>
      <c r="N330" s="8">
        <f t="shared" si="16"/>
        <v>-0.23611111111111149</v>
      </c>
      <c r="O330" s="14">
        <v>53.75</v>
      </c>
      <c r="S330" t="s">
        <v>148</v>
      </c>
    </row>
    <row r="331" spans="1:20" x14ac:dyDescent="0.2">
      <c r="A331" s="5">
        <v>39661</v>
      </c>
      <c r="B331" s="17">
        <v>2012</v>
      </c>
      <c r="C331" s="18" t="str">
        <f t="shared" si="17"/>
        <v>Elkhorn Slough_39661_Area 4_0.4757</v>
      </c>
      <c r="D331" s="4" t="s">
        <v>45</v>
      </c>
      <c r="E331" s="6" t="s">
        <v>3</v>
      </c>
      <c r="F331" s="70" t="s">
        <v>288</v>
      </c>
      <c r="G331" s="70">
        <v>1</v>
      </c>
      <c r="H331" s="82" t="s">
        <v>278</v>
      </c>
      <c r="I331" s="6">
        <v>46</v>
      </c>
      <c r="J331" s="70" t="s">
        <v>289</v>
      </c>
      <c r="K331" s="2">
        <f>(VLOOKUP(H331,'functions and szcl estimates'!$A$14:$I$23,4, FALSE))*(('raw data'!I452)^(VLOOKUP('raw data'!H452,'functions and szcl estimates'!$A$14:$I$23, 7, FALSE)))</f>
        <v>404.24387953972592</v>
      </c>
      <c r="L331" s="12">
        <v>0.47569444444444398</v>
      </c>
      <c r="M331" s="8" t="s">
        <v>173</v>
      </c>
      <c r="N331" s="8">
        <f t="shared" si="16"/>
        <v>-0.23611111111111149</v>
      </c>
      <c r="O331" s="14">
        <v>53.75</v>
      </c>
      <c r="S331" t="s">
        <v>148</v>
      </c>
    </row>
    <row r="332" spans="1:20" x14ac:dyDescent="0.2">
      <c r="A332" s="5">
        <v>39661</v>
      </c>
      <c r="B332" s="17">
        <v>2012</v>
      </c>
      <c r="C332" s="18" t="str">
        <f t="shared" si="17"/>
        <v>Elkhorn Slough_39661_Area 4_0.4757</v>
      </c>
      <c r="D332" s="4" t="s">
        <v>45</v>
      </c>
      <c r="E332" s="6" t="s">
        <v>3</v>
      </c>
      <c r="F332" s="70" t="s">
        <v>288</v>
      </c>
      <c r="G332" s="70">
        <v>1</v>
      </c>
      <c r="H332" s="82" t="s">
        <v>278</v>
      </c>
      <c r="I332" s="6">
        <v>47</v>
      </c>
      <c r="J332" s="70" t="s">
        <v>289</v>
      </c>
      <c r="K332" s="2">
        <f>(VLOOKUP(H332,'functions and szcl estimates'!$A$14:$I$23,4, FALSE))*(('raw data'!I453)^(VLOOKUP('raw data'!H453,'functions and szcl estimates'!$A$14:$I$23, 7, FALSE)))</f>
        <v>700.30785701664058</v>
      </c>
      <c r="L332" s="12">
        <v>0.47569444444444398</v>
      </c>
      <c r="M332" s="8" t="s">
        <v>173</v>
      </c>
      <c r="N332" s="8">
        <f t="shared" si="16"/>
        <v>-0.23611111111111149</v>
      </c>
      <c r="O332" s="14">
        <v>53.75</v>
      </c>
      <c r="S332" t="s">
        <v>148</v>
      </c>
    </row>
    <row r="333" spans="1:20" x14ac:dyDescent="0.2">
      <c r="A333" s="5">
        <v>39661</v>
      </c>
      <c r="B333" s="17">
        <v>2012</v>
      </c>
      <c r="C333" s="18" t="str">
        <f t="shared" si="17"/>
        <v>Elkhorn Slough_39661_Area 4_0.4757</v>
      </c>
      <c r="D333" s="4" t="s">
        <v>45</v>
      </c>
      <c r="E333" s="6" t="s">
        <v>3</v>
      </c>
      <c r="F333" s="70" t="s">
        <v>288</v>
      </c>
      <c r="G333" s="70">
        <v>1</v>
      </c>
      <c r="H333" s="82" t="s">
        <v>278</v>
      </c>
      <c r="I333" s="6">
        <v>49</v>
      </c>
      <c r="J333" s="70" t="s">
        <v>289</v>
      </c>
      <c r="K333" s="2">
        <f>(VLOOKUP(H333,'functions and szcl estimates'!$A$14:$I$23,4, FALSE))*(('raw data'!I454)^(VLOOKUP('raw data'!H454,'functions and szcl estimates'!$A$14:$I$23, 7, FALSE)))</f>
        <v>364.02162324943225</v>
      </c>
      <c r="L333" s="12">
        <v>0.47569444444444398</v>
      </c>
      <c r="M333" s="8" t="s">
        <v>173</v>
      </c>
      <c r="N333" s="8">
        <f t="shared" si="16"/>
        <v>-0.23611111111111149</v>
      </c>
      <c r="O333" s="14">
        <v>53.75</v>
      </c>
      <c r="S333" t="s">
        <v>148</v>
      </c>
    </row>
    <row r="334" spans="1:20" x14ac:dyDescent="0.2">
      <c r="A334" s="5">
        <v>39661</v>
      </c>
      <c r="B334" s="17">
        <v>2012</v>
      </c>
      <c r="C334" s="18" t="str">
        <f t="shared" si="17"/>
        <v>Elkhorn Slough_39661_Area 4_0.4757</v>
      </c>
      <c r="D334" s="4" t="s">
        <v>45</v>
      </c>
      <c r="E334" s="6" t="s">
        <v>3</v>
      </c>
      <c r="F334" s="70" t="s">
        <v>288</v>
      </c>
      <c r="G334" s="70">
        <v>1</v>
      </c>
      <c r="H334" s="82" t="s">
        <v>278</v>
      </c>
      <c r="I334" s="6">
        <v>50</v>
      </c>
      <c r="J334" s="70" t="s">
        <v>289</v>
      </c>
      <c r="K334" s="2">
        <f>(VLOOKUP(H334,'functions and szcl estimates'!$A$14:$I$23,4, FALSE))*(('raw data'!I455)^(VLOOKUP('raw data'!H455,'functions and szcl estimates'!$A$14:$I$23, 7, FALSE)))</f>
        <v>1273.8341252901362</v>
      </c>
      <c r="L334" s="12">
        <v>0.47569444444444398</v>
      </c>
      <c r="M334" s="8" t="s">
        <v>173</v>
      </c>
      <c r="N334" s="8">
        <f t="shared" si="16"/>
        <v>-0.23611111111111149</v>
      </c>
      <c r="O334" s="14">
        <v>53.75</v>
      </c>
      <c r="S334" t="s">
        <v>148</v>
      </c>
    </row>
    <row r="335" spans="1:20" x14ac:dyDescent="0.2">
      <c r="A335" s="5">
        <v>39661</v>
      </c>
      <c r="B335" s="17">
        <v>2012</v>
      </c>
      <c r="C335" s="18" t="str">
        <f t="shared" si="17"/>
        <v>Elkhorn Slough_39661_Area 4_0.4757</v>
      </c>
      <c r="D335" s="4" t="s">
        <v>45</v>
      </c>
      <c r="E335" s="6" t="s">
        <v>3</v>
      </c>
      <c r="F335" s="70" t="s">
        <v>288</v>
      </c>
      <c r="G335" s="70">
        <v>1</v>
      </c>
      <c r="H335" s="82" t="s">
        <v>278</v>
      </c>
      <c r="I335" s="6">
        <v>51</v>
      </c>
      <c r="J335" s="70" t="s">
        <v>289</v>
      </c>
      <c r="K335" s="2">
        <f>(VLOOKUP(H335,'functions and szcl estimates'!$A$14:$I$23,4, FALSE))*(('raw data'!I456)^(VLOOKUP('raw data'!H456,'functions and szcl estimates'!$A$14:$I$23, 7, FALSE)))</f>
        <v>577.97811610391568</v>
      </c>
      <c r="L335" s="12">
        <v>0.47569444444444398</v>
      </c>
      <c r="M335" s="8" t="s">
        <v>173</v>
      </c>
      <c r="N335" s="8">
        <f t="shared" si="16"/>
        <v>-0.23611111111111149</v>
      </c>
      <c r="O335" s="14">
        <v>53.75</v>
      </c>
      <c r="S335" t="s">
        <v>148</v>
      </c>
    </row>
    <row r="336" spans="1:20" x14ac:dyDescent="0.2">
      <c r="A336" s="5">
        <v>39661</v>
      </c>
      <c r="B336" s="17">
        <v>2012</v>
      </c>
      <c r="C336" s="18" t="str">
        <f t="shared" si="17"/>
        <v>Elkhorn Slough_39661_Area 4_0.4757</v>
      </c>
      <c r="D336" s="4" t="s">
        <v>45</v>
      </c>
      <c r="E336" s="6" t="s">
        <v>3</v>
      </c>
      <c r="F336" s="70" t="s">
        <v>288</v>
      </c>
      <c r="G336" s="70">
        <v>1</v>
      </c>
      <c r="H336" s="82" t="s">
        <v>278</v>
      </c>
      <c r="I336" s="6">
        <v>52</v>
      </c>
      <c r="J336" s="70" t="s">
        <v>289</v>
      </c>
      <c r="K336" s="2">
        <f>(VLOOKUP(H336,'functions and szcl estimates'!$A$14:$I$23,4, FALSE))*(('raw data'!I457)^(VLOOKUP('raw data'!H457,'functions and szcl estimates'!$A$14:$I$23, 7, FALSE)))</f>
        <v>774.36717668169263</v>
      </c>
      <c r="L336" s="12">
        <v>0.47569444444444398</v>
      </c>
      <c r="M336" s="8" t="s">
        <v>173</v>
      </c>
      <c r="N336" s="8">
        <f t="shared" si="16"/>
        <v>-0.23611111111111149</v>
      </c>
      <c r="O336" s="14">
        <v>53.75</v>
      </c>
      <c r="S336" t="s">
        <v>148</v>
      </c>
    </row>
    <row r="337" spans="1:19" x14ac:dyDescent="0.2">
      <c r="A337" s="5">
        <v>39661</v>
      </c>
      <c r="B337" s="17">
        <v>2012</v>
      </c>
      <c r="C337" s="18" t="str">
        <f t="shared" si="17"/>
        <v>Elkhorn Slough_39661_Area 4_0.4757</v>
      </c>
      <c r="D337" s="4" t="s">
        <v>45</v>
      </c>
      <c r="E337" s="6" t="s">
        <v>3</v>
      </c>
      <c r="F337" s="70" t="s">
        <v>288</v>
      </c>
      <c r="G337" s="70">
        <v>1</v>
      </c>
      <c r="H337" s="82" t="s">
        <v>278</v>
      </c>
      <c r="I337" s="6">
        <v>52</v>
      </c>
      <c r="J337" s="70" t="s">
        <v>289</v>
      </c>
      <c r="K337" s="2">
        <f>(VLOOKUP(H337,'functions and szcl estimates'!$A$14:$I$23,4, FALSE))*(('raw data'!I458)^(VLOOKUP('raw data'!H458,'functions and szcl estimates'!$A$14:$I$23, 7, FALSE)))</f>
        <v>344.84297226823708</v>
      </c>
      <c r="L337" s="12">
        <v>0.47569444444444398</v>
      </c>
      <c r="M337" s="8" t="s">
        <v>173</v>
      </c>
      <c r="N337" s="8">
        <f t="shared" si="16"/>
        <v>-0.23611111111111149</v>
      </c>
      <c r="O337" s="14">
        <v>53.75</v>
      </c>
      <c r="S337" t="s">
        <v>148</v>
      </c>
    </row>
    <row r="338" spans="1:19" x14ac:dyDescent="0.2">
      <c r="A338" s="5">
        <v>39661</v>
      </c>
      <c r="B338" s="17">
        <v>2012</v>
      </c>
      <c r="C338" s="18" t="str">
        <f t="shared" si="17"/>
        <v>Elkhorn Slough_39661_Area 4_0.4757</v>
      </c>
      <c r="D338" s="4" t="s">
        <v>45</v>
      </c>
      <c r="E338" s="6" t="s">
        <v>3</v>
      </c>
      <c r="F338" s="70" t="s">
        <v>288</v>
      </c>
      <c r="G338" s="70">
        <v>1</v>
      </c>
      <c r="H338" s="82" t="s">
        <v>278</v>
      </c>
      <c r="I338" s="6">
        <v>53</v>
      </c>
      <c r="J338" s="70" t="s">
        <v>289</v>
      </c>
      <c r="K338" s="2">
        <f>(VLOOKUP(H338,'functions and szcl estimates'!$A$14:$I$23,4, FALSE))*(('raw data'!I459)^(VLOOKUP('raw data'!H459,'functions and szcl estimates'!$A$14:$I$23, 7, FALSE)))</f>
        <v>308.31928582440258</v>
      </c>
      <c r="L338" s="12">
        <v>0.47569444444444398</v>
      </c>
      <c r="M338" s="8" t="s">
        <v>173</v>
      </c>
      <c r="N338" s="8">
        <f t="shared" si="16"/>
        <v>-0.23611111111111149</v>
      </c>
      <c r="O338" s="14">
        <v>53.75</v>
      </c>
      <c r="S338" t="s">
        <v>148</v>
      </c>
    </row>
    <row r="339" spans="1:19" x14ac:dyDescent="0.2">
      <c r="A339" s="5">
        <v>39661</v>
      </c>
      <c r="B339" s="17">
        <v>2012</v>
      </c>
      <c r="C339" s="18" t="str">
        <f t="shared" si="17"/>
        <v>Elkhorn Slough_39661_Area 4_0.4757</v>
      </c>
      <c r="D339" s="4" t="s">
        <v>45</v>
      </c>
      <c r="E339" s="6" t="s">
        <v>3</v>
      </c>
      <c r="F339" s="70" t="s">
        <v>288</v>
      </c>
      <c r="G339" s="70">
        <v>1</v>
      </c>
      <c r="H339" s="82" t="s">
        <v>278</v>
      </c>
      <c r="I339" s="6">
        <v>53</v>
      </c>
      <c r="J339" s="70" t="s">
        <v>289</v>
      </c>
      <c r="K339" s="2">
        <f>(VLOOKUP(H339,'functions and szcl estimates'!$A$14:$I$23,4, FALSE))*(('raw data'!I460)^(VLOOKUP('raw data'!H460,'functions and szcl estimates'!$A$14:$I$23, 7, FALSE)))</f>
        <v>344.84297226823708</v>
      </c>
      <c r="L339" s="12">
        <v>0.47569444444444398</v>
      </c>
      <c r="M339" s="8" t="s">
        <v>173</v>
      </c>
      <c r="N339" s="8">
        <f t="shared" si="16"/>
        <v>-0.23611111111111149</v>
      </c>
      <c r="O339" s="14">
        <v>53.75</v>
      </c>
      <c r="S339" t="s">
        <v>148</v>
      </c>
    </row>
    <row r="340" spans="1:19" x14ac:dyDescent="0.2">
      <c r="A340" s="5">
        <v>39661</v>
      </c>
      <c r="B340" s="17">
        <v>2012</v>
      </c>
      <c r="C340" s="18" t="str">
        <f t="shared" si="17"/>
        <v>Elkhorn Slough_39661_Area 4_0.4757</v>
      </c>
      <c r="D340" s="4" t="s">
        <v>45</v>
      </c>
      <c r="E340" s="6" t="s">
        <v>3</v>
      </c>
      <c r="F340" s="70" t="s">
        <v>288</v>
      </c>
      <c r="G340" s="70">
        <v>1</v>
      </c>
      <c r="H340" s="82" t="s">
        <v>278</v>
      </c>
      <c r="I340" s="6">
        <v>54</v>
      </c>
      <c r="J340" s="70" t="s">
        <v>289</v>
      </c>
      <c r="K340" s="2">
        <f>(VLOOKUP(H340,'functions and szcl estimates'!$A$14:$I$23,4, FALSE))*(('raw data'!I461)^(VLOOKUP('raw data'!H461,'functions and szcl estimates'!$A$14:$I$23, 7, FALSE)))</f>
        <v>98.018536721416936</v>
      </c>
      <c r="L340" s="12">
        <v>0.47569444444444398</v>
      </c>
      <c r="M340" s="8" t="s">
        <v>173</v>
      </c>
      <c r="N340" s="8">
        <f t="shared" si="16"/>
        <v>-0.23611111111111149</v>
      </c>
      <c r="O340" s="14">
        <v>53.75</v>
      </c>
      <c r="S340" t="s">
        <v>148</v>
      </c>
    </row>
    <row r="341" spans="1:19" x14ac:dyDescent="0.2">
      <c r="A341" s="5">
        <v>39661</v>
      </c>
      <c r="B341" s="17">
        <v>2012</v>
      </c>
      <c r="C341" s="18" t="str">
        <f t="shared" si="17"/>
        <v>Elkhorn Slough_39661_Area 4_0.4757</v>
      </c>
      <c r="D341" s="4" t="s">
        <v>45</v>
      </c>
      <c r="E341" s="6" t="s">
        <v>3</v>
      </c>
      <c r="F341" s="70" t="s">
        <v>288</v>
      </c>
      <c r="G341" s="70">
        <v>1</v>
      </c>
      <c r="H341" s="82" t="s">
        <v>278</v>
      </c>
      <c r="I341" s="6">
        <v>55</v>
      </c>
      <c r="J341" s="70" t="s">
        <v>289</v>
      </c>
      <c r="K341" s="2">
        <f>(VLOOKUP(H341,'functions and szcl estimates'!$A$14:$I$23,4, FALSE))*(('raw data'!I462)^(VLOOKUP('raw data'!H462,'functions and szcl estimates'!$A$14:$I$23, 7, FALSE)))</f>
        <v>98.018536721416936</v>
      </c>
      <c r="L341" s="12">
        <v>0.47569444444444398</v>
      </c>
      <c r="M341" s="8" t="s">
        <v>173</v>
      </c>
      <c r="N341" s="8">
        <f t="shared" si="16"/>
        <v>-0.23611111111111149</v>
      </c>
      <c r="O341" s="14">
        <v>53.75</v>
      </c>
      <c r="S341" t="s">
        <v>148</v>
      </c>
    </row>
    <row r="342" spans="1:19" x14ac:dyDescent="0.2">
      <c r="A342" s="5">
        <v>39661</v>
      </c>
      <c r="B342" s="17">
        <v>2012</v>
      </c>
      <c r="C342" s="18" t="str">
        <f t="shared" si="17"/>
        <v>Elkhorn Slough_39661_Area 4_0.4757</v>
      </c>
      <c r="D342" s="4" t="s">
        <v>45</v>
      </c>
      <c r="E342" s="6" t="s">
        <v>3</v>
      </c>
      <c r="F342" s="70" t="s">
        <v>288</v>
      </c>
      <c r="G342" s="70">
        <v>1</v>
      </c>
      <c r="H342" s="82" t="s">
        <v>278</v>
      </c>
      <c r="I342" s="6">
        <v>55</v>
      </c>
      <c r="J342" s="70" t="s">
        <v>289</v>
      </c>
      <c r="K342" s="2">
        <f>(VLOOKUP(H342,'functions and szcl estimates'!$A$14:$I$23,4, FALSE))*(('raw data'!I463)^(VLOOKUP('raw data'!H463,'functions and szcl estimates'!$A$14:$I$23, 7, FALSE)))</f>
        <v>52.787942453474635</v>
      </c>
      <c r="L342" s="12">
        <v>0.47569444444444398</v>
      </c>
      <c r="M342" s="8" t="s">
        <v>173</v>
      </c>
      <c r="N342" s="8">
        <f t="shared" si="16"/>
        <v>-0.23611111111111149</v>
      </c>
      <c r="O342" s="14">
        <v>53.75</v>
      </c>
      <c r="S342" t="s">
        <v>148</v>
      </c>
    </row>
    <row r="343" spans="1:19" x14ac:dyDescent="0.2">
      <c r="A343" s="5">
        <v>39661</v>
      </c>
      <c r="B343" s="17">
        <v>2012</v>
      </c>
      <c r="C343" s="18" t="str">
        <f t="shared" si="17"/>
        <v>Elkhorn Slough_39661_Area 4_0.4757</v>
      </c>
      <c r="D343" s="4" t="s">
        <v>45</v>
      </c>
      <c r="E343" s="6" t="s">
        <v>3</v>
      </c>
      <c r="F343" s="70" t="s">
        <v>288</v>
      </c>
      <c r="G343" s="70">
        <v>1</v>
      </c>
      <c r="H343" s="82" t="s">
        <v>278</v>
      </c>
      <c r="I343" s="6">
        <v>56</v>
      </c>
      <c r="J343" s="70" t="s">
        <v>289</v>
      </c>
      <c r="K343" s="2">
        <f>(VLOOKUP(H343,'functions and szcl estimates'!$A$14:$I$23,4, FALSE))*(('raw data'!I464)^(VLOOKUP('raw data'!H464,'functions and szcl estimates'!$A$14:$I$23, 7, FALSE)))</f>
        <v>66.042941567743313</v>
      </c>
      <c r="L343" s="12">
        <v>0.47569444444444398</v>
      </c>
      <c r="M343" s="8" t="s">
        <v>173</v>
      </c>
      <c r="N343" s="8">
        <f t="shared" si="16"/>
        <v>-0.23611111111111149</v>
      </c>
      <c r="O343" s="14">
        <v>53.75</v>
      </c>
      <c r="S343" t="s">
        <v>148</v>
      </c>
    </row>
    <row r="344" spans="1:19" x14ac:dyDescent="0.2">
      <c r="A344" s="5">
        <v>39661</v>
      </c>
      <c r="B344" s="17">
        <v>2012</v>
      </c>
      <c r="C344" s="18" t="str">
        <f t="shared" si="17"/>
        <v>Elkhorn Slough_39661_Area 4_0.4757</v>
      </c>
      <c r="D344" s="4" t="s">
        <v>45</v>
      </c>
      <c r="E344" s="6" t="s">
        <v>3</v>
      </c>
      <c r="F344" s="70" t="s">
        <v>288</v>
      </c>
      <c r="G344" s="70">
        <v>1</v>
      </c>
      <c r="H344" s="82" t="s">
        <v>278</v>
      </c>
      <c r="I344" s="6">
        <v>57</v>
      </c>
      <c r="J344" s="70" t="s">
        <v>289</v>
      </c>
      <c r="K344" s="2">
        <f>(VLOOKUP(H344,'functions and szcl estimates'!$A$14:$I$23,4, FALSE))*(('raw data'!I465)^(VLOOKUP('raw data'!H465,'functions and szcl estimates'!$A$14:$I$23, 7, FALSE)))</f>
        <v>59.195206493958409</v>
      </c>
      <c r="L344" s="12">
        <v>0.47569444444444398</v>
      </c>
      <c r="M344" s="8" t="s">
        <v>173</v>
      </c>
      <c r="N344" s="8">
        <f t="shared" si="16"/>
        <v>-0.23611111111111149</v>
      </c>
      <c r="O344" s="14">
        <v>53.75</v>
      </c>
      <c r="S344" t="s">
        <v>148</v>
      </c>
    </row>
    <row r="345" spans="1:19" x14ac:dyDescent="0.2">
      <c r="A345" s="5">
        <v>39661</v>
      </c>
      <c r="B345" s="17">
        <v>2012</v>
      </c>
      <c r="C345" s="18" t="str">
        <f t="shared" si="17"/>
        <v>Elkhorn Slough_39661_Area 4_0.4757</v>
      </c>
      <c r="D345" s="4" t="s">
        <v>45</v>
      </c>
      <c r="E345" s="6" t="s">
        <v>3</v>
      </c>
      <c r="F345" s="70" t="s">
        <v>288</v>
      </c>
      <c r="G345" s="70">
        <v>1</v>
      </c>
      <c r="H345" s="82" t="s">
        <v>278</v>
      </c>
      <c r="I345" s="6">
        <v>60</v>
      </c>
      <c r="J345" s="70" t="s">
        <v>289</v>
      </c>
      <c r="K345" s="2">
        <f>(VLOOKUP(H345,'functions and szcl estimates'!$A$14:$I$23,4, FALSE))*(('raw data'!I466)^(VLOOKUP('raw data'!H466,'functions and szcl estimates'!$A$14:$I$23, 7, FALSE)))</f>
        <v>52.787942453474635</v>
      </c>
      <c r="L345" s="12">
        <v>0.47569444444444398</v>
      </c>
      <c r="M345" s="8" t="s">
        <v>173</v>
      </c>
      <c r="N345" s="8">
        <f t="shared" si="16"/>
        <v>-0.23611111111111149</v>
      </c>
      <c r="O345" s="14">
        <v>53.75</v>
      </c>
      <c r="S345" t="s">
        <v>148</v>
      </c>
    </row>
    <row r="346" spans="1:19" x14ac:dyDescent="0.2">
      <c r="A346" s="5">
        <v>39661</v>
      </c>
      <c r="B346" s="17">
        <v>2012</v>
      </c>
      <c r="C346" s="18" t="str">
        <f t="shared" si="17"/>
        <v>Elkhorn Slough_39661_Area 4_0.4757</v>
      </c>
      <c r="D346" s="4" t="s">
        <v>45</v>
      </c>
      <c r="E346" s="6" t="s">
        <v>3</v>
      </c>
      <c r="F346" s="70" t="s">
        <v>288</v>
      </c>
      <c r="G346" s="70">
        <v>1</v>
      </c>
      <c r="H346" s="82" t="s">
        <v>278</v>
      </c>
      <c r="I346" s="6">
        <v>62</v>
      </c>
      <c r="J346" s="70" t="s">
        <v>289</v>
      </c>
      <c r="K346" s="2">
        <f>(VLOOKUP(H346,'functions and szcl estimates'!$A$14:$I$23,4, FALSE))*(('raw data'!I467)^(VLOOKUP('raw data'!H467,'functions and szcl estimates'!$A$14:$I$23, 7, FALSE)))</f>
        <v>116.87765807578012</v>
      </c>
      <c r="L346" s="12">
        <v>0.47569444444444398</v>
      </c>
      <c r="M346" s="8" t="s">
        <v>173</v>
      </c>
      <c r="N346" s="8">
        <f t="shared" si="16"/>
        <v>-0.23611111111111149</v>
      </c>
      <c r="O346" s="14">
        <v>53.75</v>
      </c>
      <c r="S346" t="s">
        <v>148</v>
      </c>
    </row>
    <row r="347" spans="1:19" x14ac:dyDescent="0.2">
      <c r="A347" s="5">
        <v>39661</v>
      </c>
      <c r="B347" s="17">
        <v>2012</v>
      </c>
      <c r="C347" s="18" t="str">
        <f t="shared" si="17"/>
        <v>Elkhorn Slough_39661_Crop Circles_0.4201</v>
      </c>
      <c r="D347" s="4" t="s">
        <v>45</v>
      </c>
      <c r="E347" s="6" t="s">
        <v>277</v>
      </c>
      <c r="F347" s="70" t="s">
        <v>288</v>
      </c>
      <c r="G347" s="70">
        <v>1</v>
      </c>
      <c r="H347" s="82" t="s">
        <v>278</v>
      </c>
      <c r="I347" s="6">
        <v>47</v>
      </c>
      <c r="J347" s="70" t="s">
        <v>289</v>
      </c>
      <c r="K347" s="2">
        <f>(VLOOKUP(H347,'functions and szcl estimates'!$A$14:$I$23,4, FALSE))*(('raw data'!I469)^(VLOOKUP('raw data'!H469,'functions and szcl estimates'!$A$14:$I$23, 7, FALSE)))</f>
        <v>77.160389009541049</v>
      </c>
      <c r="L347" s="12">
        <v>0.4201388888888889</v>
      </c>
      <c r="M347" s="8" t="s">
        <v>35</v>
      </c>
      <c r="N347" s="8">
        <f t="shared" si="16"/>
        <v>-0.30208333333333331</v>
      </c>
      <c r="O347" s="14">
        <v>7.25</v>
      </c>
      <c r="P347" s="17"/>
      <c r="S347" t="s">
        <v>148</v>
      </c>
    </row>
    <row r="348" spans="1:19" x14ac:dyDescent="0.2">
      <c r="A348" s="5">
        <v>39661</v>
      </c>
      <c r="B348" s="17">
        <v>2012</v>
      </c>
      <c r="C348" s="18" t="str">
        <f t="shared" si="17"/>
        <v>Elkhorn Slough_39661_Crop Circles_0.4201</v>
      </c>
      <c r="D348" s="4" t="s">
        <v>45</v>
      </c>
      <c r="E348" s="6" t="s">
        <v>277</v>
      </c>
      <c r="F348" s="70" t="s">
        <v>288</v>
      </c>
      <c r="G348" s="70">
        <v>1</v>
      </c>
      <c r="H348" s="82" t="s">
        <v>278</v>
      </c>
      <c r="I348" s="6">
        <v>55</v>
      </c>
      <c r="J348" s="70" t="s">
        <v>289</v>
      </c>
      <c r="K348" s="2">
        <f>(VLOOKUP(H348,'functions and szcl estimates'!$A$14:$I$23,4, FALSE))*(('raw data'!I470)^(VLOOKUP('raw data'!H470,'functions and szcl estimates'!$A$14:$I$23, 7, FALSE)))</f>
        <v>81.096221013463804</v>
      </c>
      <c r="L348" s="12">
        <v>0.4201388888888889</v>
      </c>
      <c r="M348" s="8" t="s">
        <v>35</v>
      </c>
      <c r="N348" s="8">
        <f t="shared" si="16"/>
        <v>-0.30208333333333331</v>
      </c>
      <c r="O348" s="14">
        <v>7.25</v>
      </c>
      <c r="P348" s="17"/>
      <c r="S348" t="s">
        <v>148</v>
      </c>
    </row>
    <row r="349" spans="1:19" x14ac:dyDescent="0.2">
      <c r="A349" s="5">
        <v>39662</v>
      </c>
      <c r="B349" s="17">
        <v>2012</v>
      </c>
      <c r="C349" s="18" t="str">
        <f t="shared" si="17"/>
        <v>Elkhorn Slough_39662_Crop Circles_0.7014</v>
      </c>
      <c r="D349" s="4" t="s">
        <v>45</v>
      </c>
      <c r="E349" s="15" t="s">
        <v>277</v>
      </c>
      <c r="F349" s="70" t="s">
        <v>288</v>
      </c>
      <c r="G349" s="70">
        <v>1</v>
      </c>
      <c r="H349" s="83" t="s">
        <v>278</v>
      </c>
      <c r="I349" s="15">
        <v>49</v>
      </c>
      <c r="J349" s="70" t="s">
        <v>289</v>
      </c>
      <c r="K349" s="2">
        <f>(VLOOKUP(H349,'functions and szcl estimates'!$A$14:$I$23,4, FALSE))*(('raw data'!I473)^(VLOOKUP('raw data'!H473,'functions and szcl estimates'!$A$14:$I$23, 7, FALSE)))</f>
        <v>107.20186818003386</v>
      </c>
      <c r="L349" s="12">
        <v>0.70138888888888884</v>
      </c>
      <c r="M349" s="8" t="s">
        <v>14</v>
      </c>
      <c r="N349" s="8">
        <f t="shared" si="16"/>
        <v>0.27430555555555552</v>
      </c>
      <c r="O349" s="14">
        <v>17.5</v>
      </c>
      <c r="P349" s="17">
        <v>1</v>
      </c>
      <c r="Q349" s="65">
        <f>K349</f>
        <v>107.20186818003386</v>
      </c>
      <c r="R349" s="15">
        <f>P349/O349</f>
        <v>5.7142857142857141E-2</v>
      </c>
      <c r="S349" t="s">
        <v>148</v>
      </c>
    </row>
    <row r="350" spans="1:19" x14ac:dyDescent="0.2">
      <c r="A350" s="5">
        <v>39662</v>
      </c>
      <c r="B350" s="17">
        <v>2012</v>
      </c>
      <c r="C350" s="18" t="str">
        <f t="shared" si="17"/>
        <v>Elkhorn Slough_39662_Area 4_0.7118</v>
      </c>
      <c r="D350" s="4" t="s">
        <v>45</v>
      </c>
      <c r="E350" s="15" t="s">
        <v>3</v>
      </c>
      <c r="F350" s="70" t="s">
        <v>288</v>
      </c>
      <c r="G350" s="70">
        <v>1</v>
      </c>
      <c r="H350" s="83" t="s">
        <v>278</v>
      </c>
      <c r="I350" s="15">
        <v>45</v>
      </c>
      <c r="J350" s="70" t="s">
        <v>289</v>
      </c>
      <c r="K350" s="2">
        <f>(VLOOKUP(H350,'functions and szcl estimates'!$A$14:$I$23,4, FALSE))*(('raw data'!I475)^(VLOOKUP('raw data'!H475,'functions and szcl estimates'!$A$14:$I$23, 7, FALSE)))</f>
        <v>199.05625725174448</v>
      </c>
      <c r="L350" s="12">
        <v>0.71180555555555547</v>
      </c>
      <c r="M350" s="8" t="s">
        <v>15</v>
      </c>
      <c r="N350" s="8">
        <f t="shared" ref="N350:N381" si="18">L350-M350</f>
        <v>0.21874999999999989</v>
      </c>
      <c r="O350" s="14">
        <v>18.75</v>
      </c>
      <c r="P350" s="17"/>
      <c r="S350" t="s">
        <v>148</v>
      </c>
    </row>
    <row r="351" spans="1:19" x14ac:dyDescent="0.2">
      <c r="A351" s="5">
        <v>39662</v>
      </c>
      <c r="B351" s="17">
        <v>2012</v>
      </c>
      <c r="C351" s="18" t="str">
        <f t="shared" si="17"/>
        <v>Elkhorn Slough_39662_Area 4_0.7118</v>
      </c>
      <c r="D351" s="4" t="s">
        <v>45</v>
      </c>
      <c r="E351" s="15" t="s">
        <v>3</v>
      </c>
      <c r="F351" s="70" t="s">
        <v>288</v>
      </c>
      <c r="G351" s="70">
        <v>1</v>
      </c>
      <c r="H351" s="83" t="s">
        <v>278</v>
      </c>
      <c r="I351" s="15">
        <v>55</v>
      </c>
      <c r="J351" s="70" t="s">
        <v>289</v>
      </c>
      <c r="K351" s="2">
        <f>(VLOOKUP(H351,'functions and szcl estimates'!$A$14:$I$23,4, FALSE))*(('raw data'!I476)^(VLOOKUP('raw data'!H476,'functions and szcl estimates'!$A$14:$I$23, 7, FALSE)))</f>
        <v>143.27416588052088</v>
      </c>
      <c r="L351" s="12">
        <v>0.71180555555555503</v>
      </c>
      <c r="M351" s="8" t="s">
        <v>15</v>
      </c>
      <c r="N351" s="8">
        <f t="shared" si="18"/>
        <v>0.21874999999999944</v>
      </c>
      <c r="O351" s="14">
        <v>18.75</v>
      </c>
      <c r="P351" s="17"/>
      <c r="S351" t="s">
        <v>148</v>
      </c>
    </row>
    <row r="352" spans="1:19" x14ac:dyDescent="0.2">
      <c r="A352" s="5">
        <v>39665</v>
      </c>
      <c r="B352" s="17">
        <v>2012</v>
      </c>
      <c r="C352" s="18" t="str">
        <f t="shared" si="17"/>
        <v>Elkhorn Slough_39665_Area 4_0.4931</v>
      </c>
      <c r="D352" s="4" t="s">
        <v>45</v>
      </c>
      <c r="E352" s="19" t="s">
        <v>3</v>
      </c>
      <c r="F352" s="70" t="s">
        <v>288</v>
      </c>
      <c r="G352" s="70">
        <v>1</v>
      </c>
      <c r="H352" s="84" t="s">
        <v>278</v>
      </c>
      <c r="I352" s="19">
        <v>46</v>
      </c>
      <c r="J352" s="70" t="s">
        <v>289</v>
      </c>
      <c r="K352" s="2">
        <f>(VLOOKUP(H352,'functions and szcl estimates'!$A$14:$I$23,4, FALSE))*(('raw data'!I488)^(VLOOKUP('raw data'!H488,'functions and szcl estimates'!$A$14:$I$23, 7, FALSE)))</f>
        <v>242.42599377211911</v>
      </c>
      <c r="L352" s="12">
        <v>0.49305555555555602</v>
      </c>
      <c r="M352" s="8">
        <v>0.6875</v>
      </c>
      <c r="N352" s="8">
        <f t="shared" si="18"/>
        <v>-0.19444444444444398</v>
      </c>
      <c r="O352" s="14">
        <v>76.75</v>
      </c>
      <c r="P352" s="17"/>
      <c r="S352" t="s">
        <v>148</v>
      </c>
    </row>
    <row r="353" spans="1:19" x14ac:dyDescent="0.2">
      <c r="A353" s="5">
        <v>39665</v>
      </c>
      <c r="B353" s="17">
        <v>2012</v>
      </c>
      <c r="C353" s="18" t="str">
        <f t="shared" si="17"/>
        <v>Elkhorn Slough_39665_Area 4_0.4931</v>
      </c>
      <c r="D353" s="4" t="s">
        <v>45</v>
      </c>
      <c r="E353" s="19" t="s">
        <v>3</v>
      </c>
      <c r="F353" s="70" t="s">
        <v>288</v>
      </c>
      <c r="G353" s="70">
        <v>1</v>
      </c>
      <c r="H353" s="84" t="s">
        <v>278</v>
      </c>
      <c r="I353" s="19">
        <v>46</v>
      </c>
      <c r="J353" s="70" t="s">
        <v>289</v>
      </c>
      <c r="K353" s="2">
        <f>(VLOOKUP(H353,'functions and szcl estimates'!$A$14:$I$23,4, FALSE))*(('raw data'!I489)^(VLOOKUP('raw data'!H489,'functions and szcl estimates'!$A$14:$I$23, 7, FALSE)))</f>
        <v>258.02146973752923</v>
      </c>
      <c r="L353" s="12">
        <v>0.49305555555555602</v>
      </c>
      <c r="M353" s="8">
        <v>0.6875</v>
      </c>
      <c r="N353" s="8">
        <f t="shared" si="18"/>
        <v>-0.19444444444444398</v>
      </c>
      <c r="O353" s="14">
        <v>76.75</v>
      </c>
      <c r="P353" s="17"/>
      <c r="S353" t="s">
        <v>148</v>
      </c>
    </row>
    <row r="354" spans="1:19" x14ac:dyDescent="0.2">
      <c r="A354" s="5">
        <v>39665</v>
      </c>
      <c r="B354" s="17">
        <v>2012</v>
      </c>
      <c r="C354" s="18" t="str">
        <f t="shared" si="17"/>
        <v>Elkhorn Slough_39665_Area 4_0.4931</v>
      </c>
      <c r="D354" s="4" t="s">
        <v>45</v>
      </c>
      <c r="E354" s="19" t="s">
        <v>3</v>
      </c>
      <c r="F354" s="70" t="s">
        <v>288</v>
      </c>
      <c r="G354" s="70">
        <v>1</v>
      </c>
      <c r="H354" s="84" t="s">
        <v>278</v>
      </c>
      <c r="I354" s="19">
        <v>47</v>
      </c>
      <c r="J354" s="70" t="s">
        <v>289</v>
      </c>
      <c r="K354" s="2">
        <f>(VLOOKUP(H354,'functions and szcl estimates'!$A$14:$I$23,4, FALSE))*(('raw data'!I490)^(VLOOKUP('raw data'!H490,'functions and szcl estimates'!$A$14:$I$23, 7, FALSE)))</f>
        <v>290.9614872347974</v>
      </c>
      <c r="L354" s="12">
        <v>0.49305555555555602</v>
      </c>
      <c r="M354" s="8">
        <v>0.6875</v>
      </c>
      <c r="N354" s="8">
        <f t="shared" si="18"/>
        <v>-0.19444444444444398</v>
      </c>
      <c r="O354" s="14">
        <v>76.75</v>
      </c>
      <c r="S354" t="s">
        <v>148</v>
      </c>
    </row>
    <row r="355" spans="1:19" x14ac:dyDescent="0.2">
      <c r="A355" s="5">
        <v>39665</v>
      </c>
      <c r="B355" s="17">
        <v>2012</v>
      </c>
      <c r="C355" s="18" t="str">
        <f t="shared" si="17"/>
        <v>Elkhorn Slough_39665_Area 4_0.4931</v>
      </c>
      <c r="D355" s="4" t="s">
        <v>45</v>
      </c>
      <c r="E355" s="19" t="s">
        <v>3</v>
      </c>
      <c r="F355" s="70" t="s">
        <v>288</v>
      </c>
      <c r="G355" s="70">
        <v>1</v>
      </c>
      <c r="H355" s="84" t="s">
        <v>278</v>
      </c>
      <c r="I355" s="19">
        <v>49</v>
      </c>
      <c r="J355" s="70" t="s">
        <v>289</v>
      </c>
      <c r="K355" s="2">
        <f>(VLOOKUP(H355,'functions and szcl estimates'!$A$14:$I$23,4, FALSE))*(('raw data'!I491)^(VLOOKUP('raw data'!H491,'functions and szcl estimates'!$A$14:$I$23, 7, FALSE)))</f>
        <v>299.56572140512293</v>
      </c>
      <c r="L355" s="12">
        <v>0.49305555555555602</v>
      </c>
      <c r="M355" s="8">
        <v>0.6875</v>
      </c>
      <c r="N355" s="8">
        <f t="shared" si="18"/>
        <v>-0.19444444444444398</v>
      </c>
      <c r="O355" s="14">
        <v>76.75</v>
      </c>
      <c r="S355" t="s">
        <v>148</v>
      </c>
    </row>
    <row r="356" spans="1:19" x14ac:dyDescent="0.2">
      <c r="A356" s="5">
        <v>39665</v>
      </c>
      <c r="B356" s="17">
        <v>2012</v>
      </c>
      <c r="C356" s="18" t="str">
        <f t="shared" si="17"/>
        <v>Elkhorn Slough_39665_Area 4_0.4931</v>
      </c>
      <c r="D356" s="4" t="s">
        <v>45</v>
      </c>
      <c r="E356" s="19" t="s">
        <v>3</v>
      </c>
      <c r="F356" s="70" t="s">
        <v>288</v>
      </c>
      <c r="G356" s="70">
        <v>1</v>
      </c>
      <c r="H356" s="84" t="s">
        <v>278</v>
      </c>
      <c r="I356" s="19">
        <v>50</v>
      </c>
      <c r="J356" s="70" t="s">
        <v>289</v>
      </c>
      <c r="K356" s="2">
        <f>(VLOOKUP(H356,'functions and szcl estimates'!$A$14:$I$23,4, FALSE))*(('raw data'!I492)^(VLOOKUP('raw data'!H492,'functions and szcl estimates'!$A$14:$I$23, 7, FALSE)))</f>
        <v>308.31928582440258</v>
      </c>
      <c r="L356" s="12">
        <v>0.49305555555555602</v>
      </c>
      <c r="M356" s="8">
        <v>0.6875</v>
      </c>
      <c r="N356" s="8">
        <f t="shared" si="18"/>
        <v>-0.19444444444444398</v>
      </c>
      <c r="O356" s="14">
        <v>76.75</v>
      </c>
      <c r="S356" t="s">
        <v>148</v>
      </c>
    </row>
    <row r="357" spans="1:19" x14ac:dyDescent="0.2">
      <c r="A357" s="5">
        <v>39665</v>
      </c>
      <c r="B357" s="17">
        <v>2012</v>
      </c>
      <c r="C357" s="18" t="str">
        <f t="shared" si="17"/>
        <v>Elkhorn Slough_39665_Area 4_0.4931</v>
      </c>
      <c r="D357" s="4" t="s">
        <v>45</v>
      </c>
      <c r="E357" s="19" t="s">
        <v>3</v>
      </c>
      <c r="F357" s="70" t="s">
        <v>288</v>
      </c>
      <c r="G357" s="70">
        <v>1</v>
      </c>
      <c r="H357" s="84" t="s">
        <v>278</v>
      </c>
      <c r="I357" s="19">
        <v>50</v>
      </c>
      <c r="J357" s="70" t="s">
        <v>289</v>
      </c>
      <c r="K357" s="2">
        <f>(VLOOKUP(H357,'functions and szcl estimates'!$A$14:$I$23,4, FALSE))*(('raw data'!I493)^(VLOOKUP('raw data'!H493,'functions and szcl estimates'!$A$14:$I$23, 7, FALSE)))</f>
        <v>308.31928582440258</v>
      </c>
      <c r="L357" s="12">
        <v>0.49305555555555602</v>
      </c>
      <c r="M357" s="8">
        <v>0.6875</v>
      </c>
      <c r="N357" s="8">
        <f t="shared" si="18"/>
        <v>-0.19444444444444398</v>
      </c>
      <c r="O357" s="14">
        <v>76.75</v>
      </c>
      <c r="S357" t="s">
        <v>148</v>
      </c>
    </row>
    <row r="358" spans="1:19" x14ac:dyDescent="0.2">
      <c r="A358" s="5">
        <v>39665</v>
      </c>
      <c r="B358" s="17">
        <v>2012</v>
      </c>
      <c r="C358" s="18" t="str">
        <f t="shared" si="17"/>
        <v>Elkhorn Slough_39665_Area 4_0.4931</v>
      </c>
      <c r="D358" s="4" t="s">
        <v>45</v>
      </c>
      <c r="E358" s="19" t="s">
        <v>3</v>
      </c>
      <c r="F358" s="70" t="s">
        <v>288</v>
      </c>
      <c r="G358" s="70">
        <v>1</v>
      </c>
      <c r="H358" s="84" t="s">
        <v>278</v>
      </c>
      <c r="I358" s="19">
        <v>50</v>
      </c>
      <c r="J358" s="70" t="s">
        <v>289</v>
      </c>
      <c r="K358" s="2">
        <f>(VLOOKUP(H358,'functions and szcl estimates'!$A$14:$I$23,4, FALSE))*(('raw data'!I494)^(VLOOKUP('raw data'!H494,'functions and szcl estimates'!$A$14:$I$23, 7, FALSE)))</f>
        <v>354.35523939899332</v>
      </c>
      <c r="L358" s="12">
        <v>0.49305555555555602</v>
      </c>
      <c r="M358" s="8">
        <v>0.6875</v>
      </c>
      <c r="N358" s="8">
        <f t="shared" si="18"/>
        <v>-0.19444444444444398</v>
      </c>
      <c r="O358" s="14">
        <v>76.75</v>
      </c>
      <c r="S358" t="s">
        <v>148</v>
      </c>
    </row>
    <row r="359" spans="1:19" x14ac:dyDescent="0.2">
      <c r="A359" s="5">
        <v>39665</v>
      </c>
      <c r="B359" s="17">
        <v>2012</v>
      </c>
      <c r="C359" s="18" t="str">
        <f t="shared" si="17"/>
        <v>Elkhorn Slough_39665_Area 4_0.4931</v>
      </c>
      <c r="D359" s="4" t="s">
        <v>45</v>
      </c>
      <c r="E359" s="19" t="s">
        <v>3</v>
      </c>
      <c r="F359" s="70" t="s">
        <v>288</v>
      </c>
      <c r="G359" s="70">
        <v>1</v>
      </c>
      <c r="H359" s="84" t="s">
        <v>278</v>
      </c>
      <c r="I359" s="19">
        <v>51</v>
      </c>
      <c r="J359" s="70" t="s">
        <v>289</v>
      </c>
      <c r="K359" s="2">
        <f>(VLOOKUP(H359,'functions and szcl estimates'!$A$14:$I$23,4, FALSE))*(('raw data'!I495)^(VLOOKUP('raw data'!H495,'functions and szcl estimates'!$A$14:$I$23, 7, FALSE)))</f>
        <v>373.8429048941519</v>
      </c>
      <c r="L359" s="12">
        <v>0.49305555555555602</v>
      </c>
      <c r="M359" s="8">
        <v>0.6875</v>
      </c>
      <c r="N359" s="8">
        <f t="shared" si="18"/>
        <v>-0.19444444444444398</v>
      </c>
      <c r="O359" s="14">
        <v>76.75</v>
      </c>
      <c r="S359" t="s">
        <v>148</v>
      </c>
    </row>
    <row r="360" spans="1:19" x14ac:dyDescent="0.2">
      <c r="A360" s="5">
        <v>39665</v>
      </c>
      <c r="B360" s="17">
        <v>2012</v>
      </c>
      <c r="C360" s="18" t="str">
        <f t="shared" si="17"/>
        <v>Elkhorn Slough_39665_Area 4_0.4931</v>
      </c>
      <c r="D360" s="4" t="s">
        <v>45</v>
      </c>
      <c r="E360" s="19" t="s">
        <v>3</v>
      </c>
      <c r="F360" s="70" t="s">
        <v>288</v>
      </c>
      <c r="G360" s="70">
        <v>1</v>
      </c>
      <c r="H360" s="84" t="s">
        <v>278</v>
      </c>
      <c r="I360" s="19">
        <v>51</v>
      </c>
      <c r="J360" s="70" t="s">
        <v>289</v>
      </c>
      <c r="K360" s="2">
        <f>(VLOOKUP(H360,'functions and szcl estimates'!$A$14:$I$23,4, FALSE))*(('raw data'!I496)^(VLOOKUP('raw data'!H496,'functions and szcl estimates'!$A$14:$I$23, 7, FALSE)))</f>
        <v>425.29980329539933</v>
      </c>
      <c r="L360" s="12">
        <v>0.49305555555555602</v>
      </c>
      <c r="M360" s="8">
        <v>0.6875</v>
      </c>
      <c r="N360" s="8">
        <f t="shared" si="18"/>
        <v>-0.19444444444444398</v>
      </c>
      <c r="O360" s="14">
        <v>76.75</v>
      </c>
      <c r="S360" t="s">
        <v>148</v>
      </c>
    </row>
    <row r="361" spans="1:19" x14ac:dyDescent="0.2">
      <c r="A361" s="5">
        <v>39665</v>
      </c>
      <c r="B361" s="17">
        <v>2012</v>
      </c>
      <c r="C361" s="18" t="str">
        <f t="shared" si="17"/>
        <v>Elkhorn Slough_39665_Area 4_0.4931</v>
      </c>
      <c r="D361" s="4" t="s">
        <v>45</v>
      </c>
      <c r="E361" s="19" t="s">
        <v>3</v>
      </c>
      <c r="F361" s="70" t="s">
        <v>288</v>
      </c>
      <c r="G361" s="70">
        <v>1</v>
      </c>
      <c r="H361" s="84" t="s">
        <v>278</v>
      </c>
      <c r="I361" s="19">
        <v>51</v>
      </c>
      <c r="J361" s="70" t="s">
        <v>289</v>
      </c>
      <c r="K361" s="2">
        <f>(VLOOKUP(H361,'functions and szcl estimates'!$A$14:$I$23,4, FALSE))*(('raw data'!I497)^(VLOOKUP('raw data'!H497,'functions and szcl estimates'!$A$14:$I$23, 7, FALSE)))</f>
        <v>446.99368792401498</v>
      </c>
      <c r="L361" s="12">
        <v>0.49305555555555602</v>
      </c>
      <c r="M361" s="8">
        <v>0.6875</v>
      </c>
      <c r="N361" s="8">
        <f t="shared" si="18"/>
        <v>-0.19444444444444398</v>
      </c>
      <c r="O361" s="14">
        <v>76.75</v>
      </c>
      <c r="S361" t="s">
        <v>148</v>
      </c>
    </row>
    <row r="362" spans="1:19" x14ac:dyDescent="0.2">
      <c r="A362" s="5">
        <v>39665</v>
      </c>
      <c r="B362" s="17">
        <v>2012</v>
      </c>
      <c r="C362" s="18" t="str">
        <f t="shared" si="17"/>
        <v>Elkhorn Slough_39665_Area 4_0.4931</v>
      </c>
      <c r="D362" s="4" t="s">
        <v>45</v>
      </c>
      <c r="E362" s="19" t="s">
        <v>3</v>
      </c>
      <c r="F362" s="70" t="s">
        <v>288</v>
      </c>
      <c r="G362" s="70">
        <v>1</v>
      </c>
      <c r="H362" s="84" t="s">
        <v>278</v>
      </c>
      <c r="I362" s="19">
        <v>52</v>
      </c>
      <c r="J362" s="70" t="s">
        <v>289</v>
      </c>
      <c r="K362" s="2">
        <f>(VLOOKUP(H362,'functions and szcl estimates'!$A$14:$I$23,4, FALSE))*(('raw data'!I498)^(VLOOKUP('raw data'!H498,'functions and szcl estimates'!$A$14:$I$23, 7, FALSE)))</f>
        <v>458.08173988027283</v>
      </c>
      <c r="L362" s="12">
        <v>0.49305555555555602</v>
      </c>
      <c r="M362" s="8">
        <v>0.6875</v>
      </c>
      <c r="N362" s="8">
        <f t="shared" si="18"/>
        <v>-0.19444444444444398</v>
      </c>
      <c r="O362" s="14">
        <v>76.75</v>
      </c>
      <c r="S362" t="s">
        <v>148</v>
      </c>
    </row>
    <row r="363" spans="1:19" x14ac:dyDescent="0.2">
      <c r="A363" s="5">
        <v>39665</v>
      </c>
      <c r="B363" s="17">
        <v>2012</v>
      </c>
      <c r="C363" s="18" t="str">
        <f t="shared" si="17"/>
        <v>Elkhorn Slough_39665_Area 4_0.4931</v>
      </c>
      <c r="D363" s="4" t="s">
        <v>45</v>
      </c>
      <c r="E363" s="19" t="s">
        <v>3</v>
      </c>
      <c r="F363" s="70" t="s">
        <v>288</v>
      </c>
      <c r="G363" s="70">
        <v>1</v>
      </c>
      <c r="H363" s="84" t="s">
        <v>278</v>
      </c>
      <c r="I363" s="19">
        <v>52</v>
      </c>
      <c r="J363" s="70" t="s">
        <v>289</v>
      </c>
      <c r="K363" s="2">
        <f>(VLOOKUP(H363,'functions and szcl estimates'!$A$14:$I$23,4, FALSE))*(('raw data'!I499)^(VLOOKUP('raw data'!H499,'functions and szcl estimates'!$A$14:$I$23, 7, FALSE)))</f>
        <v>299.56572140512293</v>
      </c>
      <c r="L363" s="12">
        <v>0.49305555555555602</v>
      </c>
      <c r="M363" s="8">
        <v>0.6875</v>
      </c>
      <c r="N363" s="8">
        <f t="shared" si="18"/>
        <v>-0.19444444444444398</v>
      </c>
      <c r="O363" s="14">
        <v>76.75</v>
      </c>
      <c r="S363" t="s">
        <v>148</v>
      </c>
    </row>
    <row r="364" spans="1:19" x14ac:dyDescent="0.2">
      <c r="A364" s="5">
        <v>39665</v>
      </c>
      <c r="B364" s="17">
        <v>2012</v>
      </c>
      <c r="C364" s="18" t="str">
        <f t="shared" si="17"/>
        <v>Elkhorn Slough_39665_Area 4_0.4931</v>
      </c>
      <c r="D364" s="4" t="s">
        <v>45</v>
      </c>
      <c r="E364" s="19" t="s">
        <v>3</v>
      </c>
      <c r="F364" s="70" t="s">
        <v>288</v>
      </c>
      <c r="G364" s="70">
        <v>1</v>
      </c>
      <c r="H364" s="84" t="s">
        <v>278</v>
      </c>
      <c r="I364" s="19">
        <v>52</v>
      </c>
      <c r="J364" s="70" t="s">
        <v>289</v>
      </c>
      <c r="K364" s="2">
        <f>(VLOOKUP(H364,'functions and szcl estimates'!$A$14:$I$23,4, FALSE))*(('raw data'!I500)^(VLOOKUP('raw data'!H500,'functions and szcl estimates'!$A$14:$I$23, 7, FALSE)))</f>
        <v>274.19774356319698</v>
      </c>
      <c r="L364" s="12">
        <v>0.49305555555555602</v>
      </c>
      <c r="M364" s="8">
        <v>0.6875</v>
      </c>
      <c r="N364" s="8">
        <f t="shared" si="18"/>
        <v>-0.19444444444444398</v>
      </c>
      <c r="O364" s="14">
        <v>76.75</v>
      </c>
      <c r="S364" t="s">
        <v>148</v>
      </c>
    </row>
    <row r="365" spans="1:19" x14ac:dyDescent="0.2">
      <c r="A365" s="5">
        <v>39665</v>
      </c>
      <c r="B365" s="17">
        <v>2012</v>
      </c>
      <c r="C365" s="18" t="str">
        <f t="shared" si="17"/>
        <v>Elkhorn Slough_39665_Area 4_0.4931</v>
      </c>
      <c r="D365" s="4" t="s">
        <v>45</v>
      </c>
      <c r="E365" s="19" t="s">
        <v>3</v>
      </c>
      <c r="F365" s="70" t="s">
        <v>288</v>
      </c>
      <c r="G365" s="70">
        <v>1</v>
      </c>
      <c r="H365" s="84" t="s">
        <v>278</v>
      </c>
      <c r="I365" s="19">
        <v>53</v>
      </c>
      <c r="J365" s="70" t="s">
        <v>289</v>
      </c>
      <c r="K365" s="2">
        <f>(VLOOKUP(H365,'functions and szcl estimates'!$A$14:$I$23,4, FALSE))*(('raw data'!I501)^(VLOOKUP('raw data'!H501,'functions and szcl estimates'!$A$14:$I$23, 7, FALSE)))</f>
        <v>250.15155250700519</v>
      </c>
      <c r="L365" s="12">
        <v>0.49305555555555602</v>
      </c>
      <c r="M365" s="8">
        <v>0.6875</v>
      </c>
      <c r="N365" s="8">
        <f t="shared" si="18"/>
        <v>-0.19444444444444398</v>
      </c>
      <c r="O365" s="14">
        <v>76.75</v>
      </c>
      <c r="S365" t="s">
        <v>148</v>
      </c>
    </row>
    <row r="366" spans="1:19" x14ac:dyDescent="0.2">
      <c r="A366" s="5">
        <v>39665</v>
      </c>
      <c r="B366" s="17">
        <v>2012</v>
      </c>
      <c r="C366" s="18" t="str">
        <f t="shared" si="17"/>
        <v>Elkhorn Slough_39665_Area 4_0.4931</v>
      </c>
      <c r="D366" s="4" t="s">
        <v>45</v>
      </c>
      <c r="E366" s="19" t="s">
        <v>3</v>
      </c>
      <c r="F366" s="70" t="s">
        <v>288</v>
      </c>
      <c r="G366" s="70">
        <v>1</v>
      </c>
      <c r="H366" s="84" t="s">
        <v>278</v>
      </c>
      <c r="I366" s="19">
        <v>53</v>
      </c>
      <c r="J366" s="70" t="s">
        <v>289</v>
      </c>
      <c r="K366" s="2">
        <f>(VLOOKUP(H366,'functions and szcl estimates'!$A$14:$I$23,4, FALSE))*(('raw data'!I502)^(VLOOKUP('raw data'!H502,'functions and szcl estimates'!$A$14:$I$23, 7, FALSE)))</f>
        <v>299.56572140512293</v>
      </c>
      <c r="L366" s="12">
        <v>0.49305555555555602</v>
      </c>
      <c r="M366" s="8">
        <v>0.6875</v>
      </c>
      <c r="N366" s="8">
        <f t="shared" si="18"/>
        <v>-0.19444444444444398</v>
      </c>
      <c r="O366" s="14">
        <v>76.75</v>
      </c>
      <c r="S366" t="s">
        <v>148</v>
      </c>
    </row>
    <row r="367" spans="1:19" x14ac:dyDescent="0.2">
      <c r="A367" s="5">
        <v>39665</v>
      </c>
      <c r="B367" s="17">
        <v>2012</v>
      </c>
      <c r="C367" s="18" t="str">
        <f t="shared" si="17"/>
        <v>Elkhorn Slough_39665_Area 4_0.4931</v>
      </c>
      <c r="D367" s="4" t="s">
        <v>45</v>
      </c>
      <c r="E367" s="19" t="s">
        <v>3</v>
      </c>
      <c r="F367" s="70" t="s">
        <v>288</v>
      </c>
      <c r="G367" s="70">
        <v>1</v>
      </c>
      <c r="H367" s="84" t="s">
        <v>278</v>
      </c>
      <c r="I367" s="19">
        <v>53</v>
      </c>
      <c r="J367" s="70" t="s">
        <v>289</v>
      </c>
      <c r="K367" s="2">
        <f>(VLOOKUP(H367,'functions and szcl estimates'!$A$14:$I$23,4, FALSE))*(('raw data'!I503)^(VLOOKUP('raw data'!H503,'functions and szcl estimates'!$A$14:$I$23, 7, FALSE)))</f>
        <v>326.27764065313386</v>
      </c>
      <c r="L367" s="12">
        <v>0.49305555555555602</v>
      </c>
      <c r="M367" s="8">
        <v>0.6875</v>
      </c>
      <c r="N367" s="8">
        <f t="shared" si="18"/>
        <v>-0.19444444444444398</v>
      </c>
      <c r="O367" s="14">
        <v>76.75</v>
      </c>
      <c r="S367" t="s">
        <v>148</v>
      </c>
    </row>
    <row r="368" spans="1:19" x14ac:dyDescent="0.2">
      <c r="A368" s="5">
        <v>39665</v>
      </c>
      <c r="B368" s="17">
        <v>2012</v>
      </c>
      <c r="C368" s="18" t="str">
        <f t="shared" si="17"/>
        <v>Elkhorn Slough_39665_Area 4_0.4931</v>
      </c>
      <c r="D368" s="4" t="s">
        <v>45</v>
      </c>
      <c r="E368" s="19" t="s">
        <v>3</v>
      </c>
      <c r="F368" s="70" t="s">
        <v>288</v>
      </c>
      <c r="G368" s="70">
        <v>1</v>
      </c>
      <c r="H368" s="84" t="s">
        <v>278</v>
      </c>
      <c r="I368" s="19">
        <v>53</v>
      </c>
      <c r="J368" s="70" t="s">
        <v>289</v>
      </c>
      <c r="K368" s="2">
        <f>(VLOOKUP(H368,'functions and szcl estimates'!$A$14:$I$23,4, FALSE))*(('raw data'!I504)^(VLOOKUP('raw data'!H504,'functions and szcl estimates'!$A$14:$I$23, 7, FALSE)))</f>
        <v>469.33152315235321</v>
      </c>
      <c r="L368" s="12">
        <v>0.49305555555555602</v>
      </c>
      <c r="M368" s="8">
        <v>0.6875</v>
      </c>
      <c r="N368" s="8">
        <f t="shared" si="18"/>
        <v>-0.19444444444444398</v>
      </c>
      <c r="O368" s="14">
        <v>76.75</v>
      </c>
      <c r="S368" t="s">
        <v>148</v>
      </c>
    </row>
    <row r="369" spans="1:19" x14ac:dyDescent="0.2">
      <c r="A369" s="5">
        <v>39665</v>
      </c>
      <c r="B369" s="17">
        <v>2012</v>
      </c>
      <c r="C369" s="18" t="str">
        <f t="shared" si="17"/>
        <v>Elkhorn Slough_39665_Area 4_0.4931</v>
      </c>
      <c r="D369" s="4" t="s">
        <v>45</v>
      </c>
      <c r="E369" s="19" t="s">
        <v>3</v>
      </c>
      <c r="F369" s="70" t="s">
        <v>288</v>
      </c>
      <c r="G369" s="70">
        <v>1</v>
      </c>
      <c r="H369" s="84" t="s">
        <v>278</v>
      </c>
      <c r="I369" s="19">
        <v>54</v>
      </c>
      <c r="J369" s="70" t="s">
        <v>289</v>
      </c>
      <c r="K369" s="2">
        <f>(VLOOKUP(H369,'functions and szcl estimates'!$A$14:$I$23,4, FALSE))*(('raw data'!I505)^(VLOOKUP('raw data'!H505,'functions and szcl estimates'!$A$14:$I$23, 7, FALSE)))</f>
        <v>364.02162324943225</v>
      </c>
      <c r="L369" s="12">
        <v>0.49305555555555602</v>
      </c>
      <c r="M369" s="8">
        <v>0.6875</v>
      </c>
      <c r="N369" s="8">
        <f t="shared" si="18"/>
        <v>-0.19444444444444398</v>
      </c>
      <c r="O369" s="14">
        <v>76.75</v>
      </c>
      <c r="S369" t="s">
        <v>148</v>
      </c>
    </row>
    <row r="370" spans="1:19" x14ac:dyDescent="0.2">
      <c r="A370" s="5">
        <v>39665</v>
      </c>
      <c r="B370" s="17">
        <v>2012</v>
      </c>
      <c r="C370" s="18" t="str">
        <f t="shared" si="17"/>
        <v>Elkhorn Slough_39665_Area 4_0.4931</v>
      </c>
      <c r="D370" s="4" t="s">
        <v>45</v>
      </c>
      <c r="E370" s="19" t="s">
        <v>3</v>
      </c>
      <c r="F370" s="70" t="s">
        <v>288</v>
      </c>
      <c r="G370" s="70">
        <v>1</v>
      </c>
      <c r="H370" s="84" t="s">
        <v>278</v>
      </c>
      <c r="I370" s="19">
        <v>54</v>
      </c>
      <c r="J370" s="70" t="s">
        <v>289</v>
      </c>
      <c r="K370" s="2">
        <f>(VLOOKUP(H370,'functions and szcl estimates'!$A$14:$I$23,4, FALSE))*(('raw data'!I506)^(VLOOKUP('raw data'!H506,'functions and szcl estimates'!$A$14:$I$23, 7, FALSE)))</f>
        <v>179.25016444340679</v>
      </c>
      <c r="L370" s="12">
        <v>0.49305555555555602</v>
      </c>
      <c r="M370" s="8">
        <v>0.6875</v>
      </c>
      <c r="N370" s="8">
        <f t="shared" si="18"/>
        <v>-0.19444444444444398</v>
      </c>
      <c r="O370" s="14">
        <v>76.75</v>
      </c>
      <c r="S370" t="s">
        <v>148</v>
      </c>
    </row>
    <row r="371" spans="1:19" x14ac:dyDescent="0.2">
      <c r="A371" s="5">
        <v>39665</v>
      </c>
      <c r="B371" s="17">
        <v>2012</v>
      </c>
      <c r="C371" s="18" t="str">
        <f t="shared" si="17"/>
        <v>Elkhorn Slough_39665_Area 4_0.4931</v>
      </c>
      <c r="D371" s="4" t="s">
        <v>45</v>
      </c>
      <c r="E371" s="19" t="s">
        <v>3</v>
      </c>
      <c r="F371" s="70" t="s">
        <v>288</v>
      </c>
      <c r="G371" s="70">
        <v>1</v>
      </c>
      <c r="H371" s="84" t="s">
        <v>278</v>
      </c>
      <c r="I371" s="19">
        <v>54</v>
      </c>
      <c r="J371" s="70" t="s">
        <v>289</v>
      </c>
      <c r="K371" s="2">
        <f>(VLOOKUP(H371,'functions and szcl estimates'!$A$14:$I$23,4, FALSE))*(('raw data'!I507)^(VLOOKUP('raw data'!H507,'functions and szcl estimates'!$A$14:$I$23, 7, FALSE)))</f>
        <v>81.096221013463804</v>
      </c>
      <c r="L371" s="12">
        <v>0.49305555555555602</v>
      </c>
      <c r="M371" s="8">
        <v>0.6875</v>
      </c>
      <c r="N371" s="8">
        <f t="shared" si="18"/>
        <v>-0.19444444444444398</v>
      </c>
      <c r="O371" s="14">
        <v>76.75</v>
      </c>
      <c r="S371" t="s">
        <v>148</v>
      </c>
    </row>
    <row r="372" spans="1:19" x14ac:dyDescent="0.2">
      <c r="A372" s="5">
        <v>39665</v>
      </c>
      <c r="B372" s="17">
        <v>2012</v>
      </c>
      <c r="C372" s="18" t="str">
        <f t="shared" si="17"/>
        <v>Elkhorn Slough_39665_Area 4_0.4931</v>
      </c>
      <c r="D372" s="4" t="s">
        <v>45</v>
      </c>
      <c r="E372" s="19" t="s">
        <v>3</v>
      </c>
      <c r="F372" s="70" t="s">
        <v>288</v>
      </c>
      <c r="G372" s="70">
        <v>1</v>
      </c>
      <c r="H372" s="84" t="s">
        <v>278</v>
      </c>
      <c r="I372" s="19">
        <v>55</v>
      </c>
      <c r="J372" s="70" t="s">
        <v>289</v>
      </c>
      <c r="K372" s="2">
        <f>(VLOOKUP(H372,'functions and szcl estimates'!$A$14:$I$23,4, FALSE))*(('raw data'!I508)^(VLOOKUP('raw data'!H508,'functions and szcl estimates'!$A$14:$I$23, 7, FALSE)))</f>
        <v>102.54915486325298</v>
      </c>
      <c r="L372" s="12">
        <v>0.49305555555555602</v>
      </c>
      <c r="M372" s="8">
        <v>0.6875</v>
      </c>
      <c r="N372" s="8">
        <f t="shared" si="18"/>
        <v>-0.19444444444444398</v>
      </c>
      <c r="O372" s="14">
        <v>76.75</v>
      </c>
      <c r="S372" t="s">
        <v>148</v>
      </c>
    </row>
    <row r="373" spans="1:19" x14ac:dyDescent="0.2">
      <c r="A373" s="5">
        <v>39665</v>
      </c>
      <c r="B373" s="17">
        <v>2012</v>
      </c>
      <c r="C373" s="18" t="str">
        <f t="shared" si="17"/>
        <v>Elkhorn Slough_39665_Area 4_0.4931</v>
      </c>
      <c r="D373" s="4" t="s">
        <v>45</v>
      </c>
      <c r="E373" s="19" t="s">
        <v>3</v>
      </c>
      <c r="F373" s="70" t="s">
        <v>288</v>
      </c>
      <c r="G373" s="70">
        <v>1</v>
      </c>
      <c r="H373" s="84" t="s">
        <v>278</v>
      </c>
      <c r="I373" s="19">
        <v>55</v>
      </c>
      <c r="J373" s="70" t="s">
        <v>289</v>
      </c>
      <c r="K373" s="2">
        <f>(VLOOKUP(H373,'functions and szcl estimates'!$A$14:$I$23,4, FALSE))*(('raw data'!I509)^(VLOOKUP('raw data'!H509,'functions and szcl estimates'!$A$14:$I$23, 7, FALSE)))</f>
        <v>111.97769854655624</v>
      </c>
      <c r="L373" s="12">
        <v>0.49305555555555602</v>
      </c>
      <c r="M373" s="8">
        <v>0.6875</v>
      </c>
      <c r="N373" s="8">
        <f t="shared" si="18"/>
        <v>-0.19444444444444398</v>
      </c>
      <c r="O373" s="14">
        <v>76.75</v>
      </c>
      <c r="S373" t="s">
        <v>148</v>
      </c>
    </row>
    <row r="374" spans="1:19" x14ac:dyDescent="0.2">
      <c r="A374" s="5">
        <v>39665</v>
      </c>
      <c r="B374" s="17">
        <v>2012</v>
      </c>
      <c r="C374" s="18" t="str">
        <f t="shared" si="17"/>
        <v>Elkhorn Slough_39665_Area 4_0.4931</v>
      </c>
      <c r="D374" s="4" t="s">
        <v>45</v>
      </c>
      <c r="E374" s="19" t="s">
        <v>3</v>
      </c>
      <c r="F374" s="70" t="s">
        <v>288</v>
      </c>
      <c r="G374" s="70">
        <v>1</v>
      </c>
      <c r="H374" s="84" t="s">
        <v>278</v>
      </c>
      <c r="I374" s="19">
        <v>55</v>
      </c>
      <c r="J374" s="70" t="s">
        <v>289</v>
      </c>
      <c r="K374" s="2">
        <f>(VLOOKUP(H374,'functions and szcl estimates'!$A$14:$I$23,4, FALSE))*(('raw data'!I510)^(VLOOKUP('raw data'!H510,'functions and szcl estimates'!$A$14:$I$23, 7, FALSE)))</f>
        <v>192.31712346406093</v>
      </c>
      <c r="L374" s="12">
        <v>0.49305555555555602</v>
      </c>
      <c r="M374" s="8">
        <v>0.6875</v>
      </c>
      <c r="N374" s="8">
        <f t="shared" si="18"/>
        <v>-0.19444444444444398</v>
      </c>
      <c r="O374" s="14">
        <v>76.75</v>
      </c>
      <c r="S374" t="s">
        <v>148</v>
      </c>
    </row>
    <row r="375" spans="1:19" x14ac:dyDescent="0.2">
      <c r="A375" s="5">
        <v>39665</v>
      </c>
      <c r="B375" s="17">
        <v>2012</v>
      </c>
      <c r="C375" s="18" t="str">
        <f t="shared" si="17"/>
        <v>Elkhorn Slough_39665_Area 4_0.4931</v>
      </c>
      <c r="D375" s="4" t="s">
        <v>45</v>
      </c>
      <c r="E375" s="19" t="s">
        <v>3</v>
      </c>
      <c r="F375" s="70" t="s">
        <v>288</v>
      </c>
      <c r="G375" s="70">
        <v>1</v>
      </c>
      <c r="H375" s="84" t="s">
        <v>278</v>
      </c>
      <c r="I375" s="19">
        <v>55</v>
      </c>
      <c r="J375" s="70" t="s">
        <v>289</v>
      </c>
      <c r="K375" s="2">
        <f>(VLOOKUP(H375,'functions and szcl estimates'!$A$14:$I$23,4, FALSE))*(('raw data'!I511)^(VLOOKUP('raw data'!H511,'functions and szcl estimates'!$A$14:$I$23, 7, FALSE)))</f>
        <v>250.15155250700519</v>
      </c>
      <c r="L375" s="12">
        <v>0.49305555555555602</v>
      </c>
      <c r="M375" s="8">
        <v>0.6875</v>
      </c>
      <c r="N375" s="8">
        <f t="shared" si="18"/>
        <v>-0.19444444444444398</v>
      </c>
      <c r="O375" s="14">
        <v>76.75</v>
      </c>
      <c r="S375" t="s">
        <v>148</v>
      </c>
    </row>
    <row r="376" spans="1:19" x14ac:dyDescent="0.2">
      <c r="A376" s="5">
        <v>39665</v>
      </c>
      <c r="B376" s="17">
        <v>2012</v>
      </c>
      <c r="C376" s="18" t="str">
        <f t="shared" si="17"/>
        <v>Elkhorn Slough_39665_Area 4_0.4931</v>
      </c>
      <c r="D376" s="4" t="s">
        <v>45</v>
      </c>
      <c r="E376" s="19" t="s">
        <v>3</v>
      </c>
      <c r="F376" s="70" t="s">
        <v>288</v>
      </c>
      <c r="G376" s="70">
        <v>1</v>
      </c>
      <c r="H376" s="84" t="s">
        <v>278</v>
      </c>
      <c r="I376" s="19">
        <v>55</v>
      </c>
      <c r="J376" s="70" t="s">
        <v>289</v>
      </c>
      <c r="K376" s="2">
        <f>(VLOOKUP(H376,'functions and szcl estimates'!$A$14:$I$23,4, FALSE))*(('raw data'!I512)^(VLOOKUP('raw data'!H512,'functions and szcl estimates'!$A$14:$I$23, 7, FALSE)))</f>
        <v>77.160389009541049</v>
      </c>
      <c r="L376" s="12">
        <v>0.49305555555555602</v>
      </c>
      <c r="M376" s="8">
        <v>0.6875</v>
      </c>
      <c r="N376" s="8">
        <f t="shared" si="18"/>
        <v>-0.19444444444444398</v>
      </c>
      <c r="O376" s="14">
        <v>76.75</v>
      </c>
      <c r="S376" t="s">
        <v>148</v>
      </c>
    </row>
    <row r="377" spans="1:19" x14ac:dyDescent="0.2">
      <c r="A377" s="5">
        <v>39665</v>
      </c>
      <c r="B377" s="17">
        <v>2012</v>
      </c>
      <c r="C377" s="18" t="str">
        <f t="shared" si="17"/>
        <v>Elkhorn Slough_39665_Area 4_0.4931</v>
      </c>
      <c r="D377" s="4" t="s">
        <v>45</v>
      </c>
      <c r="E377" s="19" t="s">
        <v>3</v>
      </c>
      <c r="F377" s="70" t="s">
        <v>288</v>
      </c>
      <c r="G377" s="70">
        <v>1</v>
      </c>
      <c r="H377" s="84" t="s">
        <v>278</v>
      </c>
      <c r="I377" s="19">
        <v>56</v>
      </c>
      <c r="J377" s="70" t="s">
        <v>289</v>
      </c>
      <c r="K377" s="2">
        <f>(VLOOKUP(H377,'functions and szcl estimates'!$A$14:$I$23,4, FALSE))*(('raw data'!I513)^(VLOOKUP('raw data'!H513,'functions and szcl estimates'!$A$14:$I$23, 7, FALSE)))</f>
        <v>62.563438029484232</v>
      </c>
      <c r="L377" s="12">
        <v>0.49305555555555602</v>
      </c>
      <c r="M377" s="8">
        <v>0.6875</v>
      </c>
      <c r="N377" s="8">
        <f t="shared" si="18"/>
        <v>-0.19444444444444398</v>
      </c>
      <c r="O377" s="14">
        <v>76.75</v>
      </c>
      <c r="S377" t="s">
        <v>148</v>
      </c>
    </row>
    <row r="378" spans="1:19" x14ac:dyDescent="0.2">
      <c r="A378" s="5">
        <v>39665</v>
      </c>
      <c r="B378" s="17">
        <v>2012</v>
      </c>
      <c r="C378" s="18" t="str">
        <f t="shared" si="17"/>
        <v>Elkhorn Slough_39665_Area 4_0.4931</v>
      </c>
      <c r="D378" s="4" t="s">
        <v>45</v>
      </c>
      <c r="E378" s="19" t="s">
        <v>3</v>
      </c>
      <c r="F378" s="70" t="s">
        <v>288</v>
      </c>
      <c r="G378" s="70">
        <v>1</v>
      </c>
      <c r="H378" s="84" t="s">
        <v>278</v>
      </c>
      <c r="I378" s="19">
        <v>56</v>
      </c>
      <c r="J378" s="70" t="s">
        <v>289</v>
      </c>
      <c r="K378" s="2">
        <f>(VLOOKUP(H378,'functions and szcl estimates'!$A$14:$I$23,4, FALSE))*(('raw data'!I514)^(VLOOKUP('raw data'!H514,'functions and szcl estimates'!$A$14:$I$23, 7, FALSE)))</f>
        <v>102.54915486325298</v>
      </c>
      <c r="L378" s="12">
        <v>0.49305555555555602</v>
      </c>
      <c r="M378" s="8">
        <v>0.6875</v>
      </c>
      <c r="N378" s="8">
        <f t="shared" si="18"/>
        <v>-0.19444444444444398</v>
      </c>
      <c r="O378" s="14">
        <v>76.75</v>
      </c>
      <c r="S378" t="s">
        <v>148</v>
      </c>
    </row>
    <row r="379" spans="1:19" x14ac:dyDescent="0.2">
      <c r="A379" s="5">
        <v>39665</v>
      </c>
      <c r="B379" s="17">
        <v>2012</v>
      </c>
      <c r="C379" s="18" t="str">
        <f t="shared" si="17"/>
        <v>Elkhorn Slough_39665_Area 4_0.4931</v>
      </c>
      <c r="D379" s="4" t="s">
        <v>45</v>
      </c>
      <c r="E379" s="19" t="s">
        <v>3</v>
      </c>
      <c r="F379" s="70" t="s">
        <v>288</v>
      </c>
      <c r="G379" s="70">
        <v>1</v>
      </c>
      <c r="H379" s="84" t="s">
        <v>278</v>
      </c>
      <c r="I379" s="19">
        <v>56</v>
      </c>
      <c r="J379" s="70" t="s">
        <v>289</v>
      </c>
      <c r="K379" s="2">
        <f>(VLOOKUP(H379,'functions and szcl estimates'!$A$14:$I$23,4, FALSE))*(('raw data'!I515)^(VLOOKUP('raw data'!H515,'functions and szcl estimates'!$A$14:$I$23, 7, FALSE)))</f>
        <v>137.73870277946114</v>
      </c>
      <c r="L379" s="12">
        <v>0.49305555555555602</v>
      </c>
      <c r="M379" s="8">
        <v>0.6875</v>
      </c>
      <c r="N379" s="8">
        <f t="shared" si="18"/>
        <v>-0.19444444444444398</v>
      </c>
      <c r="O379" s="14">
        <v>76.75</v>
      </c>
      <c r="S379" t="s">
        <v>148</v>
      </c>
    </row>
    <row r="380" spans="1:19" x14ac:dyDescent="0.2">
      <c r="A380" s="5">
        <v>39665</v>
      </c>
      <c r="B380" s="17">
        <v>2012</v>
      </c>
      <c r="C380" s="18" t="str">
        <f t="shared" si="17"/>
        <v>Elkhorn Slough_39665_Area 4_0.4931</v>
      </c>
      <c r="D380" s="4" t="s">
        <v>45</v>
      </c>
      <c r="E380" s="19" t="s">
        <v>3</v>
      </c>
      <c r="F380" s="70" t="s">
        <v>288</v>
      </c>
      <c r="G380" s="70">
        <v>1</v>
      </c>
      <c r="H380" s="84" t="s">
        <v>278</v>
      </c>
      <c r="I380" s="19">
        <v>57</v>
      </c>
      <c r="J380" s="70" t="s">
        <v>289</v>
      </c>
      <c r="K380" s="2">
        <f>(VLOOKUP(H380,'functions and szcl estimates'!$A$14:$I$23,4, FALSE))*(('raw data'!I516)^(VLOOKUP('raw data'!H516,'functions and szcl estimates'!$A$14:$I$23, 7, FALSE)))</f>
        <v>299.56572140512293</v>
      </c>
      <c r="L380" s="12">
        <v>0.49305555555555602</v>
      </c>
      <c r="M380" s="8">
        <v>0.6875</v>
      </c>
      <c r="N380" s="8">
        <f t="shared" si="18"/>
        <v>-0.19444444444444398</v>
      </c>
      <c r="O380" s="14">
        <v>76.75</v>
      </c>
      <c r="S380" t="s">
        <v>148</v>
      </c>
    </row>
    <row r="381" spans="1:19" x14ac:dyDescent="0.2">
      <c r="A381" s="5">
        <v>39665</v>
      </c>
      <c r="B381" s="17">
        <v>2012</v>
      </c>
      <c r="C381" s="18" t="str">
        <f t="shared" si="17"/>
        <v>Elkhorn Slough_39665_Area 4_0.4931</v>
      </c>
      <c r="D381" s="4" t="s">
        <v>45</v>
      </c>
      <c r="E381" s="19" t="s">
        <v>3</v>
      </c>
      <c r="F381" s="70" t="s">
        <v>288</v>
      </c>
      <c r="G381" s="70">
        <v>1</v>
      </c>
      <c r="H381" s="84" t="s">
        <v>278</v>
      </c>
      <c r="I381" s="19">
        <v>58</v>
      </c>
      <c r="J381" s="70" t="s">
        <v>289</v>
      </c>
      <c r="K381" s="2">
        <f>(VLOOKUP(H381,'functions and szcl estimates'!$A$14:$I$23,4, FALSE))*(('raw data'!I517)^(VLOOKUP('raw data'!H517,'functions and szcl estimates'!$A$14:$I$23, 7, FALSE)))</f>
        <v>590.88522019024435</v>
      </c>
      <c r="L381" s="12">
        <v>0.49305555555555602</v>
      </c>
      <c r="M381" s="8">
        <v>0.6875</v>
      </c>
      <c r="N381" s="8">
        <f t="shared" si="18"/>
        <v>-0.19444444444444398</v>
      </c>
      <c r="O381" s="14">
        <v>76.75</v>
      </c>
      <c r="S381" t="s">
        <v>148</v>
      </c>
    </row>
    <row r="382" spans="1:19" x14ac:dyDescent="0.2">
      <c r="A382" s="5">
        <v>39665</v>
      </c>
      <c r="B382" s="17">
        <v>2012</v>
      </c>
      <c r="C382" s="18" t="str">
        <f t="shared" si="17"/>
        <v>Elkhorn Slough_39665_Area 4_0.4931</v>
      </c>
      <c r="D382" s="4" t="s">
        <v>45</v>
      </c>
      <c r="E382" s="19" t="s">
        <v>3</v>
      </c>
      <c r="F382" s="70" t="s">
        <v>288</v>
      </c>
      <c r="G382" s="70">
        <v>1</v>
      </c>
      <c r="H382" s="84" t="s">
        <v>278</v>
      </c>
      <c r="I382" s="19">
        <v>60</v>
      </c>
      <c r="J382" s="70" t="s">
        <v>289</v>
      </c>
      <c r="K382" s="2">
        <f>(VLOOKUP(H382,'functions and szcl estimates'!$A$14:$I$23,4, FALSE))*(('raw data'!I518)^(VLOOKUP('raw data'!H518,'functions and szcl estimates'!$A$14:$I$23, 7, FALSE)))</f>
        <v>192.31712346406093</v>
      </c>
      <c r="L382" s="12">
        <v>0.49305555555555602</v>
      </c>
      <c r="M382" s="8">
        <v>0.6875</v>
      </c>
      <c r="N382" s="8">
        <f t="shared" ref="N382:N392" si="19">L382-M382</f>
        <v>-0.19444444444444398</v>
      </c>
      <c r="O382" s="14">
        <v>76.75</v>
      </c>
      <c r="S382" t="s">
        <v>148</v>
      </c>
    </row>
    <row r="383" spans="1:19" x14ac:dyDescent="0.2">
      <c r="A383" s="5">
        <v>39665</v>
      </c>
      <c r="B383" s="17">
        <v>2012</v>
      </c>
      <c r="C383" s="18" t="str">
        <f t="shared" si="17"/>
        <v>Elkhorn Slough_39665_Area 4_0.4931</v>
      </c>
      <c r="D383" s="4" t="s">
        <v>45</v>
      </c>
      <c r="E383" s="19" t="s">
        <v>3</v>
      </c>
      <c r="F383" s="70" t="s">
        <v>288</v>
      </c>
      <c r="G383" s="70">
        <v>1</v>
      </c>
      <c r="H383" s="84" t="s">
        <v>278</v>
      </c>
      <c r="I383" s="19">
        <v>61</v>
      </c>
      <c r="J383" s="70" t="s">
        <v>289</v>
      </c>
      <c r="K383" s="2">
        <f>(VLOOKUP(H383,'functions and szcl estimates'!$A$14:$I$23,4, FALSE))*(('raw data'!I519)^(VLOOKUP('raw data'!H519,'functions and szcl estimates'!$A$14:$I$23, 7, FALSE)))</f>
        <v>458.08173988027283</v>
      </c>
      <c r="L383" s="12">
        <v>0.49305555555555602</v>
      </c>
      <c r="M383" s="8">
        <v>0.6875</v>
      </c>
      <c r="N383" s="8">
        <f t="shared" si="19"/>
        <v>-0.19444444444444398</v>
      </c>
      <c r="O383" s="14">
        <v>76.75</v>
      </c>
      <c r="S383" t="s">
        <v>148</v>
      </c>
    </row>
    <row r="384" spans="1:19" x14ac:dyDescent="0.2">
      <c r="A384" s="5">
        <v>39665</v>
      </c>
      <c r="B384" s="17">
        <v>2012</v>
      </c>
      <c r="C384" s="18" t="str">
        <f t="shared" si="17"/>
        <v>Elkhorn Slough_39665_Area 4_0.4931</v>
      </c>
      <c r="D384" s="4" t="s">
        <v>45</v>
      </c>
      <c r="E384" s="19" t="s">
        <v>3</v>
      </c>
      <c r="F384" s="70" t="s">
        <v>288</v>
      </c>
      <c r="G384" s="70">
        <v>1</v>
      </c>
      <c r="H384" s="84" t="s">
        <v>278</v>
      </c>
      <c r="I384" s="19">
        <v>72</v>
      </c>
      <c r="J384" s="70" t="s">
        <v>289</v>
      </c>
      <c r="K384" s="2">
        <f>(VLOOKUP(H384,'functions and szcl estimates'!$A$14:$I$23,4, FALSE))*(('raw data'!I520)^(VLOOKUP('raw data'!H520,'functions and szcl estimates'!$A$14:$I$23, 7, FALSE)))</f>
        <v>85.14888231848802</v>
      </c>
      <c r="L384" s="12">
        <v>0.49305555555555602</v>
      </c>
      <c r="M384" s="8">
        <v>0.6875</v>
      </c>
      <c r="N384" s="8">
        <f t="shared" si="19"/>
        <v>-0.19444444444444398</v>
      </c>
      <c r="O384" s="14">
        <v>76.75</v>
      </c>
      <c r="S384" t="s">
        <v>148</v>
      </c>
    </row>
    <row r="385" spans="1:19" x14ac:dyDescent="0.2">
      <c r="A385" s="5">
        <v>39665</v>
      </c>
      <c r="B385" s="17">
        <v>2012</v>
      </c>
      <c r="C385" s="18" t="str">
        <f t="shared" si="17"/>
        <v>Elkhorn Slough_39665_Crop Circles_0.4271</v>
      </c>
      <c r="D385" s="4" t="s">
        <v>45</v>
      </c>
      <c r="E385" s="19" t="s">
        <v>277</v>
      </c>
      <c r="F385" s="70" t="s">
        <v>288</v>
      </c>
      <c r="G385" s="70">
        <v>1</v>
      </c>
      <c r="H385" s="84" t="s">
        <v>278</v>
      </c>
      <c r="I385" s="19">
        <v>44</v>
      </c>
      <c r="J385" s="70" t="s">
        <v>289</v>
      </c>
      <c r="K385" s="2">
        <f>(VLOOKUP(H385,'functions and szcl estimates'!$A$14:$I$23,4, FALSE))*(('raw data'!I521)^(VLOOKUP('raw data'!H521,'functions and szcl estimates'!$A$14:$I$23, 7, FALSE)))</f>
        <v>121.90274938095705</v>
      </c>
      <c r="L385" s="12">
        <v>0.42708333333333331</v>
      </c>
      <c r="M385" s="8">
        <v>0.72222222222222221</v>
      </c>
      <c r="N385" s="8">
        <f t="shared" si="19"/>
        <v>-0.2951388888888889</v>
      </c>
      <c r="O385" s="14">
        <v>79</v>
      </c>
      <c r="P385" s="20">
        <v>2</v>
      </c>
      <c r="Q385" s="65">
        <f>SUM(K385:K386)</f>
        <v>505.72261023882254</v>
      </c>
      <c r="R385" s="15">
        <f>P385/O385</f>
        <v>2.5316455696202531E-2</v>
      </c>
      <c r="S385" t="s">
        <v>148</v>
      </c>
    </row>
    <row r="386" spans="1:19" x14ac:dyDescent="0.2">
      <c r="A386" s="5">
        <v>39665</v>
      </c>
      <c r="B386" s="17">
        <v>2012</v>
      </c>
      <c r="C386" s="18" t="str">
        <f t="shared" si="17"/>
        <v>Elkhorn Slough_39665_Outfall_0.5</v>
      </c>
      <c r="D386" s="4" t="s">
        <v>45</v>
      </c>
      <c r="E386" s="19" t="s">
        <v>4</v>
      </c>
      <c r="F386" s="70" t="s">
        <v>288</v>
      </c>
      <c r="G386" s="70">
        <v>1</v>
      </c>
      <c r="H386" s="84" t="s">
        <v>278</v>
      </c>
      <c r="I386" s="19">
        <v>52</v>
      </c>
      <c r="J386" s="70" t="s">
        <v>289</v>
      </c>
      <c r="K386" s="2">
        <f>(VLOOKUP(H386,'functions and szcl estimates'!$A$14:$I$23,4, FALSE))*(('raw data'!I527)^(VLOOKUP('raw data'!H527,'functions and szcl estimates'!$A$14:$I$23, 7, FALSE)))</f>
        <v>383.81986085786548</v>
      </c>
      <c r="L386" s="12">
        <v>0.5</v>
      </c>
      <c r="M386" s="8">
        <v>0.66666666666666696</v>
      </c>
      <c r="N386" s="8">
        <f t="shared" si="19"/>
        <v>-0.16666666666666696</v>
      </c>
      <c r="O386" s="14">
        <v>76</v>
      </c>
      <c r="S386" t="s">
        <v>148</v>
      </c>
    </row>
    <row r="387" spans="1:19" x14ac:dyDescent="0.2">
      <c r="A387" s="5">
        <v>39665</v>
      </c>
      <c r="B387" s="17">
        <v>2012</v>
      </c>
      <c r="C387" s="18" t="str">
        <f t="shared" ref="C387:C450" si="20">CONCATENATE(D387,"_",A387,"_",E387,"_",ROUND(L387,4))</f>
        <v>Elkhorn Slough_39665_Outfall_0.5</v>
      </c>
      <c r="D387" s="4" t="s">
        <v>45</v>
      </c>
      <c r="E387" s="19" t="s">
        <v>4</v>
      </c>
      <c r="F387" s="70" t="s">
        <v>288</v>
      </c>
      <c r="G387" s="70">
        <v>1</v>
      </c>
      <c r="H387" s="84" t="s">
        <v>278</v>
      </c>
      <c r="I387" s="19">
        <v>52</v>
      </c>
      <c r="J387" s="70" t="s">
        <v>289</v>
      </c>
      <c r="K387" s="2">
        <f>(VLOOKUP(H387,'functions and szcl estimates'!$A$14:$I$23,4, FALSE))*(('raw data'!I528)^(VLOOKUP('raw data'!H528,'functions and szcl estimates'!$A$14:$I$23, 7, FALSE)))</f>
        <v>107.20186818003386</v>
      </c>
      <c r="L387" s="12">
        <v>0.5</v>
      </c>
      <c r="M387" s="8">
        <v>0.66666666666666696</v>
      </c>
      <c r="N387" s="8">
        <f t="shared" si="19"/>
        <v>-0.16666666666666696</v>
      </c>
      <c r="O387" s="14">
        <v>76</v>
      </c>
      <c r="S387" t="s">
        <v>148</v>
      </c>
    </row>
    <row r="388" spans="1:19" x14ac:dyDescent="0.2">
      <c r="A388" s="5">
        <v>39665</v>
      </c>
      <c r="B388" s="17">
        <v>2012</v>
      </c>
      <c r="C388" s="18" t="str">
        <f t="shared" si="20"/>
        <v>Elkhorn Slough_39665_Outfall_0.5</v>
      </c>
      <c r="D388" s="4" t="s">
        <v>45</v>
      </c>
      <c r="E388" s="19" t="s">
        <v>4</v>
      </c>
      <c r="F388" s="70" t="s">
        <v>288</v>
      </c>
      <c r="G388" s="70">
        <v>1</v>
      </c>
      <c r="H388" s="84" t="s">
        <v>278</v>
      </c>
      <c r="I388" s="19">
        <v>56</v>
      </c>
      <c r="J388" s="70" t="s">
        <v>289</v>
      </c>
      <c r="K388" s="2">
        <f>(VLOOKUP(H388,'functions and szcl estimates'!$A$14:$I$23,4, FALSE))*(('raw data'!I529)^(VLOOKUP('raw data'!H529,'functions and szcl estimates'!$A$14:$I$23, 7, FALSE)))</f>
        <v>143.27416588052088</v>
      </c>
      <c r="L388" s="12">
        <v>0.5</v>
      </c>
      <c r="M388" s="8">
        <v>0.66666666666666696</v>
      </c>
      <c r="N388" s="8">
        <f t="shared" si="19"/>
        <v>-0.16666666666666696</v>
      </c>
      <c r="O388" s="14">
        <v>76</v>
      </c>
      <c r="S388" t="s">
        <v>148</v>
      </c>
    </row>
    <row r="389" spans="1:19" x14ac:dyDescent="0.2">
      <c r="A389" s="5">
        <v>39665</v>
      </c>
      <c r="B389" s="17">
        <v>2012</v>
      </c>
      <c r="C389" s="18" t="str">
        <f t="shared" si="20"/>
        <v>Elkhorn Slough_39665_Outfall_0.5</v>
      </c>
      <c r="D389" s="4" t="s">
        <v>45</v>
      </c>
      <c r="E389" s="19" t="s">
        <v>4</v>
      </c>
      <c r="F389" s="70" t="s">
        <v>288</v>
      </c>
      <c r="G389" s="70">
        <v>1</v>
      </c>
      <c r="H389" s="84" t="s">
        <v>278</v>
      </c>
      <c r="I389" s="19">
        <v>57</v>
      </c>
      <c r="J389" s="70" t="s">
        <v>289</v>
      </c>
      <c r="K389" s="2">
        <f>(VLOOKUP(H389,'functions and szcl estimates'!$A$14:$I$23,4, FALSE))*(('raw data'!I530)^(VLOOKUP('raw data'!H530,'functions and szcl estimates'!$A$14:$I$23, 7, FALSE)))</f>
        <v>344.84297226823708</v>
      </c>
      <c r="L389" s="12">
        <v>0.5</v>
      </c>
      <c r="M389" s="8">
        <v>0.66666666666666696</v>
      </c>
      <c r="N389" s="8">
        <f t="shared" si="19"/>
        <v>-0.16666666666666696</v>
      </c>
      <c r="O389" s="14">
        <v>76</v>
      </c>
      <c r="S389" t="s">
        <v>148</v>
      </c>
    </row>
    <row r="390" spans="1:19" x14ac:dyDescent="0.2">
      <c r="A390" s="5">
        <v>39665</v>
      </c>
      <c r="B390" s="17">
        <v>2012</v>
      </c>
      <c r="C390" s="18" t="str">
        <f t="shared" si="20"/>
        <v>Elkhorn Slough_39665_Outfall_0.5</v>
      </c>
      <c r="D390" s="4" t="s">
        <v>45</v>
      </c>
      <c r="E390" s="19" t="s">
        <v>4</v>
      </c>
      <c r="F390" s="70" t="s">
        <v>288</v>
      </c>
      <c r="G390" s="70">
        <v>1</v>
      </c>
      <c r="H390" s="84" t="s">
        <v>278</v>
      </c>
      <c r="I390" s="19">
        <v>57</v>
      </c>
      <c r="J390" s="70" t="s">
        <v>289</v>
      </c>
      <c r="K390" s="2">
        <f>(VLOOKUP(H390,'functions and szcl estimates'!$A$14:$I$23,4, FALSE))*(('raw data'!I531)^(VLOOKUP('raw data'!H531,'functions and szcl estimates'!$A$14:$I$23, 7, FALSE)))</f>
        <v>354.35523939899332</v>
      </c>
      <c r="L390" s="12">
        <v>0.5</v>
      </c>
      <c r="M390" s="8">
        <v>0.66666666666666696</v>
      </c>
      <c r="N390" s="8">
        <f t="shared" si="19"/>
        <v>-0.16666666666666696</v>
      </c>
      <c r="O390" s="14">
        <v>76</v>
      </c>
      <c r="S390" t="s">
        <v>148</v>
      </c>
    </row>
    <row r="391" spans="1:19" x14ac:dyDescent="0.2">
      <c r="A391" s="5">
        <v>39665</v>
      </c>
      <c r="B391" s="17">
        <v>2012</v>
      </c>
      <c r="C391" s="18" t="str">
        <f t="shared" si="20"/>
        <v>Elkhorn Slough_39665_Outfall_0.5</v>
      </c>
      <c r="D391" s="4" t="s">
        <v>45</v>
      </c>
      <c r="E391" s="19" t="s">
        <v>4</v>
      </c>
      <c r="F391" s="70" t="s">
        <v>288</v>
      </c>
      <c r="G391" s="70">
        <v>1</v>
      </c>
      <c r="H391" s="84" t="s">
        <v>278</v>
      </c>
      <c r="I391" s="19">
        <v>62</v>
      </c>
      <c r="J391" s="70" t="s">
        <v>289</v>
      </c>
      <c r="K391" s="2">
        <f>(VLOOKUP(H391,'functions and szcl estimates'!$A$14:$I$23,4, FALSE))*(('raw data'!I532)^(VLOOKUP('raw data'!H532,'functions and szcl estimates'!$A$14:$I$23, 7, FALSE)))</f>
        <v>227.40455340292056</v>
      </c>
      <c r="L391" s="12">
        <v>0.5</v>
      </c>
      <c r="M391" s="8">
        <v>0.66666666666666696</v>
      </c>
      <c r="N391" s="8">
        <f t="shared" si="19"/>
        <v>-0.16666666666666696</v>
      </c>
      <c r="O391" s="14">
        <v>76</v>
      </c>
      <c r="S391" t="s">
        <v>148</v>
      </c>
    </row>
    <row r="392" spans="1:19" x14ac:dyDescent="0.2">
      <c r="A392" s="5">
        <v>39665</v>
      </c>
      <c r="B392" s="17">
        <v>2012</v>
      </c>
      <c r="C392" s="18" t="str">
        <f t="shared" si="20"/>
        <v>Elkhorn Slough_39665_Outfall_0.5</v>
      </c>
      <c r="D392" s="4" t="s">
        <v>45</v>
      </c>
      <c r="E392" s="19" t="s">
        <v>4</v>
      </c>
      <c r="F392" s="70" t="s">
        <v>288</v>
      </c>
      <c r="G392" s="70">
        <v>1</v>
      </c>
      <c r="H392" s="84" t="s">
        <v>278</v>
      </c>
      <c r="I392" s="19">
        <v>65</v>
      </c>
      <c r="J392" s="70" t="s">
        <v>289</v>
      </c>
      <c r="K392" s="2">
        <f>(VLOOKUP(H392,'functions and szcl estimates'!$A$14:$I$23,4, FALSE))*(('raw data'!I533)^(VLOOKUP('raw data'!H533,'functions and szcl estimates'!$A$14:$I$23, 7, FALSE)))</f>
        <v>137.73870277946114</v>
      </c>
      <c r="L392" s="12">
        <v>0.5</v>
      </c>
      <c r="M392" s="8">
        <v>0.66666666666666696</v>
      </c>
      <c r="N392" s="8">
        <f t="shared" si="19"/>
        <v>-0.16666666666666696</v>
      </c>
      <c r="O392" s="14">
        <v>76</v>
      </c>
      <c r="S392" t="s">
        <v>148</v>
      </c>
    </row>
    <row r="393" spans="1:19" x14ac:dyDescent="0.2">
      <c r="A393" s="5">
        <v>39684</v>
      </c>
      <c r="B393" s="17">
        <v>2012</v>
      </c>
      <c r="C393" s="18" t="str">
        <f t="shared" si="20"/>
        <v>Tomales Bay_39684_TB North_0.5833</v>
      </c>
      <c r="D393" s="18" t="s">
        <v>46</v>
      </c>
      <c r="E393" s="19" t="s">
        <v>47</v>
      </c>
      <c r="F393" s="70" t="s">
        <v>288</v>
      </c>
      <c r="G393" s="70">
        <v>1</v>
      </c>
      <c r="H393" s="84" t="s">
        <v>278</v>
      </c>
      <c r="I393" s="19">
        <v>77</v>
      </c>
      <c r="J393" s="70" t="s">
        <v>289</v>
      </c>
      <c r="K393" s="2">
        <f>(VLOOKUP(H393,'functions and szcl estimates'!$A$14:$I$23,4, FALSE))*(('raw data'!I538)^(VLOOKUP('raw data'!H538,'functions and szcl estimates'!$A$14:$I$23, 7, FALSE)))</f>
        <v>308.31928582440258</v>
      </c>
      <c r="L393" s="12">
        <v>0.58333333333333337</v>
      </c>
      <c r="M393" s="8">
        <v>0.4826388888888889</v>
      </c>
      <c r="N393" s="8">
        <f t="shared" ref="N393:N410" si="21">L393-M393</f>
        <v>0.10069444444444448</v>
      </c>
      <c r="O393" s="14">
        <v>21.5</v>
      </c>
      <c r="S393" t="s">
        <v>148</v>
      </c>
    </row>
    <row r="394" spans="1:19" x14ac:dyDescent="0.2">
      <c r="A394" s="5">
        <v>39684</v>
      </c>
      <c r="B394" s="17">
        <v>2012</v>
      </c>
      <c r="C394" s="18" t="str">
        <f t="shared" si="20"/>
        <v>Tomales Bay_39684_TB North_0.5833</v>
      </c>
      <c r="D394" s="18" t="s">
        <v>46</v>
      </c>
      <c r="E394" s="19" t="s">
        <v>47</v>
      </c>
      <c r="F394" s="70" t="s">
        <v>288</v>
      </c>
      <c r="G394" s="70">
        <v>1</v>
      </c>
      <c r="H394" s="84" t="s">
        <v>278</v>
      </c>
      <c r="I394" s="19">
        <v>75</v>
      </c>
      <c r="J394" s="70" t="s">
        <v>289</v>
      </c>
      <c r="K394" s="2">
        <f>(VLOOKUP(H394,'functions and szcl estimates'!$A$14:$I$23,4, FALSE))*(('raw data'!I540)^(VLOOKUP('raw data'!H540,'functions and szcl estimates'!$A$14:$I$23, 7, FALSE)))</f>
        <v>729.4014244956619</v>
      </c>
      <c r="L394" s="12">
        <v>0.58333333333333337</v>
      </c>
      <c r="M394" s="8">
        <v>0.4826388888888889</v>
      </c>
      <c r="N394" s="8">
        <f t="shared" si="21"/>
        <v>0.10069444444444448</v>
      </c>
      <c r="O394" s="14">
        <v>21.5</v>
      </c>
      <c r="S394" t="s">
        <v>148</v>
      </c>
    </row>
    <row r="395" spans="1:19" x14ac:dyDescent="0.2">
      <c r="A395" s="5">
        <v>39684</v>
      </c>
      <c r="B395" s="17">
        <v>2012</v>
      </c>
      <c r="C395" s="18" t="str">
        <f t="shared" si="20"/>
        <v>Tomales Bay_39684_TB North_0.5833</v>
      </c>
      <c r="D395" s="18" t="s">
        <v>46</v>
      </c>
      <c r="E395" s="19" t="s">
        <v>47</v>
      </c>
      <c r="F395" s="70" t="s">
        <v>288</v>
      </c>
      <c r="G395" s="70">
        <v>1</v>
      </c>
      <c r="H395" s="84" t="s">
        <v>278</v>
      </c>
      <c r="I395" s="19">
        <v>81</v>
      </c>
      <c r="J395" s="70" t="s">
        <v>289</v>
      </c>
      <c r="K395" s="2">
        <f>(VLOOKUP(H395,'functions and szcl estimates'!$A$14:$I$23,4, FALSE))*(('raw data'!I541)^(VLOOKUP('raw data'!H541,'functions and szcl estimates'!$A$14:$I$23, 7, FALSE)))</f>
        <v>308.31928582440258</v>
      </c>
      <c r="L395" s="12">
        <v>0.58333333333333337</v>
      </c>
      <c r="M395" s="8">
        <v>0.4826388888888889</v>
      </c>
      <c r="N395" s="8">
        <f t="shared" si="21"/>
        <v>0.10069444444444448</v>
      </c>
      <c r="O395" s="14">
        <v>21.5</v>
      </c>
      <c r="S395" t="s">
        <v>148</v>
      </c>
    </row>
    <row r="396" spans="1:19" x14ac:dyDescent="0.2">
      <c r="A396" s="5">
        <v>39684</v>
      </c>
      <c r="B396" s="17">
        <v>2012</v>
      </c>
      <c r="C396" s="18" t="str">
        <f t="shared" si="20"/>
        <v>Tomales Bay_39684_TB North_0.5833</v>
      </c>
      <c r="D396" s="18" t="s">
        <v>46</v>
      </c>
      <c r="E396" s="19" t="s">
        <v>47</v>
      </c>
      <c r="F396" s="70" t="s">
        <v>288</v>
      </c>
      <c r="G396" s="70">
        <v>1</v>
      </c>
      <c r="H396" s="84" t="s">
        <v>278</v>
      </c>
      <c r="I396" s="19">
        <v>55</v>
      </c>
      <c r="J396" s="70" t="s">
        <v>289</v>
      </c>
      <c r="K396" s="2">
        <f>(VLOOKUP(H396,'functions and szcl estimates'!$A$14:$I$23,4, FALSE))*(('raw data'!I542)^(VLOOKUP('raw data'!H542,'functions and szcl estimates'!$A$14:$I$23, 7, FALSE)))</f>
        <v>137.73870277946114</v>
      </c>
      <c r="L396" s="12">
        <v>0.58333333333333337</v>
      </c>
      <c r="M396" s="8">
        <v>0.4826388888888889</v>
      </c>
      <c r="N396" s="8">
        <f t="shared" si="21"/>
        <v>0.10069444444444448</v>
      </c>
      <c r="O396" s="14">
        <v>21.5</v>
      </c>
      <c r="S396" t="s">
        <v>148</v>
      </c>
    </row>
    <row r="397" spans="1:19" x14ac:dyDescent="0.2">
      <c r="A397" s="5">
        <v>39684</v>
      </c>
      <c r="B397" s="17">
        <v>2012</v>
      </c>
      <c r="C397" s="18" t="str">
        <f t="shared" si="20"/>
        <v>Tomales Bay_39684_TB North_0.5833</v>
      </c>
      <c r="D397" s="18" t="s">
        <v>46</v>
      </c>
      <c r="E397" s="19" t="s">
        <v>47</v>
      </c>
      <c r="F397" s="70" t="s">
        <v>288</v>
      </c>
      <c r="G397" s="70">
        <v>1</v>
      </c>
      <c r="H397" s="84" t="s">
        <v>278</v>
      </c>
      <c r="I397" s="19">
        <v>71</v>
      </c>
      <c r="J397" s="70" t="s">
        <v>289</v>
      </c>
      <c r="K397" s="2">
        <f>(VLOOKUP(H397,'functions and szcl estimates'!$A$14:$I$23,4, FALSE))*(('raw data'!I545)^(VLOOKUP('raw data'!H545,'functions and szcl estimates'!$A$14:$I$23, 7, FALSE)))</f>
        <v>242.42599377211911</v>
      </c>
      <c r="L397" s="12">
        <v>0.58333333333333337</v>
      </c>
      <c r="M397" s="8">
        <v>0.4826388888888889</v>
      </c>
      <c r="N397" s="8">
        <f t="shared" si="21"/>
        <v>0.10069444444444448</v>
      </c>
      <c r="O397" s="14">
        <v>21.5</v>
      </c>
      <c r="S397" t="s">
        <v>148</v>
      </c>
    </row>
    <row r="398" spans="1:19" x14ac:dyDescent="0.2">
      <c r="A398" s="5">
        <v>39684</v>
      </c>
      <c r="B398" s="17">
        <v>2012</v>
      </c>
      <c r="C398" s="18" t="str">
        <f t="shared" si="20"/>
        <v>Tomales Bay_39684_TB North_0.5833</v>
      </c>
      <c r="D398" s="18" t="s">
        <v>46</v>
      </c>
      <c r="E398" s="19" t="s">
        <v>47</v>
      </c>
      <c r="F398" s="70" t="s">
        <v>288</v>
      </c>
      <c r="G398" s="70">
        <v>1</v>
      </c>
      <c r="H398" s="84" t="s">
        <v>278</v>
      </c>
      <c r="I398" s="19">
        <v>69</v>
      </c>
      <c r="J398" s="70" t="s">
        <v>289</v>
      </c>
      <c r="K398" s="2">
        <f>(VLOOKUP(H398,'functions and szcl estimates'!$A$14:$I$23,4, FALSE))*(('raw data'!I546)^(VLOOKUP('raw data'!H546,'functions and szcl estimates'!$A$14:$I$23, 7, FALSE)))</f>
        <v>185.71539205199562</v>
      </c>
      <c r="L398" s="12">
        <v>0.58333333333333337</v>
      </c>
      <c r="M398" s="8">
        <v>0.4826388888888889</v>
      </c>
      <c r="N398" s="8">
        <f t="shared" si="21"/>
        <v>0.10069444444444448</v>
      </c>
      <c r="O398" s="14">
        <v>21.5</v>
      </c>
      <c r="S398" t="s">
        <v>148</v>
      </c>
    </row>
    <row r="399" spans="1:19" x14ac:dyDescent="0.2">
      <c r="A399" s="5">
        <v>39684</v>
      </c>
      <c r="B399" s="17">
        <v>2012</v>
      </c>
      <c r="C399" s="18" t="str">
        <f t="shared" si="20"/>
        <v>Tomales Bay_39684_TB South_0.6458</v>
      </c>
      <c r="D399" s="18" t="s">
        <v>46</v>
      </c>
      <c r="E399" s="19" t="s">
        <v>51</v>
      </c>
      <c r="F399" s="70" t="s">
        <v>288</v>
      </c>
      <c r="G399" s="70">
        <v>1</v>
      </c>
      <c r="H399" s="84" t="s">
        <v>278</v>
      </c>
      <c r="I399" s="19">
        <v>72</v>
      </c>
      <c r="J399" s="70" t="s">
        <v>289</v>
      </c>
      <c r="K399" s="2">
        <f>(VLOOKUP(H399,'functions and szcl estimates'!$A$14:$I$23,4, FALSE))*(('raw data'!I552)^(VLOOKUP('raw data'!H552,'functions and szcl estimates'!$A$14:$I$23, 7, FALSE)))</f>
        <v>446.99368792401498</v>
      </c>
      <c r="L399" s="12">
        <v>0.64583333333333304</v>
      </c>
      <c r="M399" s="8">
        <v>0.52083333333333304</v>
      </c>
      <c r="N399" s="8">
        <f t="shared" si="21"/>
        <v>0.125</v>
      </c>
      <c r="O399" s="14">
        <v>21</v>
      </c>
      <c r="S399" t="s">
        <v>148</v>
      </c>
    </row>
    <row r="400" spans="1:19" x14ac:dyDescent="0.2">
      <c r="A400" s="5">
        <v>39685</v>
      </c>
      <c r="B400" s="17">
        <v>2012</v>
      </c>
      <c r="C400" s="18" t="str">
        <f t="shared" si="20"/>
        <v>Tomales Bay_39685_TB North_0.4861</v>
      </c>
      <c r="D400" s="18" t="s">
        <v>46</v>
      </c>
      <c r="E400" s="19" t="s">
        <v>55</v>
      </c>
      <c r="F400" s="70" t="s">
        <v>288</v>
      </c>
      <c r="G400" s="70">
        <v>1</v>
      </c>
      <c r="H400" s="84" t="s">
        <v>278</v>
      </c>
      <c r="I400" s="19">
        <v>76</v>
      </c>
      <c r="J400" s="70" t="s">
        <v>289</v>
      </c>
      <c r="K400" s="2">
        <f>(VLOOKUP(H400,'functions and szcl estimates'!$A$14:$I$23,4, FALSE))*(('raw data'!I583)^(VLOOKUP('raw data'!H583,'functions and szcl estimates'!$A$14:$I$23, 7, FALSE)))</f>
        <v>154.736074883519</v>
      </c>
      <c r="L400" s="12">
        <v>0.4861111111111111</v>
      </c>
      <c r="M400" s="8">
        <v>0.39583333333333331</v>
      </c>
      <c r="N400" s="8">
        <f t="shared" si="21"/>
        <v>9.027777777777779E-2</v>
      </c>
      <c r="O400" s="14">
        <v>21.75</v>
      </c>
      <c r="S400" t="s">
        <v>148</v>
      </c>
    </row>
    <row r="401" spans="1:19" x14ac:dyDescent="0.2">
      <c r="A401" s="5">
        <v>39685</v>
      </c>
      <c r="B401" s="17">
        <v>2012</v>
      </c>
      <c r="C401" s="18" t="str">
        <f t="shared" si="20"/>
        <v>Tomales Bay_39685_TB North_0.4861</v>
      </c>
      <c r="D401" s="18" t="s">
        <v>46</v>
      </c>
      <c r="E401" s="19" t="s">
        <v>55</v>
      </c>
      <c r="F401" s="70" t="s">
        <v>288</v>
      </c>
      <c r="G401" s="70">
        <v>1</v>
      </c>
      <c r="H401" s="84" t="s">
        <v>278</v>
      </c>
      <c r="I401" s="19">
        <v>60</v>
      </c>
      <c r="J401" s="70" t="s">
        <v>289</v>
      </c>
      <c r="K401" s="2">
        <f>(VLOOKUP(H401,'functions and szcl estimates'!$A$14:$I$23,4, FALSE))*(('raw data'!I584)^(VLOOKUP('raw data'!H584,'functions and szcl estimates'!$A$14:$I$23, 7, FALSE)))</f>
        <v>160.66441388622138</v>
      </c>
      <c r="L401" s="12">
        <v>0.4861111111111111</v>
      </c>
      <c r="M401" s="8">
        <v>0.39583333333333331</v>
      </c>
      <c r="N401" s="8">
        <f t="shared" si="21"/>
        <v>9.027777777777779E-2</v>
      </c>
      <c r="O401" s="14">
        <v>21.75</v>
      </c>
      <c r="S401" t="s">
        <v>148</v>
      </c>
    </row>
    <row r="402" spans="1:19" x14ac:dyDescent="0.2">
      <c r="A402" s="5">
        <v>39685</v>
      </c>
      <c r="B402" s="17">
        <v>2012</v>
      </c>
      <c r="C402" s="18" t="str">
        <f t="shared" si="20"/>
        <v>Tomales Bay_39685_TB North_0.4861</v>
      </c>
      <c r="D402" s="18" t="s">
        <v>46</v>
      </c>
      <c r="E402" s="19" t="s">
        <v>55</v>
      </c>
      <c r="F402" s="70" t="s">
        <v>288</v>
      </c>
      <c r="G402" s="70">
        <v>1</v>
      </c>
      <c r="H402" s="84" t="s">
        <v>278</v>
      </c>
      <c r="I402" s="19">
        <v>71</v>
      </c>
      <c r="J402" s="70" t="s">
        <v>289</v>
      </c>
      <c r="K402" s="2">
        <f>(VLOOKUP(H402,'functions and szcl estimates'!$A$14:$I$23,4, FALSE))*(('raw data'!I585)^(VLOOKUP('raw data'!H585,'functions and szcl estimates'!$A$14:$I$23, 7, FALSE)))</f>
        <v>166.72559156136617</v>
      </c>
      <c r="L402" s="12">
        <v>0.4861111111111111</v>
      </c>
      <c r="M402" s="8">
        <v>0.39583333333333331</v>
      </c>
      <c r="N402" s="8">
        <f t="shared" si="21"/>
        <v>9.027777777777779E-2</v>
      </c>
      <c r="O402" s="14">
        <v>21.75</v>
      </c>
      <c r="S402" t="s">
        <v>148</v>
      </c>
    </row>
    <row r="403" spans="1:19" x14ac:dyDescent="0.2">
      <c r="A403" s="5">
        <v>39686</v>
      </c>
      <c r="B403" s="17">
        <v>2012</v>
      </c>
      <c r="C403" s="18" t="str">
        <f t="shared" si="20"/>
        <v>Tomales Bay_39686_TB North_0.3958</v>
      </c>
      <c r="D403" s="18" t="s">
        <v>46</v>
      </c>
      <c r="E403" s="19" t="s">
        <v>55</v>
      </c>
      <c r="F403" s="70" t="s">
        <v>288</v>
      </c>
      <c r="G403" s="70">
        <v>1</v>
      </c>
      <c r="H403" s="84" t="s">
        <v>278</v>
      </c>
      <c r="I403" s="19">
        <v>72</v>
      </c>
      <c r="J403" s="70" t="s">
        <v>289</v>
      </c>
      <c r="K403" s="2">
        <f>(VLOOKUP(H403,'functions and szcl estimates'!$A$14:$I$23,4, FALSE))*(('raw data'!I614)^(VLOOKUP('raw data'!H614,'functions and szcl estimates'!$A$14:$I$23, 7, FALSE)))</f>
        <v>234.84394540243679</v>
      </c>
      <c r="L403" s="12">
        <v>0.39583333333333331</v>
      </c>
      <c r="M403" s="8">
        <v>0.45833333333333331</v>
      </c>
      <c r="N403" s="8">
        <f t="shared" si="21"/>
        <v>-6.25E-2</v>
      </c>
      <c r="O403" s="14">
        <v>25.5</v>
      </c>
      <c r="S403" t="s">
        <v>148</v>
      </c>
    </row>
    <row r="404" spans="1:19" x14ac:dyDescent="0.2">
      <c r="A404" s="5">
        <v>39686</v>
      </c>
      <c r="B404" s="17">
        <v>2012</v>
      </c>
      <c r="C404" s="18" t="str">
        <f t="shared" si="20"/>
        <v>Tomales Bay_39686_TB North_0.3958</v>
      </c>
      <c r="D404" s="18" t="s">
        <v>46</v>
      </c>
      <c r="E404" s="19" t="s">
        <v>55</v>
      </c>
      <c r="F404" s="70" t="s">
        <v>288</v>
      </c>
      <c r="G404" s="70">
        <v>1</v>
      </c>
      <c r="H404" s="84" t="s">
        <v>278</v>
      </c>
      <c r="I404" s="19">
        <v>59</v>
      </c>
      <c r="J404" s="70" t="s">
        <v>289</v>
      </c>
      <c r="K404" s="2">
        <f>(VLOOKUP(H404,'functions and szcl estimates'!$A$14:$I$23,4, FALSE))*(('raw data'!I615)^(VLOOKUP('raw data'!H615,'functions and szcl estimates'!$A$14:$I$23, 7, FALSE)))</f>
        <v>242.42599377211911</v>
      </c>
      <c r="L404" s="12">
        <v>0.39583333333333298</v>
      </c>
      <c r="M404" s="8">
        <v>0.45833333333333298</v>
      </c>
      <c r="N404" s="8">
        <f t="shared" si="21"/>
        <v>-6.25E-2</v>
      </c>
      <c r="O404" s="14">
        <v>25.5</v>
      </c>
      <c r="S404" t="s">
        <v>148</v>
      </c>
    </row>
    <row r="405" spans="1:19" x14ac:dyDescent="0.2">
      <c r="A405" s="5">
        <v>39686</v>
      </c>
      <c r="B405" s="17">
        <v>2012</v>
      </c>
      <c r="C405" s="18" t="str">
        <f t="shared" si="20"/>
        <v>Tomales Bay_39686_TB North_0.3958</v>
      </c>
      <c r="D405" s="18" t="s">
        <v>46</v>
      </c>
      <c r="E405" s="19" t="s">
        <v>55</v>
      </c>
      <c r="F405" s="70" t="s">
        <v>288</v>
      </c>
      <c r="G405" s="70">
        <v>1</v>
      </c>
      <c r="H405" s="84" t="s">
        <v>278</v>
      </c>
      <c r="I405" s="19">
        <v>73</v>
      </c>
      <c r="J405" s="70" t="s">
        <v>289</v>
      </c>
      <c r="K405" s="2">
        <f>(VLOOKUP(H405,'functions and szcl estimates'!$A$14:$I$23,4, FALSE))*(('raw data'!I617)^(VLOOKUP('raw data'!H617,'functions and szcl estimates'!$A$14:$I$23, 7, FALSE)))</f>
        <v>266.03658784328769</v>
      </c>
      <c r="L405" s="12">
        <v>0.39583333333333298</v>
      </c>
      <c r="M405" s="8">
        <v>0.45833333333333298</v>
      </c>
      <c r="N405" s="8">
        <f t="shared" si="21"/>
        <v>-6.25E-2</v>
      </c>
      <c r="O405" s="14">
        <v>25.5</v>
      </c>
      <c r="S405" t="s">
        <v>148</v>
      </c>
    </row>
    <row r="406" spans="1:19" x14ac:dyDescent="0.2">
      <c r="A406" s="5">
        <v>39686</v>
      </c>
      <c r="B406" s="17">
        <v>2012</v>
      </c>
      <c r="C406" s="18" t="str">
        <f t="shared" si="20"/>
        <v>Tomales Bay_39686_TB North_0.3958</v>
      </c>
      <c r="D406" s="18" t="s">
        <v>46</v>
      </c>
      <c r="E406" s="19" t="s">
        <v>55</v>
      </c>
      <c r="F406" s="70" t="s">
        <v>288</v>
      </c>
      <c r="G406" s="70">
        <v>1</v>
      </c>
      <c r="H406" s="84" t="s">
        <v>278</v>
      </c>
      <c r="I406" s="19">
        <v>63</v>
      </c>
      <c r="J406" s="70" t="s">
        <v>289</v>
      </c>
      <c r="K406" s="2">
        <f>(VLOOKUP(H406,'functions and szcl estimates'!$A$14:$I$23,4, FALSE))*(('raw data'!I618)^(VLOOKUP('raw data'!H618,'functions and szcl estimates'!$A$14:$I$23, 7, FALSE)))</f>
        <v>590.88522019024435</v>
      </c>
      <c r="L406" s="12">
        <v>0.39583333333333298</v>
      </c>
      <c r="M406" s="8">
        <v>0.45833333333333298</v>
      </c>
      <c r="N406" s="8">
        <f t="shared" si="21"/>
        <v>-6.25E-2</v>
      </c>
      <c r="O406" s="14">
        <v>25.5</v>
      </c>
      <c r="S406" t="s">
        <v>148</v>
      </c>
    </row>
    <row r="407" spans="1:19" x14ac:dyDescent="0.2">
      <c r="A407" s="5">
        <v>39686</v>
      </c>
      <c r="B407" s="17">
        <v>2012</v>
      </c>
      <c r="C407" s="18" t="str">
        <f t="shared" si="20"/>
        <v>Tomales Bay_39686_TB North_0.3958</v>
      </c>
      <c r="D407" s="18" t="s">
        <v>46</v>
      </c>
      <c r="E407" s="19" t="s">
        <v>55</v>
      </c>
      <c r="F407" s="70" t="s">
        <v>288</v>
      </c>
      <c r="G407" s="70">
        <v>1</v>
      </c>
      <c r="H407" s="84" t="s">
        <v>278</v>
      </c>
      <c r="I407" s="19">
        <v>64</v>
      </c>
      <c r="J407" s="70" t="s">
        <v>289</v>
      </c>
      <c r="K407" s="2">
        <f>(VLOOKUP(H407,'functions and szcl estimates'!$A$14:$I$23,4, FALSE))*(('raw data'!I619)^(VLOOKUP('raw data'!H619,'functions and szcl estimates'!$A$14:$I$23, 7, FALSE)))</f>
        <v>160.66441388622138</v>
      </c>
      <c r="L407" s="12">
        <v>0.39583333333333298</v>
      </c>
      <c r="M407" s="8">
        <v>0.45833333333333298</v>
      </c>
      <c r="N407" s="8">
        <f t="shared" si="21"/>
        <v>-6.25E-2</v>
      </c>
      <c r="O407" s="14">
        <v>25.5</v>
      </c>
      <c r="S407" t="s">
        <v>148</v>
      </c>
    </row>
    <row r="408" spans="1:19" x14ac:dyDescent="0.2">
      <c r="A408" s="5">
        <v>39686</v>
      </c>
      <c r="B408" s="17">
        <v>2012</v>
      </c>
      <c r="C408" s="18" t="str">
        <f t="shared" si="20"/>
        <v>Tomales Bay_39686_TB North_0.3958</v>
      </c>
      <c r="D408" s="18" t="s">
        <v>46</v>
      </c>
      <c r="E408" s="19" t="s">
        <v>55</v>
      </c>
      <c r="F408" s="70" t="s">
        <v>288</v>
      </c>
      <c r="G408" s="70">
        <v>1</v>
      </c>
      <c r="H408" s="84" t="s">
        <v>278</v>
      </c>
      <c r="I408" s="19">
        <v>72</v>
      </c>
      <c r="J408" s="70" t="s">
        <v>289</v>
      </c>
      <c r="K408" s="2">
        <f>(VLOOKUP(H408,'functions and szcl estimates'!$A$14:$I$23,4, FALSE))*(('raw data'!I621)^(VLOOKUP('raw data'!H621,'functions and szcl estimates'!$A$14:$I$23, 7, FALSE)))</f>
        <v>317.22299056522365</v>
      </c>
      <c r="L408" s="12">
        <v>0.39583333333333298</v>
      </c>
      <c r="M408" s="8">
        <v>0.45833333333333298</v>
      </c>
      <c r="N408" s="8">
        <f t="shared" si="21"/>
        <v>-6.25E-2</v>
      </c>
      <c r="O408" s="14">
        <v>25.5</v>
      </c>
      <c r="S408" t="s">
        <v>148</v>
      </c>
    </row>
    <row r="409" spans="1:19" x14ac:dyDescent="0.2">
      <c r="A409" s="5">
        <v>39686</v>
      </c>
      <c r="B409" s="17">
        <v>2012</v>
      </c>
      <c r="C409" s="18" t="str">
        <f t="shared" si="20"/>
        <v>Tomales Bay_39686_TB North_0.3958</v>
      </c>
      <c r="D409" s="18" t="s">
        <v>46</v>
      </c>
      <c r="E409" s="19" t="s">
        <v>55</v>
      </c>
      <c r="F409" s="70" t="s">
        <v>288</v>
      </c>
      <c r="G409" s="70">
        <v>1</v>
      </c>
      <c r="H409" s="84" t="s">
        <v>278</v>
      </c>
      <c r="I409" s="19">
        <v>71</v>
      </c>
      <c r="J409" s="70" t="s">
        <v>289</v>
      </c>
      <c r="K409" s="2">
        <f>(VLOOKUP(H409,'functions and szcl estimates'!$A$14:$I$23,4, FALSE))*(('raw data'!I622)^(VLOOKUP('raw data'!H622,'functions and szcl estimates'!$A$14:$I$23, 7, FALSE)))</f>
        <v>364.02162324943225</v>
      </c>
      <c r="L409" s="12">
        <v>0.39583333333333298</v>
      </c>
      <c r="M409" s="8">
        <v>0.45833333333333298</v>
      </c>
      <c r="N409" s="8">
        <f t="shared" si="21"/>
        <v>-6.25E-2</v>
      </c>
      <c r="O409" s="14">
        <v>25.5</v>
      </c>
      <c r="S409" t="s">
        <v>148</v>
      </c>
    </row>
    <row r="410" spans="1:19" x14ac:dyDescent="0.2">
      <c r="A410" s="5">
        <v>39686</v>
      </c>
      <c r="B410" s="17">
        <v>2012</v>
      </c>
      <c r="C410" s="18" t="str">
        <f t="shared" si="20"/>
        <v>Tomales Bay_39686_TB North_0.3958</v>
      </c>
      <c r="D410" s="18" t="s">
        <v>46</v>
      </c>
      <c r="E410" s="19" t="s">
        <v>55</v>
      </c>
      <c r="F410" s="70" t="s">
        <v>288</v>
      </c>
      <c r="G410" s="70">
        <v>1</v>
      </c>
      <c r="H410" s="84" t="s">
        <v>278</v>
      </c>
      <c r="I410" s="19">
        <v>56</v>
      </c>
      <c r="J410" s="70" t="s">
        <v>289</v>
      </c>
      <c r="K410" s="2">
        <f>(VLOOKUP(H410,'functions and szcl estimates'!$A$14:$I$23,4, FALSE))*(('raw data'!I623)^(VLOOKUP('raw data'!H623,'functions and szcl estimates'!$A$14:$I$23, 7, FALSE)))</f>
        <v>179.25016444340679</v>
      </c>
      <c r="L410" s="12">
        <v>0.39583333333333298</v>
      </c>
      <c r="M410" s="8">
        <v>0.45833333333333298</v>
      </c>
      <c r="N410" s="8">
        <f t="shared" si="21"/>
        <v>-6.25E-2</v>
      </c>
      <c r="O410" s="14">
        <v>25.5</v>
      </c>
      <c r="S410" t="s">
        <v>148</v>
      </c>
    </row>
    <row r="411" spans="1:19" x14ac:dyDescent="0.2">
      <c r="A411" s="5">
        <v>41213</v>
      </c>
      <c r="B411" s="17">
        <v>2016</v>
      </c>
      <c r="C411" s="18" t="str">
        <f t="shared" si="20"/>
        <v>Drakes_41213_ZM_up1_0.5417</v>
      </c>
      <c r="D411" s="18" t="s">
        <v>285</v>
      </c>
      <c r="E411" s="70" t="s">
        <v>286</v>
      </c>
      <c r="F411" s="70" t="s">
        <v>288</v>
      </c>
      <c r="G411" s="70">
        <v>1</v>
      </c>
      <c r="H411" s="77" t="s">
        <v>275</v>
      </c>
      <c r="I411" s="70">
        <v>108</v>
      </c>
      <c r="J411" s="70" t="s">
        <v>292</v>
      </c>
      <c r="K411" s="2">
        <f>(VLOOKUP(H411,'functions and szcl estimates'!$A$14:$I$23,4, FALSE))*(('raw data'!I637)^(VLOOKUP('raw data'!H637,'functions and szcl estimates'!$A$14:$I$23, 7, FALSE)))</f>
        <v>33.944475991929359</v>
      </c>
      <c r="L411" s="12">
        <v>0.54166666666666696</v>
      </c>
      <c r="M411" s="8">
        <v>0.50138888888888899</v>
      </c>
      <c r="N411" s="8">
        <f t="shared" ref="N411:N442" si="22">L411-M411</f>
        <v>4.0277777777777968E-2</v>
      </c>
      <c r="O411" s="14">
        <v>23</v>
      </c>
      <c r="S411" t="s">
        <v>148</v>
      </c>
    </row>
    <row r="412" spans="1:19" x14ac:dyDescent="0.2">
      <c r="A412" s="5">
        <v>41213</v>
      </c>
      <c r="B412" s="17">
        <v>2016</v>
      </c>
      <c r="C412" s="18" t="str">
        <f t="shared" si="20"/>
        <v>Drakes_41213_ZM_up1_0.5417</v>
      </c>
      <c r="D412" s="18" t="s">
        <v>285</v>
      </c>
      <c r="E412" s="70" t="s">
        <v>286</v>
      </c>
      <c r="F412" s="70" t="s">
        <v>288</v>
      </c>
      <c r="G412" s="70">
        <v>1</v>
      </c>
      <c r="H412" s="77" t="s">
        <v>275</v>
      </c>
      <c r="I412" s="70">
        <v>105</v>
      </c>
      <c r="J412" s="70" t="s">
        <v>292</v>
      </c>
      <c r="K412" s="2">
        <f>(VLOOKUP(H412,'functions and szcl estimates'!$A$14:$I$23,4, FALSE))*(('raw data'!I638)^(VLOOKUP('raw data'!H638,'functions and szcl estimates'!$A$14:$I$23, 7, FALSE)))</f>
        <v>35.354664229739903</v>
      </c>
      <c r="L412" s="12">
        <v>0.54166666666666696</v>
      </c>
      <c r="M412" s="8">
        <v>0.50138888888888899</v>
      </c>
      <c r="N412" s="8">
        <f t="shared" si="22"/>
        <v>4.0277777777777968E-2</v>
      </c>
      <c r="O412" s="14">
        <v>23</v>
      </c>
      <c r="S412" t="s">
        <v>148</v>
      </c>
    </row>
    <row r="413" spans="1:19" x14ac:dyDescent="0.2">
      <c r="A413" s="5">
        <v>41213</v>
      </c>
      <c r="B413" s="17">
        <v>2016</v>
      </c>
      <c r="C413" s="18" t="str">
        <f t="shared" si="20"/>
        <v>Drakes_41213_ZM_up2_0.5417</v>
      </c>
      <c r="D413" s="18" t="s">
        <v>285</v>
      </c>
      <c r="E413" s="70" t="s">
        <v>293</v>
      </c>
      <c r="F413" s="70" t="s">
        <v>288</v>
      </c>
      <c r="G413" s="70">
        <v>1</v>
      </c>
      <c r="H413" s="77" t="s">
        <v>275</v>
      </c>
      <c r="I413" s="70">
        <v>70</v>
      </c>
      <c r="J413" s="70" t="s">
        <v>291</v>
      </c>
      <c r="K413" s="2">
        <f>(VLOOKUP(H413,'functions and szcl estimates'!$A$14:$I$23,4, FALSE))*(('raw data'!I639)^(VLOOKUP('raw data'!H639,'functions and szcl estimates'!$A$14:$I$23, 7, FALSE)))</f>
        <v>53.18102667145908</v>
      </c>
      <c r="L413" s="12">
        <v>0.54166666666666696</v>
      </c>
      <c r="M413" s="8">
        <v>0.50138888888888899</v>
      </c>
      <c r="N413" s="8">
        <f t="shared" si="22"/>
        <v>4.0277777777777968E-2</v>
      </c>
      <c r="O413" s="14">
        <v>23</v>
      </c>
      <c r="P413">
        <f>COUNT(O413:O429)</f>
        <v>17</v>
      </c>
      <c r="Q413" s="65">
        <f>SUM(K413:K429)</f>
        <v>2130.7427878015842</v>
      </c>
      <c r="R413" s="15">
        <f>P413/O413</f>
        <v>0.73913043478260865</v>
      </c>
      <c r="S413" t="s">
        <v>148</v>
      </c>
    </row>
    <row r="414" spans="1:19" x14ac:dyDescent="0.2">
      <c r="A414" s="5">
        <v>41213</v>
      </c>
      <c r="B414" s="17">
        <v>2016</v>
      </c>
      <c r="C414" s="18" t="str">
        <f t="shared" si="20"/>
        <v>Drakes_41213_ZM_up2_0.5417</v>
      </c>
      <c r="D414" s="18" t="s">
        <v>285</v>
      </c>
      <c r="E414" s="70" t="s">
        <v>293</v>
      </c>
      <c r="F414" s="70" t="s">
        <v>288</v>
      </c>
      <c r="G414" s="70">
        <v>1</v>
      </c>
      <c r="H414" s="77" t="s">
        <v>275</v>
      </c>
      <c r="I414" s="70">
        <v>79</v>
      </c>
      <c r="J414" s="70" t="s">
        <v>292</v>
      </c>
      <c r="K414" s="2">
        <f>(VLOOKUP(H414,'functions and szcl estimates'!$A$14:$I$23,4, FALSE))*(('raw data'!I640)^(VLOOKUP('raw data'!H640,'functions and szcl estimates'!$A$14:$I$23, 7, FALSE)))</f>
        <v>55.018440298859808</v>
      </c>
      <c r="L414" s="12">
        <v>0.54166666666666696</v>
      </c>
      <c r="M414" s="8">
        <v>0.50138888888888899</v>
      </c>
      <c r="N414" s="8">
        <f t="shared" si="22"/>
        <v>4.0277777777777968E-2</v>
      </c>
      <c r="O414" s="14">
        <v>23</v>
      </c>
      <c r="S414" t="s">
        <v>148</v>
      </c>
    </row>
    <row r="415" spans="1:19" x14ac:dyDescent="0.2">
      <c r="A415" s="5">
        <v>41214</v>
      </c>
      <c r="B415" s="17">
        <v>2016</v>
      </c>
      <c r="C415" s="18" t="str">
        <f t="shared" si="20"/>
        <v>Drakes_41214_ZM_mid1_0.5208</v>
      </c>
      <c r="D415" s="18" t="s">
        <v>285</v>
      </c>
      <c r="E415" s="70" t="s">
        <v>296</v>
      </c>
      <c r="F415" s="70" t="s">
        <v>288</v>
      </c>
      <c r="G415" s="70">
        <v>1</v>
      </c>
      <c r="H415" s="77" t="s">
        <v>275</v>
      </c>
      <c r="I415" s="70">
        <v>141</v>
      </c>
      <c r="J415" s="70" t="s">
        <v>292</v>
      </c>
      <c r="K415" s="2">
        <f>(VLOOKUP(H415,'functions and szcl estimates'!$A$14:$I$23,4, FALSE))*(('raw data'!I668)^(VLOOKUP('raw data'!H668,'functions and szcl estimates'!$A$14:$I$23, 7, FALSE)))</f>
        <v>44.543378108562834</v>
      </c>
      <c r="L415" s="12">
        <v>0.52083333333333337</v>
      </c>
      <c r="M415" s="8">
        <v>0.59583333333333333</v>
      </c>
      <c r="N415" s="8">
        <f t="shared" si="22"/>
        <v>-7.4999999999999956E-2</v>
      </c>
      <c r="O415" s="14">
        <v>25.75</v>
      </c>
      <c r="P415">
        <f>COUNT(O415:O435)</f>
        <v>21</v>
      </c>
      <c r="Q415" s="65" t="e">
        <f>SUM(K415:K435)</f>
        <v>#VALUE!</v>
      </c>
      <c r="R415" s="15">
        <f>P415/O415</f>
        <v>0.81553398058252424</v>
      </c>
      <c r="S415" t="s">
        <v>148</v>
      </c>
    </row>
    <row r="416" spans="1:19" x14ac:dyDescent="0.2">
      <c r="A416" s="5">
        <v>41214</v>
      </c>
      <c r="B416" s="17">
        <v>2016</v>
      </c>
      <c r="C416" s="18" t="str">
        <f t="shared" si="20"/>
        <v>Drakes_41214_ZM_mid1_0.5208</v>
      </c>
      <c r="D416" s="18" t="s">
        <v>285</v>
      </c>
      <c r="E416" s="70" t="s">
        <v>296</v>
      </c>
      <c r="F416" s="70" t="s">
        <v>288</v>
      </c>
      <c r="G416" s="70">
        <v>1</v>
      </c>
      <c r="H416" s="77" t="s">
        <v>275</v>
      </c>
      <c r="I416" s="70">
        <v>89</v>
      </c>
      <c r="J416" s="70" t="s">
        <v>292</v>
      </c>
      <c r="K416" s="2">
        <f>(VLOOKUP(H416,'functions and szcl estimates'!$A$14:$I$23,4, FALSE))*(('raw data'!I669)^(VLOOKUP('raw data'!H669,'functions and szcl estimates'!$A$14:$I$23, 7, FALSE)))</f>
        <v>134.66723301956173</v>
      </c>
      <c r="L416" s="12">
        <v>0.52083333333333337</v>
      </c>
      <c r="M416" s="8">
        <v>0.59583333333333333</v>
      </c>
      <c r="N416" s="8">
        <f t="shared" si="22"/>
        <v>-7.4999999999999956E-2</v>
      </c>
      <c r="O416" s="14">
        <v>25.75</v>
      </c>
      <c r="S416" t="s">
        <v>148</v>
      </c>
    </row>
    <row r="417" spans="1:19" x14ac:dyDescent="0.2">
      <c r="A417" s="5">
        <v>41214</v>
      </c>
      <c r="B417" s="17">
        <v>2016</v>
      </c>
      <c r="C417" s="18" t="str">
        <f t="shared" si="20"/>
        <v>Drakes_41214_ZM_mid1_0.5208</v>
      </c>
      <c r="D417" s="18" t="s">
        <v>285</v>
      </c>
      <c r="E417" s="70" t="s">
        <v>296</v>
      </c>
      <c r="F417" s="70" t="s">
        <v>288</v>
      </c>
      <c r="G417" s="70">
        <v>1</v>
      </c>
      <c r="H417" s="77" t="s">
        <v>275</v>
      </c>
      <c r="I417" s="70">
        <v>60</v>
      </c>
      <c r="J417" s="70" t="s">
        <v>292</v>
      </c>
      <c r="K417" s="2">
        <f>(VLOOKUP(H417,'functions and szcl estimates'!$A$14:$I$23,4, FALSE))*(('raw data'!I670)^(VLOOKUP('raw data'!H670,'functions and szcl estimates'!$A$14:$I$23, 7, FALSE)))</f>
        <v>141.07213292992535</v>
      </c>
      <c r="L417" s="12">
        <v>0.52083333333333304</v>
      </c>
      <c r="M417" s="8">
        <v>0.59583333333333299</v>
      </c>
      <c r="N417" s="8">
        <f t="shared" si="22"/>
        <v>-7.4999999999999956E-2</v>
      </c>
      <c r="O417" s="14">
        <v>25.75</v>
      </c>
      <c r="S417" t="s">
        <v>148</v>
      </c>
    </row>
    <row r="418" spans="1:19" x14ac:dyDescent="0.2">
      <c r="A418" s="5">
        <v>41214</v>
      </c>
      <c r="B418" s="17">
        <v>2016</v>
      </c>
      <c r="C418" s="18" t="str">
        <f t="shared" si="20"/>
        <v>Drakes_41214_ZM_mid1_0.5208</v>
      </c>
      <c r="D418" s="18" t="s">
        <v>285</v>
      </c>
      <c r="E418" s="70" t="s">
        <v>296</v>
      </c>
      <c r="F418" s="70" t="s">
        <v>288</v>
      </c>
      <c r="G418" s="70">
        <v>1</v>
      </c>
      <c r="H418" s="77" t="s">
        <v>275</v>
      </c>
      <c r="I418" s="70">
        <v>72</v>
      </c>
      <c r="J418" s="70" t="s">
        <v>291</v>
      </c>
      <c r="K418" s="2">
        <f>(VLOOKUP(H418,'functions and szcl estimates'!$A$14:$I$23,4, FALSE))*(('raw data'!I671)^(VLOOKUP('raw data'!H671,'functions and szcl estimates'!$A$14:$I$23, 7, FALSE)))</f>
        <v>68.93451556545007</v>
      </c>
      <c r="L418" s="12">
        <v>0.52083333333333304</v>
      </c>
      <c r="M418" s="8">
        <v>0.59583333333333299</v>
      </c>
      <c r="N418" s="8">
        <f t="shared" si="22"/>
        <v>-7.4999999999999956E-2</v>
      </c>
      <c r="O418" s="14">
        <v>25.75</v>
      </c>
      <c r="S418" t="s">
        <v>148</v>
      </c>
    </row>
    <row r="419" spans="1:19" x14ac:dyDescent="0.2">
      <c r="A419" s="5">
        <v>41214</v>
      </c>
      <c r="B419" s="17">
        <v>2016</v>
      </c>
      <c r="C419" s="18" t="str">
        <f t="shared" si="20"/>
        <v>Drakes_41214_ZM_mid1_0.5208</v>
      </c>
      <c r="D419" s="18" t="s">
        <v>285</v>
      </c>
      <c r="E419" s="70" t="s">
        <v>296</v>
      </c>
      <c r="F419" s="70" t="s">
        <v>288</v>
      </c>
      <c r="G419" s="70">
        <v>1</v>
      </c>
      <c r="H419" s="77" t="s">
        <v>275</v>
      </c>
      <c r="I419" s="70">
        <v>77</v>
      </c>
      <c r="J419" s="70" t="s">
        <v>292</v>
      </c>
      <c r="K419" s="2">
        <f>(VLOOKUP(H419,'functions and szcl estimates'!$A$14:$I$23,4, FALSE))*(('raw data'!I672)^(VLOOKUP('raw data'!H672,'functions and szcl estimates'!$A$14:$I$23, 7, FALSE)))</f>
        <v>58.805054182953349</v>
      </c>
      <c r="L419" s="12">
        <v>0.52083333333333304</v>
      </c>
      <c r="M419" s="8">
        <v>0.59583333333333299</v>
      </c>
      <c r="N419" s="8">
        <f t="shared" si="22"/>
        <v>-7.4999999999999956E-2</v>
      </c>
      <c r="O419" s="14">
        <v>25.75</v>
      </c>
      <c r="S419" t="s">
        <v>148</v>
      </c>
    </row>
    <row r="420" spans="1:19" x14ac:dyDescent="0.2">
      <c r="A420" s="5">
        <v>41214</v>
      </c>
      <c r="B420" s="17">
        <v>2016</v>
      </c>
      <c r="C420" s="18" t="str">
        <f t="shared" si="20"/>
        <v>Drakes_41214_ZM_mid1_0.5208</v>
      </c>
      <c r="D420" s="18" t="s">
        <v>285</v>
      </c>
      <c r="E420" s="70" t="s">
        <v>296</v>
      </c>
      <c r="F420" s="70" t="s">
        <v>288</v>
      </c>
      <c r="G420" s="70">
        <v>1</v>
      </c>
      <c r="H420" s="77" t="s">
        <v>275</v>
      </c>
      <c r="I420" s="70">
        <v>113</v>
      </c>
      <c r="J420" s="70" t="s">
        <v>292</v>
      </c>
      <c r="K420" s="2">
        <f>(VLOOKUP(H420,'functions and szcl estimates'!$A$14:$I$23,4, FALSE))*(('raw data'!I673)^(VLOOKUP('raw data'!H673,'functions and szcl estimates'!$A$14:$I$23, 7, FALSE)))</f>
        <v>151.01279375662179</v>
      </c>
      <c r="L420" s="12">
        <v>0.52083333333333304</v>
      </c>
      <c r="M420" s="8">
        <v>0.59583333333333299</v>
      </c>
      <c r="N420" s="8">
        <f t="shared" si="22"/>
        <v>-7.4999999999999956E-2</v>
      </c>
      <c r="O420" s="14">
        <v>25.75</v>
      </c>
      <c r="S420" t="s">
        <v>148</v>
      </c>
    </row>
    <row r="421" spans="1:19" x14ac:dyDescent="0.2">
      <c r="A421" s="5">
        <v>41214</v>
      </c>
      <c r="B421" s="17">
        <v>2016</v>
      </c>
      <c r="C421" s="18" t="str">
        <f t="shared" si="20"/>
        <v>Drakes_41214_ZM_mid1_0.5208</v>
      </c>
      <c r="D421" s="18" t="s">
        <v>285</v>
      </c>
      <c r="E421" s="70" t="s">
        <v>296</v>
      </c>
      <c r="F421" s="70" t="s">
        <v>288</v>
      </c>
      <c r="G421" s="70">
        <v>1</v>
      </c>
      <c r="H421" s="77" t="s">
        <v>275</v>
      </c>
      <c r="I421" s="70">
        <v>115</v>
      </c>
      <c r="J421" s="70" t="s">
        <v>292</v>
      </c>
      <c r="K421" s="2">
        <f>(VLOOKUP(H421,'functions and szcl estimates'!$A$14:$I$23,4, FALSE))*(('raw data'!I674)^(VLOOKUP('raw data'!H674,'functions and szcl estimates'!$A$14:$I$23, 7, FALSE)))</f>
        <v>73.25626290283563</v>
      </c>
      <c r="L421" s="12">
        <v>0.52083333333333304</v>
      </c>
      <c r="M421" s="8">
        <v>0.59583333333333299</v>
      </c>
      <c r="N421" s="8">
        <f t="shared" si="22"/>
        <v>-7.4999999999999956E-2</v>
      </c>
      <c r="O421" s="14">
        <v>25.75</v>
      </c>
      <c r="S421" t="s">
        <v>148</v>
      </c>
    </row>
    <row r="422" spans="1:19" x14ac:dyDescent="0.2">
      <c r="A422" s="5">
        <v>41214</v>
      </c>
      <c r="B422" s="17">
        <v>2016</v>
      </c>
      <c r="C422" s="18" t="str">
        <f t="shared" si="20"/>
        <v>Drakes_41214_ZM_mid1_0.5208</v>
      </c>
      <c r="D422" s="18" t="s">
        <v>285</v>
      </c>
      <c r="E422" s="70" t="s">
        <v>296</v>
      </c>
      <c r="F422" s="70" t="s">
        <v>288</v>
      </c>
      <c r="G422" s="70">
        <v>1</v>
      </c>
      <c r="H422" s="77" t="s">
        <v>275</v>
      </c>
      <c r="I422" s="70">
        <v>86</v>
      </c>
      <c r="J422" s="70" t="s">
        <v>292</v>
      </c>
      <c r="K422" s="2">
        <f>(VLOOKUP(H422,'functions and szcl estimates'!$A$14:$I$23,4, FALSE))*(('raw data'!I675)^(VLOOKUP('raw data'!H675,'functions and szcl estimates'!$A$14:$I$23, 7, FALSE)))</f>
        <v>119.42143174829822</v>
      </c>
      <c r="L422" s="12">
        <v>0.52083333333333304</v>
      </c>
      <c r="M422" s="8">
        <v>0.59583333333333299</v>
      </c>
      <c r="N422" s="8">
        <f t="shared" si="22"/>
        <v>-7.4999999999999956E-2</v>
      </c>
      <c r="O422" s="14">
        <v>25.75</v>
      </c>
      <c r="S422" t="s">
        <v>148</v>
      </c>
    </row>
    <row r="423" spans="1:19" x14ac:dyDescent="0.2">
      <c r="A423" s="5">
        <v>41214</v>
      </c>
      <c r="B423" s="17">
        <v>2016</v>
      </c>
      <c r="C423" s="18" t="str">
        <f t="shared" si="20"/>
        <v>Drakes_41214_ZM_mid1_0.5208</v>
      </c>
      <c r="D423" s="18" t="s">
        <v>285</v>
      </c>
      <c r="E423" s="70" t="s">
        <v>296</v>
      </c>
      <c r="F423" s="70" t="s">
        <v>288</v>
      </c>
      <c r="G423" s="70">
        <v>1</v>
      </c>
      <c r="H423" s="77" t="s">
        <v>275</v>
      </c>
      <c r="I423" s="70">
        <v>84</v>
      </c>
      <c r="J423" s="70" t="s">
        <v>292</v>
      </c>
      <c r="K423" s="2">
        <f>(VLOOKUP(H423,'functions and szcl estimates'!$A$14:$I$23,4, FALSE))*(('raw data'!I676)^(VLOOKUP('raw data'!H676,'functions and szcl estimates'!$A$14:$I$23, 7, FALSE)))</f>
        <v>273.48250928811649</v>
      </c>
      <c r="L423" s="12">
        <v>0.52083333333333304</v>
      </c>
      <c r="M423" s="8">
        <v>0.59583333333333299</v>
      </c>
      <c r="N423" s="8">
        <f t="shared" si="22"/>
        <v>-7.4999999999999956E-2</v>
      </c>
      <c r="O423" s="14">
        <v>25.75</v>
      </c>
      <c r="S423" t="s">
        <v>148</v>
      </c>
    </row>
    <row r="424" spans="1:19" x14ac:dyDescent="0.2">
      <c r="A424" s="5">
        <v>41214</v>
      </c>
      <c r="B424" s="17">
        <v>2016</v>
      </c>
      <c r="C424" s="18" t="str">
        <f t="shared" si="20"/>
        <v>Drakes_41214_ZM_mid1_0.5208</v>
      </c>
      <c r="D424" s="18" t="s">
        <v>285</v>
      </c>
      <c r="E424" s="70" t="s">
        <v>296</v>
      </c>
      <c r="F424" s="70" t="s">
        <v>288</v>
      </c>
      <c r="G424" s="70">
        <v>1</v>
      </c>
      <c r="H424" s="77" t="s">
        <v>275</v>
      </c>
      <c r="I424" s="70">
        <v>68</v>
      </c>
      <c r="J424" s="70" t="s">
        <v>292</v>
      </c>
      <c r="K424" s="2">
        <f>(VLOOKUP(H424,'functions and szcl estimates'!$A$14:$I$23,4, FALSE))*(('raw data'!I677)^(VLOOKUP('raw data'!H677,'functions and szcl estimates'!$A$14:$I$23, 7, FALSE)))</f>
        <v>194.87112410260136</v>
      </c>
      <c r="L424" s="12">
        <v>0.52083333333333304</v>
      </c>
      <c r="M424" s="8">
        <v>0.59583333333333299</v>
      </c>
      <c r="N424" s="8">
        <f t="shared" si="22"/>
        <v>-7.4999999999999956E-2</v>
      </c>
      <c r="O424" s="14">
        <v>25.75</v>
      </c>
      <c r="S424" t="s">
        <v>148</v>
      </c>
    </row>
    <row r="425" spans="1:19" x14ac:dyDescent="0.2">
      <c r="A425" s="5">
        <v>41214</v>
      </c>
      <c r="B425" s="17">
        <v>2016</v>
      </c>
      <c r="C425" s="18" t="str">
        <f t="shared" si="20"/>
        <v>Drakes_41214_ZM_mid1_0.5208</v>
      </c>
      <c r="D425" s="18" t="s">
        <v>285</v>
      </c>
      <c r="E425" s="70" t="s">
        <v>296</v>
      </c>
      <c r="F425" s="70" t="s">
        <v>288</v>
      </c>
      <c r="G425" s="70">
        <v>1</v>
      </c>
      <c r="H425" s="77" t="s">
        <v>275</v>
      </c>
      <c r="I425" s="70">
        <v>66</v>
      </c>
      <c r="J425" s="70" t="s">
        <v>292</v>
      </c>
      <c r="K425" s="2">
        <f>(VLOOKUP(H425,'functions and szcl estimates'!$A$14:$I$23,4, FALSE))*(('raw data'!I678)^(VLOOKUP('raw data'!H678,'functions and szcl estimates'!$A$14:$I$23, 7, FALSE)))</f>
        <v>250.0549275345108</v>
      </c>
      <c r="L425" s="12">
        <v>0.52083333333333304</v>
      </c>
      <c r="M425" s="8">
        <v>0.59583333333333299</v>
      </c>
      <c r="N425" s="8">
        <f t="shared" si="22"/>
        <v>-7.4999999999999956E-2</v>
      </c>
      <c r="O425" s="14">
        <v>25.75</v>
      </c>
      <c r="S425" t="s">
        <v>148</v>
      </c>
    </row>
    <row r="426" spans="1:19" x14ac:dyDescent="0.2">
      <c r="A426" s="5">
        <v>41214</v>
      </c>
      <c r="B426" s="17">
        <v>2016</v>
      </c>
      <c r="C426" s="18" t="str">
        <f t="shared" si="20"/>
        <v>Drakes_41214_ZM_mid1_0.5208</v>
      </c>
      <c r="D426" s="18" t="s">
        <v>285</v>
      </c>
      <c r="E426" s="70" t="s">
        <v>296</v>
      </c>
      <c r="F426" s="70" t="s">
        <v>288</v>
      </c>
      <c r="G426" s="70">
        <v>1</v>
      </c>
      <c r="H426" s="77" t="s">
        <v>275</v>
      </c>
      <c r="I426" s="70">
        <v>75</v>
      </c>
      <c r="J426" s="70" t="s">
        <v>292</v>
      </c>
      <c r="K426" s="2">
        <f>(VLOOKUP(H426,'functions and szcl estimates'!$A$14:$I$23,4, FALSE))*(('raw data'!I679)^(VLOOKUP('raw data'!H679,'functions and szcl estimates'!$A$14:$I$23, 7, FALSE)))</f>
        <v>172.11279505219383</v>
      </c>
      <c r="L426" s="12">
        <v>0.52083333333333304</v>
      </c>
      <c r="M426" s="8">
        <v>0.59583333333333299</v>
      </c>
      <c r="N426" s="8">
        <f t="shared" si="22"/>
        <v>-7.4999999999999956E-2</v>
      </c>
      <c r="O426" s="14">
        <v>25.75</v>
      </c>
      <c r="S426" t="s">
        <v>148</v>
      </c>
    </row>
    <row r="427" spans="1:19" x14ac:dyDescent="0.2">
      <c r="A427" s="5">
        <v>41214</v>
      </c>
      <c r="B427" s="17">
        <v>2016</v>
      </c>
      <c r="C427" s="18" t="str">
        <f t="shared" si="20"/>
        <v>Drakes_41214_ZM_mid1_0.5208</v>
      </c>
      <c r="D427" s="18" t="s">
        <v>285</v>
      </c>
      <c r="E427" s="70" t="s">
        <v>296</v>
      </c>
      <c r="F427" s="70" t="s">
        <v>288</v>
      </c>
      <c r="G427" s="70">
        <v>1</v>
      </c>
      <c r="H427" s="77" t="s">
        <v>275</v>
      </c>
      <c r="I427" s="70">
        <v>72</v>
      </c>
      <c r="J427" s="70" t="s">
        <v>292</v>
      </c>
      <c r="K427" s="2">
        <f>(VLOOKUP(H427,'functions and szcl estimates'!$A$14:$I$23,4, FALSE))*(('raw data'!I680)^(VLOOKUP('raw data'!H680,'functions and szcl estimates'!$A$14:$I$23, 7, FALSE)))</f>
        <v>77.73496209883929</v>
      </c>
      <c r="L427" s="12">
        <v>0.52083333333333304</v>
      </c>
      <c r="M427" s="8">
        <v>0.59583333333333299</v>
      </c>
      <c r="N427" s="8">
        <f t="shared" si="22"/>
        <v>-7.4999999999999956E-2</v>
      </c>
      <c r="O427" s="14">
        <v>25.75</v>
      </c>
      <c r="S427" t="s">
        <v>148</v>
      </c>
    </row>
    <row r="428" spans="1:19" x14ac:dyDescent="0.2">
      <c r="A428" s="5">
        <v>41214</v>
      </c>
      <c r="B428" s="17">
        <v>2016</v>
      </c>
      <c r="C428" s="18" t="str">
        <f t="shared" si="20"/>
        <v>Drakes_41214_ZM_mid1_0.5208</v>
      </c>
      <c r="D428" s="18" t="s">
        <v>285</v>
      </c>
      <c r="E428" s="70" t="s">
        <v>296</v>
      </c>
      <c r="F428" s="70" t="s">
        <v>288</v>
      </c>
      <c r="G428" s="70">
        <v>1</v>
      </c>
      <c r="H428" s="77" t="s">
        <v>275</v>
      </c>
      <c r="I428" s="70">
        <v>65</v>
      </c>
      <c r="J428" s="70" t="s">
        <v>292</v>
      </c>
      <c r="K428" s="2">
        <f>(VLOOKUP(H428,'functions and szcl estimates'!$A$14:$I$23,4, FALSE))*(('raw data'!I681)^(VLOOKUP('raw data'!H681,'functions and szcl estimates'!$A$14:$I$23, 7, FALSE)))</f>
        <v>187.09831751299004</v>
      </c>
      <c r="L428" s="12">
        <v>0.52083333333333304</v>
      </c>
      <c r="M428" s="8">
        <v>0.59583333333333299</v>
      </c>
      <c r="N428" s="8">
        <f t="shared" si="22"/>
        <v>-7.4999999999999956E-2</v>
      </c>
      <c r="O428" s="14">
        <v>25.75</v>
      </c>
      <c r="S428" t="s">
        <v>148</v>
      </c>
    </row>
    <row r="429" spans="1:19" x14ac:dyDescent="0.2">
      <c r="A429" s="5">
        <v>41215</v>
      </c>
      <c r="B429" s="17">
        <v>2016</v>
      </c>
      <c r="C429" s="18" t="str">
        <f t="shared" si="20"/>
        <v>Drakes_41215_ZM_low4_0.6069</v>
      </c>
      <c r="D429" s="18" t="s">
        <v>285</v>
      </c>
      <c r="E429" s="70" t="s">
        <v>297</v>
      </c>
      <c r="F429" s="70" t="s">
        <v>288</v>
      </c>
      <c r="G429" s="70">
        <v>1</v>
      </c>
      <c r="H429" s="77" t="s">
        <v>275</v>
      </c>
      <c r="I429" s="70">
        <v>83</v>
      </c>
      <c r="J429" s="70" t="s">
        <v>291</v>
      </c>
      <c r="K429" s="2">
        <f>(VLOOKUP(H429,'functions and szcl estimates'!$A$14:$I$23,4, FALSE))*(('raw data'!I692)^(VLOOKUP('raw data'!H692,'functions and szcl estimates'!$A$14:$I$23, 7, FALSE)))</f>
        <v>75.475883027804571</v>
      </c>
      <c r="L429" s="12">
        <v>0.60694444444444395</v>
      </c>
      <c r="M429" s="8">
        <v>0.38541666666666702</v>
      </c>
      <c r="N429" s="8">
        <f t="shared" si="22"/>
        <v>0.22152777777777694</v>
      </c>
      <c r="O429" s="14">
        <v>18.75</v>
      </c>
      <c r="S429" t="s">
        <v>148</v>
      </c>
    </row>
    <row r="430" spans="1:19" x14ac:dyDescent="0.2">
      <c r="A430" s="5">
        <v>41215</v>
      </c>
      <c r="B430" s="17">
        <v>2016</v>
      </c>
      <c r="C430" s="18" t="str">
        <f t="shared" si="20"/>
        <v>Drakes_41215_ZM_low4_0.6069</v>
      </c>
      <c r="D430" s="18" t="s">
        <v>285</v>
      </c>
      <c r="E430" s="70" t="s">
        <v>297</v>
      </c>
      <c r="F430" s="70" t="s">
        <v>288</v>
      </c>
      <c r="G430" s="70">
        <v>1</v>
      </c>
      <c r="H430" s="77" t="s">
        <v>275</v>
      </c>
      <c r="I430" s="70">
        <v>96</v>
      </c>
      <c r="J430" s="70" t="s">
        <v>291</v>
      </c>
      <c r="K430" s="2">
        <f>(VLOOKUP(H430,'functions and szcl estimates'!$A$14:$I$23,4, FALSE))*(('raw data'!I693)^(VLOOKUP('raw data'!H693,'functions and szcl estimates'!$A$14:$I$23, 7, FALSE)))</f>
        <v>254.64093920786178</v>
      </c>
      <c r="L430" s="12">
        <v>0.60694444444444395</v>
      </c>
      <c r="M430" s="8">
        <v>0.38541666666666702</v>
      </c>
      <c r="N430" s="8">
        <f t="shared" si="22"/>
        <v>0.22152777777777694</v>
      </c>
      <c r="O430" s="14">
        <v>18.75</v>
      </c>
      <c r="S430" t="s">
        <v>148</v>
      </c>
    </row>
    <row r="431" spans="1:19" x14ac:dyDescent="0.2">
      <c r="A431" s="5">
        <v>41215</v>
      </c>
      <c r="B431" s="17">
        <v>2016</v>
      </c>
      <c r="C431" s="18" t="str">
        <f t="shared" si="20"/>
        <v>Drakes_41215_ZM_low4_0.6069</v>
      </c>
      <c r="D431" s="18" t="s">
        <v>285</v>
      </c>
      <c r="E431" s="70" t="s">
        <v>297</v>
      </c>
      <c r="F431" s="70" t="s">
        <v>288</v>
      </c>
      <c r="G431" s="70">
        <v>1</v>
      </c>
      <c r="H431" s="77" t="s">
        <v>275</v>
      </c>
      <c r="I431" s="70">
        <v>88</v>
      </c>
      <c r="J431" s="70" t="s">
        <v>291</v>
      </c>
      <c r="K431" s="2">
        <f>(VLOOKUP(H431,'functions and szcl estimates'!$A$14:$I$23,4, FALSE))*(('raw data'!I694)^(VLOOKUP('raw data'!H694,'functions and szcl estimates'!$A$14:$I$23, 7, FALSE)))</f>
        <v>119.42143174829822</v>
      </c>
      <c r="L431" s="12">
        <v>0.60694444444444395</v>
      </c>
      <c r="M431" s="8">
        <v>0.38541666666666702</v>
      </c>
      <c r="N431" s="8">
        <f t="shared" si="22"/>
        <v>0.22152777777777694</v>
      </c>
      <c r="O431" s="14">
        <v>18.75</v>
      </c>
      <c r="S431" t="s">
        <v>148</v>
      </c>
    </row>
    <row r="432" spans="1:19" x14ac:dyDescent="0.2">
      <c r="A432" s="5">
        <v>41215</v>
      </c>
      <c r="B432" s="17">
        <v>2016</v>
      </c>
      <c r="C432" s="18" t="str">
        <f t="shared" si="20"/>
        <v>Drakes_41215_ZM_low4_0.6069</v>
      </c>
      <c r="D432" s="18" t="s">
        <v>285</v>
      </c>
      <c r="E432" s="70" t="s">
        <v>297</v>
      </c>
      <c r="F432" s="70" t="s">
        <v>288</v>
      </c>
      <c r="G432" s="70">
        <v>1</v>
      </c>
      <c r="H432" s="77" t="s">
        <v>275</v>
      </c>
      <c r="I432" s="70">
        <v>73</v>
      </c>
      <c r="J432" s="70" t="s">
        <v>292</v>
      </c>
      <c r="K432" s="2">
        <f>(VLOOKUP(H432,'functions and szcl estimates'!$A$14:$I$23,4, FALSE))*(('raw data'!I695)^(VLOOKUP('raw data'!H695,'functions and szcl estimates'!$A$14:$I$23, 7, FALSE)))</f>
        <v>308.39634281643197</v>
      </c>
      <c r="L432" s="12">
        <v>0.60694444444444395</v>
      </c>
      <c r="M432" s="8">
        <v>0.38541666666666702</v>
      </c>
      <c r="N432" s="8">
        <f t="shared" si="22"/>
        <v>0.22152777777777694</v>
      </c>
      <c r="O432" s="14">
        <v>18.75</v>
      </c>
      <c r="S432" t="s">
        <v>148</v>
      </c>
    </row>
    <row r="433" spans="1:19" x14ac:dyDescent="0.2">
      <c r="A433" s="5">
        <v>41215</v>
      </c>
      <c r="B433" s="17">
        <v>2016</v>
      </c>
      <c r="C433" s="18" t="str">
        <f t="shared" si="20"/>
        <v>Drakes_41215_ZM_low4_0.6069</v>
      </c>
      <c r="D433" s="18" t="s">
        <v>285</v>
      </c>
      <c r="E433" s="70" t="s">
        <v>297</v>
      </c>
      <c r="F433" s="70" t="s">
        <v>288</v>
      </c>
      <c r="G433" s="70">
        <v>1</v>
      </c>
      <c r="H433" s="77" t="s">
        <v>275</v>
      </c>
      <c r="I433" s="70">
        <v>96</v>
      </c>
      <c r="J433" s="70" t="s">
        <v>291</v>
      </c>
      <c r="K433" s="2">
        <f>(VLOOKUP(H433,'functions and szcl estimates'!$A$14:$I$23,4, FALSE))*(('raw data'!I696)^(VLOOKUP('raw data'!H696,'functions and szcl estimates'!$A$14:$I$23, 7, FALSE)))</f>
        <v>206.88443581318597</v>
      </c>
      <c r="L433" s="12">
        <v>0.60694444444444395</v>
      </c>
      <c r="M433" s="8">
        <v>0.38541666666666702</v>
      </c>
      <c r="N433" s="8">
        <f t="shared" si="22"/>
        <v>0.22152777777777694</v>
      </c>
      <c r="O433" s="14">
        <v>18.75</v>
      </c>
      <c r="S433" t="s">
        <v>148</v>
      </c>
    </row>
    <row r="434" spans="1:19" x14ac:dyDescent="0.2">
      <c r="A434" s="5">
        <v>41215</v>
      </c>
      <c r="B434" s="17">
        <v>2016</v>
      </c>
      <c r="C434" s="18" t="str">
        <f t="shared" si="20"/>
        <v>Drakes_41215_ZM_low4_0.6069</v>
      </c>
      <c r="D434" s="18" t="s">
        <v>285</v>
      </c>
      <c r="E434" s="70" t="s">
        <v>297</v>
      </c>
      <c r="F434" s="70" t="s">
        <v>288</v>
      </c>
      <c r="G434" s="70">
        <v>1</v>
      </c>
      <c r="H434" s="77" t="s">
        <v>275</v>
      </c>
      <c r="I434" s="70">
        <v>100</v>
      </c>
      <c r="J434" s="70" t="s">
        <v>292</v>
      </c>
      <c r="K434" s="2" t="e">
        <f>(VLOOKUP(H434,'functions and szcl estimates'!$A$14:$I$23,4, FALSE))*(('raw data'!I697)^(VLOOKUP('raw data'!H697,'functions and szcl estimates'!$A$14:$I$23, 7, FALSE)))</f>
        <v>#VALUE!</v>
      </c>
      <c r="L434" s="12">
        <v>0.60694444444444395</v>
      </c>
      <c r="M434" s="8">
        <v>0.38541666666666702</v>
      </c>
      <c r="N434" s="8">
        <f t="shared" si="22"/>
        <v>0.22152777777777694</v>
      </c>
      <c r="O434" s="14">
        <v>18.75</v>
      </c>
      <c r="S434" t="s">
        <v>148</v>
      </c>
    </row>
    <row r="435" spans="1:19" x14ac:dyDescent="0.2">
      <c r="A435" s="5">
        <v>41215</v>
      </c>
      <c r="B435" s="17">
        <v>2016</v>
      </c>
      <c r="C435" s="18" t="str">
        <f t="shared" si="20"/>
        <v>Drakes_41215_ZM_low4_0.6069</v>
      </c>
      <c r="D435" s="18" t="s">
        <v>285</v>
      </c>
      <c r="E435" s="70" t="s">
        <v>297</v>
      </c>
      <c r="F435" s="70" t="s">
        <v>288</v>
      </c>
      <c r="G435" s="70">
        <v>1</v>
      </c>
      <c r="H435" s="77" t="s">
        <v>275</v>
      </c>
      <c r="I435" s="70">
        <v>110</v>
      </c>
      <c r="J435" s="70" t="s">
        <v>291</v>
      </c>
      <c r="K435" s="2" t="e">
        <f>(VLOOKUP(H435,'functions and szcl estimates'!$A$14:$I$23,4, FALSE))*(('raw data'!I698)^(VLOOKUP('raw data'!H698,'functions and szcl estimates'!$A$14:$I$23, 7, FALSE)))</f>
        <v>#VALUE!</v>
      </c>
      <c r="L435" s="12">
        <v>0.60694444444444395</v>
      </c>
      <c r="M435" s="8">
        <v>0.38541666666666702</v>
      </c>
      <c r="N435" s="8">
        <f t="shared" si="22"/>
        <v>0.22152777777777694</v>
      </c>
      <c r="O435" s="14">
        <v>18.75</v>
      </c>
      <c r="S435" t="s">
        <v>148</v>
      </c>
    </row>
    <row r="436" spans="1:19" x14ac:dyDescent="0.2">
      <c r="A436" s="5">
        <v>41215</v>
      </c>
      <c r="B436" s="17">
        <v>2016</v>
      </c>
      <c r="C436" s="18" t="str">
        <f t="shared" si="20"/>
        <v>Drakes_41215_ZM_low4_0.6069</v>
      </c>
      <c r="D436" s="18" t="s">
        <v>285</v>
      </c>
      <c r="E436" s="70" t="s">
        <v>297</v>
      </c>
      <c r="F436" s="70" t="s">
        <v>288</v>
      </c>
      <c r="G436" s="70">
        <v>1</v>
      </c>
      <c r="H436" s="77" t="s">
        <v>275</v>
      </c>
      <c r="I436" s="70">
        <v>131</v>
      </c>
      <c r="J436" s="70" t="s">
        <v>292</v>
      </c>
      <c r="K436" s="2" t="e">
        <f>(VLOOKUP(H436,'functions and szcl estimates'!$A$14:$I$23,4, FALSE))*(('raw data'!I699)^(VLOOKUP('raw data'!H699,'functions and szcl estimates'!$A$14:$I$23, 7, FALSE)))</f>
        <v>#VALUE!</v>
      </c>
      <c r="L436" s="12">
        <v>0.60694444444444395</v>
      </c>
      <c r="M436" s="8">
        <v>0.38541666666666702</v>
      </c>
      <c r="N436" s="8">
        <f t="shared" si="22"/>
        <v>0.22152777777777694</v>
      </c>
      <c r="O436" s="14">
        <v>18.75</v>
      </c>
      <c r="S436" t="s">
        <v>148</v>
      </c>
    </row>
    <row r="437" spans="1:19" x14ac:dyDescent="0.2">
      <c r="A437" s="5">
        <v>41215</v>
      </c>
      <c r="B437" s="17">
        <v>2016</v>
      </c>
      <c r="C437" s="18" t="str">
        <f t="shared" si="20"/>
        <v>Drakes_41215_ZM_low4_0.6069</v>
      </c>
      <c r="D437" s="18" t="s">
        <v>285</v>
      </c>
      <c r="E437" s="70" t="s">
        <v>297</v>
      </c>
      <c r="F437" s="70" t="s">
        <v>288</v>
      </c>
      <c r="G437" s="70">
        <v>1</v>
      </c>
      <c r="H437" s="77" t="s">
        <v>275</v>
      </c>
      <c r="I437" s="70">
        <v>99</v>
      </c>
      <c r="J437" s="70" t="s">
        <v>292</v>
      </c>
      <c r="K437" s="2" t="e">
        <f>(VLOOKUP(H437,'functions and szcl estimates'!$A$14:$I$23,4, FALSE))*(('raw data'!I700)^(VLOOKUP('raw data'!H700,'functions and szcl estimates'!$A$14:$I$23, 7, FALSE)))</f>
        <v>#VALUE!</v>
      </c>
      <c r="L437" s="12">
        <v>0.60694444444444395</v>
      </c>
      <c r="M437" s="8">
        <v>0.38541666666666702</v>
      </c>
      <c r="N437" s="8">
        <f t="shared" si="22"/>
        <v>0.22152777777777694</v>
      </c>
      <c r="O437" s="14">
        <v>18.75</v>
      </c>
      <c r="S437" t="s">
        <v>148</v>
      </c>
    </row>
    <row r="438" spans="1:19" x14ac:dyDescent="0.2">
      <c r="A438" s="5">
        <v>41215</v>
      </c>
      <c r="B438" s="17">
        <v>2016</v>
      </c>
      <c r="C438" s="18" t="str">
        <f t="shared" si="20"/>
        <v>Drakes_41215_ZM_low4_0.6069</v>
      </c>
      <c r="D438" s="18" t="s">
        <v>285</v>
      </c>
      <c r="E438" s="70" t="s">
        <v>297</v>
      </c>
      <c r="F438" s="70" t="s">
        <v>288</v>
      </c>
      <c r="G438" s="70">
        <v>1</v>
      </c>
      <c r="H438" s="77" t="s">
        <v>275</v>
      </c>
      <c r="I438" s="70">
        <v>82</v>
      </c>
      <c r="J438" s="70" t="s">
        <v>292</v>
      </c>
      <c r="K438" s="2" t="e">
        <f>(VLOOKUP(H438,'functions and szcl estimates'!$A$14:$I$23,4, FALSE))*(('raw data'!I701)^(VLOOKUP('raw data'!H701,'functions and szcl estimates'!$A$14:$I$23, 7, FALSE)))</f>
        <v>#VALUE!</v>
      </c>
      <c r="L438" s="12">
        <v>0.60694444444444395</v>
      </c>
      <c r="M438" s="8">
        <v>0.38541666666666702</v>
      </c>
      <c r="N438" s="8">
        <f t="shared" si="22"/>
        <v>0.22152777777777694</v>
      </c>
      <c r="O438" s="14">
        <v>18.75</v>
      </c>
      <c r="S438" t="s">
        <v>148</v>
      </c>
    </row>
    <row r="439" spans="1:19" x14ac:dyDescent="0.2">
      <c r="A439" s="5">
        <v>41215</v>
      </c>
      <c r="B439" s="17">
        <v>2016</v>
      </c>
      <c r="C439" s="18" t="str">
        <f t="shared" si="20"/>
        <v>Drakes_41215_ZM_low4_0.6069</v>
      </c>
      <c r="D439" s="18" t="s">
        <v>285</v>
      </c>
      <c r="E439" s="70" t="s">
        <v>297</v>
      </c>
      <c r="F439" s="70" t="s">
        <v>288</v>
      </c>
      <c r="G439" s="70">
        <v>1</v>
      </c>
      <c r="H439" s="77" t="s">
        <v>275</v>
      </c>
      <c r="I439" s="70">
        <v>78</v>
      </c>
      <c r="J439" s="70" t="s">
        <v>291</v>
      </c>
      <c r="K439" s="2" t="e">
        <f>(VLOOKUP(H439,'functions and szcl estimates'!$A$14:$I$23,4, FALSE))*(('raw data'!I702)^(VLOOKUP('raw data'!H702,'functions and szcl estimates'!$A$14:$I$23, 7, FALSE)))</f>
        <v>#VALUE!</v>
      </c>
      <c r="L439" s="12">
        <v>0.60694444444444395</v>
      </c>
      <c r="M439" s="8">
        <v>0.38541666666666702</v>
      </c>
      <c r="N439" s="8">
        <f t="shared" si="22"/>
        <v>0.22152777777777694</v>
      </c>
      <c r="O439" s="14">
        <v>18.75</v>
      </c>
      <c r="S439" t="s">
        <v>148</v>
      </c>
    </row>
    <row r="440" spans="1:19" x14ac:dyDescent="0.2">
      <c r="A440" s="5">
        <v>41215</v>
      </c>
      <c r="B440" s="17">
        <v>2016</v>
      </c>
      <c r="C440" s="18" t="str">
        <f t="shared" si="20"/>
        <v>Drakes_41215_ZM_low4_0.6069</v>
      </c>
      <c r="D440" s="18" t="s">
        <v>285</v>
      </c>
      <c r="E440" s="70" t="s">
        <v>297</v>
      </c>
      <c r="F440" s="70" t="s">
        <v>288</v>
      </c>
      <c r="G440" s="70">
        <v>1</v>
      </c>
      <c r="H440" s="77" t="s">
        <v>275</v>
      </c>
      <c r="I440" s="70">
        <v>78</v>
      </c>
      <c r="J440" s="70" t="s">
        <v>291</v>
      </c>
      <c r="K440" s="2" t="e">
        <f>(VLOOKUP(H440,'functions and szcl estimates'!$A$14:$I$23,4, FALSE))*(('raw data'!I703)^(VLOOKUP('raw data'!H703,'functions and szcl estimates'!$A$14:$I$23, 7, FALSE)))</f>
        <v>#VALUE!</v>
      </c>
      <c r="L440" s="12">
        <v>0.60694444444444395</v>
      </c>
      <c r="M440" s="8">
        <v>0.38541666666666702</v>
      </c>
      <c r="N440" s="8">
        <f t="shared" si="22"/>
        <v>0.22152777777777694</v>
      </c>
      <c r="O440" s="14">
        <v>18.75</v>
      </c>
      <c r="S440" t="s">
        <v>148</v>
      </c>
    </row>
    <row r="441" spans="1:19" x14ac:dyDescent="0.2">
      <c r="A441" s="5">
        <v>41215</v>
      </c>
      <c r="B441" s="17">
        <v>2016</v>
      </c>
      <c r="C441" s="18" t="str">
        <f t="shared" si="20"/>
        <v>Drakes_41215_ZM_low4_0.6069</v>
      </c>
      <c r="D441" s="18" t="s">
        <v>285</v>
      </c>
      <c r="E441" s="70" t="s">
        <v>297</v>
      </c>
      <c r="F441" s="70" t="s">
        <v>288</v>
      </c>
      <c r="G441" s="70">
        <v>1</v>
      </c>
      <c r="H441" s="77" t="s">
        <v>275</v>
      </c>
      <c r="I441" s="70">
        <v>112</v>
      </c>
      <c r="J441" s="70" t="s">
        <v>292</v>
      </c>
      <c r="K441" s="2" t="e">
        <f>(VLOOKUP(H441,'functions and szcl estimates'!$A$14:$I$23,4, FALSE))*(('raw data'!I704)^(VLOOKUP('raw data'!H704,'functions and szcl estimates'!$A$14:$I$23, 7, FALSE)))</f>
        <v>#VALUE!</v>
      </c>
      <c r="L441" s="12">
        <v>0.60694444444444395</v>
      </c>
      <c r="M441" s="8">
        <v>0.38541666666666702</v>
      </c>
      <c r="N441" s="8">
        <f t="shared" si="22"/>
        <v>0.22152777777777694</v>
      </c>
      <c r="O441" s="14">
        <v>18.75</v>
      </c>
      <c r="S441" t="s">
        <v>148</v>
      </c>
    </row>
    <row r="442" spans="1:19" x14ac:dyDescent="0.2">
      <c r="A442" s="5">
        <v>41215</v>
      </c>
      <c r="B442" s="17">
        <v>2016</v>
      </c>
      <c r="C442" s="18" t="str">
        <f t="shared" si="20"/>
        <v>Drakes_41215_ZM_low4_0.6069</v>
      </c>
      <c r="D442" s="18" t="s">
        <v>285</v>
      </c>
      <c r="E442" s="70" t="s">
        <v>297</v>
      </c>
      <c r="F442" s="70" t="s">
        <v>288</v>
      </c>
      <c r="G442" s="70">
        <v>1</v>
      </c>
      <c r="H442" s="77" t="s">
        <v>275</v>
      </c>
      <c r="I442" s="70">
        <v>94</v>
      </c>
      <c r="J442" s="70" t="s">
        <v>292</v>
      </c>
      <c r="K442" s="2" t="e">
        <f>(VLOOKUP(H442,'functions and szcl estimates'!$A$14:$I$23,4, FALSE))*(('raw data'!I705)^(VLOOKUP('raw data'!H705,'functions and szcl estimates'!$A$14:$I$23, 7, FALSE)))</f>
        <v>#VALUE!</v>
      </c>
      <c r="L442" s="12">
        <v>0.60694444444444395</v>
      </c>
      <c r="M442" s="8">
        <v>0.38541666666666702</v>
      </c>
      <c r="N442" s="8">
        <f t="shared" si="22"/>
        <v>0.22152777777777694</v>
      </c>
      <c r="O442" s="14">
        <v>18.75</v>
      </c>
      <c r="S442" t="s">
        <v>148</v>
      </c>
    </row>
    <row r="443" spans="1:19" x14ac:dyDescent="0.2">
      <c r="A443" s="5">
        <v>41215</v>
      </c>
      <c r="B443" s="17">
        <v>2016</v>
      </c>
      <c r="C443" s="18" t="str">
        <f t="shared" si="20"/>
        <v>Drakes_41215_ZM_low4_0.6069</v>
      </c>
      <c r="D443" s="18" t="s">
        <v>285</v>
      </c>
      <c r="E443" s="70" t="s">
        <v>297</v>
      </c>
      <c r="F443" s="70" t="s">
        <v>288</v>
      </c>
      <c r="G443" s="70">
        <v>1</v>
      </c>
      <c r="H443" s="77" t="s">
        <v>275</v>
      </c>
      <c r="I443" s="70">
        <v>83</v>
      </c>
      <c r="J443" s="70" t="s">
        <v>291</v>
      </c>
      <c r="K443" s="2" t="e">
        <f>(VLOOKUP(H443,'functions and szcl estimates'!$A$14:$I$23,4, FALSE))*(('raw data'!I706)^(VLOOKUP('raw data'!H706,'functions and szcl estimates'!$A$14:$I$23, 7, FALSE)))</f>
        <v>#VALUE!</v>
      </c>
      <c r="L443" s="12">
        <v>0.60694444444444395</v>
      </c>
      <c r="M443" s="8">
        <v>0.38541666666666702</v>
      </c>
      <c r="N443" s="8">
        <f t="shared" ref="N443:N460" si="23">L443-M443</f>
        <v>0.22152777777777694</v>
      </c>
      <c r="O443" s="14">
        <v>18.75</v>
      </c>
      <c r="S443" t="s">
        <v>148</v>
      </c>
    </row>
    <row r="444" spans="1:19" x14ac:dyDescent="0.2">
      <c r="A444" s="5">
        <v>41215</v>
      </c>
      <c r="B444" s="17">
        <v>2016</v>
      </c>
      <c r="C444" s="18" t="str">
        <f t="shared" si="20"/>
        <v>Drakes_41215_ZM_low4_0.6069</v>
      </c>
      <c r="D444" s="18" t="s">
        <v>285</v>
      </c>
      <c r="E444" s="70" t="s">
        <v>297</v>
      </c>
      <c r="F444" s="70" t="s">
        <v>288</v>
      </c>
      <c r="G444" s="70">
        <v>1</v>
      </c>
      <c r="H444" s="77" t="s">
        <v>275</v>
      </c>
      <c r="I444" s="70">
        <v>94</v>
      </c>
      <c r="J444" s="70" t="s">
        <v>292</v>
      </c>
      <c r="K444" s="2">
        <f>(VLOOKUP(H444,'functions and szcl estimates'!$A$14:$I$23,4, FALSE))*(('raw data'!I707)^(VLOOKUP('raw data'!H707,'functions and szcl estimates'!$A$14:$I$23, 7, FALSE)))</f>
        <v>1.4488718718087097</v>
      </c>
      <c r="L444" s="12">
        <v>0.60694444444444395</v>
      </c>
      <c r="M444" s="8">
        <v>0.38541666666666702</v>
      </c>
      <c r="N444" s="8">
        <f t="shared" si="23"/>
        <v>0.22152777777777694</v>
      </c>
      <c r="O444" s="14">
        <v>18.75</v>
      </c>
      <c r="S444" t="s">
        <v>148</v>
      </c>
    </row>
    <row r="445" spans="1:19" x14ac:dyDescent="0.2">
      <c r="A445" s="5">
        <v>41215</v>
      </c>
      <c r="B445" s="17">
        <v>2016</v>
      </c>
      <c r="C445" s="18" t="str">
        <f t="shared" si="20"/>
        <v>Drakes_41215_ZM_low4_0.6069</v>
      </c>
      <c r="D445" s="18" t="s">
        <v>285</v>
      </c>
      <c r="E445" s="70" t="s">
        <v>297</v>
      </c>
      <c r="F445" s="70" t="s">
        <v>288</v>
      </c>
      <c r="G445" s="70">
        <v>1</v>
      </c>
      <c r="H445" s="77" t="s">
        <v>275</v>
      </c>
      <c r="I445" s="70">
        <v>88</v>
      </c>
      <c r="J445" s="70" t="s">
        <v>292</v>
      </c>
      <c r="K445" s="2">
        <f>(VLOOKUP(H445,'functions and szcl estimates'!$A$14:$I$23,4, FALSE))*(('raw data'!I708)^(VLOOKUP('raw data'!H708,'functions and szcl estimates'!$A$14:$I$23, 7, FALSE)))</f>
        <v>9.537368841204831</v>
      </c>
      <c r="L445" s="12">
        <v>0.60694444444444395</v>
      </c>
      <c r="M445" s="8">
        <v>0.38541666666666702</v>
      </c>
      <c r="N445" s="8">
        <f t="shared" si="23"/>
        <v>0.22152777777777694</v>
      </c>
      <c r="O445" s="14">
        <v>18.75</v>
      </c>
      <c r="S445" t="s">
        <v>148</v>
      </c>
    </row>
    <row r="446" spans="1:19" x14ac:dyDescent="0.2">
      <c r="A446" s="5">
        <v>41215</v>
      </c>
      <c r="B446" s="17">
        <v>2016</v>
      </c>
      <c r="C446" s="18" t="str">
        <f t="shared" si="20"/>
        <v>Drakes_41215_ZM_low4_0.6069</v>
      </c>
      <c r="D446" s="18" t="s">
        <v>285</v>
      </c>
      <c r="E446" s="70" t="s">
        <v>297</v>
      </c>
      <c r="F446" s="70" t="s">
        <v>288</v>
      </c>
      <c r="G446" s="70">
        <v>1</v>
      </c>
      <c r="H446" s="77" t="s">
        <v>275</v>
      </c>
      <c r="I446" s="70">
        <v>80</v>
      </c>
      <c r="J446" s="70" t="s">
        <v>291</v>
      </c>
      <c r="K446" s="2">
        <f>(VLOOKUP(H446,'functions and szcl estimates'!$A$14:$I$23,4, FALSE))*(('raw data'!I709)^(VLOOKUP('raw data'!H709,'functions and szcl estimates'!$A$14:$I$23, 7, FALSE)))</f>
        <v>5.1345212147867043</v>
      </c>
      <c r="L446" s="12">
        <v>0.60694444444444395</v>
      </c>
      <c r="M446" s="8">
        <v>0.38541666666666702</v>
      </c>
      <c r="N446" s="8">
        <f t="shared" si="23"/>
        <v>0.22152777777777694</v>
      </c>
      <c r="O446" s="14">
        <v>18.75</v>
      </c>
      <c r="S446" t="s">
        <v>148</v>
      </c>
    </row>
    <row r="447" spans="1:19" x14ac:dyDescent="0.2">
      <c r="A447" s="5">
        <v>41215</v>
      </c>
      <c r="B447" s="17">
        <v>2016</v>
      </c>
      <c r="C447" s="18" t="str">
        <f t="shared" si="20"/>
        <v>Drakes_41215_ZM_low4_0.6069</v>
      </c>
      <c r="D447" s="18" t="s">
        <v>285</v>
      </c>
      <c r="E447" s="70" t="s">
        <v>297</v>
      </c>
      <c r="F447" s="70" t="s">
        <v>288</v>
      </c>
      <c r="G447" s="70">
        <v>1</v>
      </c>
      <c r="H447" s="77" t="s">
        <v>275</v>
      </c>
      <c r="I447" s="70">
        <v>79</v>
      </c>
      <c r="J447" s="70" t="s">
        <v>292</v>
      </c>
      <c r="K447" s="2">
        <f>(VLOOKUP(H447,'functions and szcl estimates'!$A$14:$I$23,4, FALSE))*(('raw data'!I710)^(VLOOKUP('raw data'!H710,'functions and szcl estimates'!$A$14:$I$23, 7, FALSE)))</f>
        <v>3.9846939349497896</v>
      </c>
      <c r="L447" s="12">
        <v>0.60694444444444395</v>
      </c>
      <c r="M447" s="8">
        <v>0.38541666666666702</v>
      </c>
      <c r="N447" s="8">
        <f t="shared" si="23"/>
        <v>0.22152777777777694</v>
      </c>
      <c r="O447" s="14">
        <v>18.75</v>
      </c>
      <c r="S447" t="s">
        <v>148</v>
      </c>
    </row>
    <row r="448" spans="1:19" x14ac:dyDescent="0.2">
      <c r="A448" s="5">
        <v>41215</v>
      </c>
      <c r="B448" s="17">
        <v>2016</v>
      </c>
      <c r="C448" s="18" t="str">
        <f t="shared" si="20"/>
        <v>Drakes_41215_ZM_low4_0.6069</v>
      </c>
      <c r="D448" s="18" t="s">
        <v>285</v>
      </c>
      <c r="E448" s="70" t="s">
        <v>297</v>
      </c>
      <c r="F448" s="70" t="s">
        <v>288</v>
      </c>
      <c r="G448" s="70">
        <v>1</v>
      </c>
      <c r="H448" s="77" t="s">
        <v>275</v>
      </c>
      <c r="I448" s="70">
        <v>81</v>
      </c>
      <c r="J448" s="70" t="s">
        <v>292</v>
      </c>
      <c r="K448" s="2">
        <f>(VLOOKUP(H448,'functions and szcl estimates'!$A$14:$I$23,4, FALSE))*(('raw data'!I711)^(VLOOKUP('raw data'!H711,'functions and szcl estimates'!$A$14:$I$23, 7, FALSE)))</f>
        <v>9.537368841204831</v>
      </c>
      <c r="L448" s="12">
        <v>0.60694444444444395</v>
      </c>
      <c r="M448" s="8">
        <v>0.38541666666666702</v>
      </c>
      <c r="N448" s="8">
        <f t="shared" si="23"/>
        <v>0.22152777777777694</v>
      </c>
      <c r="O448" s="14">
        <v>18.75</v>
      </c>
      <c r="S448" t="s">
        <v>148</v>
      </c>
    </row>
    <row r="449" spans="1:21" x14ac:dyDescent="0.2">
      <c r="A449" s="5">
        <v>41215</v>
      </c>
      <c r="B449" s="17">
        <v>2016</v>
      </c>
      <c r="C449" s="18" t="str">
        <f t="shared" si="20"/>
        <v>Drakes_41215_ZM_low5_0.6111</v>
      </c>
      <c r="D449" s="18" t="s">
        <v>285</v>
      </c>
      <c r="E449" s="70" t="s">
        <v>298</v>
      </c>
      <c r="F449" s="70" t="s">
        <v>288</v>
      </c>
      <c r="G449" s="70">
        <v>1</v>
      </c>
      <c r="H449" s="77" t="s">
        <v>275</v>
      </c>
      <c r="I449" s="70">
        <v>115</v>
      </c>
      <c r="J449" s="70" t="s">
        <v>292</v>
      </c>
      <c r="K449" s="2">
        <f>(VLOOKUP(H449,'functions and szcl estimates'!$A$14:$I$23,4, FALSE))*(('raw data'!I717)^(VLOOKUP('raw data'!H717,'functions and szcl estimates'!$A$14:$I$23, 7, FALSE)))</f>
        <v>5.1345212147867043</v>
      </c>
      <c r="L449" s="12">
        <v>0.61111111111111105</v>
      </c>
      <c r="M449" s="8">
        <v>0.39999999999999997</v>
      </c>
      <c r="N449" s="8">
        <f t="shared" si="23"/>
        <v>0.21111111111111108</v>
      </c>
      <c r="O449" s="14">
        <v>19</v>
      </c>
      <c r="S449" t="s">
        <v>148</v>
      </c>
    </row>
    <row r="450" spans="1:21" x14ac:dyDescent="0.2">
      <c r="A450" s="5">
        <v>41215</v>
      </c>
      <c r="B450" s="17">
        <v>2016</v>
      </c>
      <c r="C450" s="18" t="str">
        <f t="shared" si="20"/>
        <v>Drakes_41215_ZM_low5_0.6111</v>
      </c>
      <c r="D450" s="18" t="s">
        <v>285</v>
      </c>
      <c r="E450" s="70" t="s">
        <v>298</v>
      </c>
      <c r="F450" s="70" t="s">
        <v>288</v>
      </c>
      <c r="G450" s="70">
        <v>1</v>
      </c>
      <c r="H450" s="77" t="s">
        <v>275</v>
      </c>
      <c r="I450" s="70">
        <v>106</v>
      </c>
      <c r="J450" s="70" t="s">
        <v>292</v>
      </c>
      <c r="K450" s="2">
        <f>(VLOOKUP(H450,'functions and szcl estimates'!$A$14:$I$23,4, FALSE))*(('raw data'!I718)^(VLOOKUP('raw data'!H718,'functions and szcl estimates'!$A$14:$I$23, 7, FALSE)))</f>
        <v>6.7220842080127534</v>
      </c>
      <c r="L450" s="12">
        <v>0.61111111111111105</v>
      </c>
      <c r="M450" s="8">
        <v>0.4</v>
      </c>
      <c r="N450" s="8">
        <f t="shared" si="23"/>
        <v>0.21111111111111103</v>
      </c>
      <c r="O450" s="14">
        <v>19</v>
      </c>
      <c r="S450" t="s">
        <v>148</v>
      </c>
    </row>
    <row r="451" spans="1:21" x14ac:dyDescent="0.2">
      <c r="A451" s="5">
        <v>41215</v>
      </c>
      <c r="B451" s="17">
        <v>2016</v>
      </c>
      <c r="C451" s="18" t="str">
        <f t="shared" ref="C451:C514" si="24">CONCATENATE(D451,"_",A451,"_",E451,"_",ROUND(L451,4))</f>
        <v>Drakes_41215_ZM_low5_0.6111</v>
      </c>
      <c r="D451" s="18" t="s">
        <v>285</v>
      </c>
      <c r="E451" s="70" t="s">
        <v>298</v>
      </c>
      <c r="F451" s="70" t="s">
        <v>288</v>
      </c>
      <c r="G451" s="70">
        <v>1</v>
      </c>
      <c r="H451" s="77" t="s">
        <v>275</v>
      </c>
      <c r="I451" s="70">
        <v>83</v>
      </c>
      <c r="J451" s="70" t="s">
        <v>291</v>
      </c>
      <c r="K451" s="2">
        <f>(VLOOKUP(H451,'functions and szcl estimates'!$A$14:$I$23,4, FALSE))*(('raw data'!I719)^(VLOOKUP('raw data'!H719,'functions and szcl estimates'!$A$14:$I$23, 7, FALSE)))</f>
        <v>5.1345212147867043</v>
      </c>
      <c r="L451" s="12">
        <v>0.61111111111111105</v>
      </c>
      <c r="M451" s="8">
        <v>0.4</v>
      </c>
      <c r="N451" s="8">
        <f t="shared" si="23"/>
        <v>0.21111111111111103</v>
      </c>
      <c r="O451" s="14">
        <v>19</v>
      </c>
      <c r="S451" t="s">
        <v>148</v>
      </c>
    </row>
    <row r="452" spans="1:21" x14ac:dyDescent="0.2">
      <c r="A452" s="5">
        <v>41215</v>
      </c>
      <c r="B452" s="17">
        <v>2016</v>
      </c>
      <c r="C452" s="18" t="str">
        <f t="shared" si="24"/>
        <v>Drakes_41215_ZM_low5_0.6111</v>
      </c>
      <c r="D452" s="18" t="s">
        <v>285</v>
      </c>
      <c r="E452" s="70" t="s">
        <v>298</v>
      </c>
      <c r="F452" s="70" t="s">
        <v>288</v>
      </c>
      <c r="G452" s="70">
        <v>1</v>
      </c>
      <c r="H452" s="77" t="s">
        <v>275</v>
      </c>
      <c r="I452" s="70">
        <v>96</v>
      </c>
      <c r="J452" s="70" t="s">
        <v>292</v>
      </c>
      <c r="K452" s="2">
        <f>(VLOOKUP(H452,'functions and szcl estimates'!$A$14:$I$23,4, FALSE))*(('raw data'!I720)^(VLOOKUP('raw data'!H720,'functions and szcl estimates'!$A$14:$I$23, 7, FALSE)))</f>
        <v>9.8828081971187398</v>
      </c>
      <c r="L452" s="12">
        <v>0.61111111111111105</v>
      </c>
      <c r="M452" s="8">
        <v>0.4</v>
      </c>
      <c r="N452" s="8">
        <f t="shared" si="23"/>
        <v>0.21111111111111103</v>
      </c>
      <c r="O452" s="14">
        <v>19</v>
      </c>
      <c r="S452" t="s">
        <v>148</v>
      </c>
    </row>
    <row r="453" spans="1:21" x14ac:dyDescent="0.2">
      <c r="A453" s="5">
        <v>41215</v>
      </c>
      <c r="B453" s="17">
        <v>2016</v>
      </c>
      <c r="C453" s="18" t="str">
        <f t="shared" si="24"/>
        <v>Drakes_41215_ZM_low5_0.6111</v>
      </c>
      <c r="D453" s="18" t="s">
        <v>285</v>
      </c>
      <c r="E453" s="70" t="s">
        <v>298</v>
      </c>
      <c r="F453" s="70" t="s">
        <v>288</v>
      </c>
      <c r="G453" s="70">
        <v>1</v>
      </c>
      <c r="H453" s="77" t="s">
        <v>275</v>
      </c>
      <c r="I453" s="70">
        <v>120</v>
      </c>
      <c r="J453" s="70" t="s">
        <v>292</v>
      </c>
      <c r="K453" s="2">
        <f>(VLOOKUP(H453,'functions and szcl estimates'!$A$14:$I$23,4, FALSE))*(('raw data'!I721)^(VLOOKUP('raw data'!H721,'functions and szcl estimates'!$A$14:$I$23, 7, FALSE)))</f>
        <v>8.2211622803759798</v>
      </c>
      <c r="L453" s="12">
        <v>0.61111111111111105</v>
      </c>
      <c r="M453" s="8">
        <v>0.4</v>
      </c>
      <c r="N453" s="8">
        <f t="shared" si="23"/>
        <v>0.21111111111111103</v>
      </c>
      <c r="O453" s="14">
        <v>19</v>
      </c>
      <c r="S453" t="s">
        <v>148</v>
      </c>
    </row>
    <row r="454" spans="1:21" x14ac:dyDescent="0.2">
      <c r="A454" s="5">
        <v>41215</v>
      </c>
      <c r="B454" s="17">
        <v>2016</v>
      </c>
      <c r="C454" s="18" t="str">
        <f t="shared" si="24"/>
        <v>Drakes_41215_ZM_low3_0.5736</v>
      </c>
      <c r="D454" s="18" t="s">
        <v>285</v>
      </c>
      <c r="E454" s="70" t="s">
        <v>299</v>
      </c>
      <c r="F454" s="70" t="s">
        <v>288</v>
      </c>
      <c r="G454" s="70">
        <v>1</v>
      </c>
      <c r="H454" s="77" t="s">
        <v>275</v>
      </c>
      <c r="I454" s="70">
        <v>92</v>
      </c>
      <c r="J454" s="70" t="s">
        <v>292</v>
      </c>
      <c r="K454" s="2">
        <f>(VLOOKUP(H454,'functions and szcl estimates'!$A$14:$I$23,4, FALSE))*(('raw data'!I722)^(VLOOKUP('raw data'!H722,'functions and szcl estimates'!$A$14:$I$23, 7, FALSE)))</f>
        <v>2.8084735549041104</v>
      </c>
      <c r="L454" s="12">
        <v>0.57361111111111118</v>
      </c>
      <c r="M454" s="8">
        <v>0.41388888888888892</v>
      </c>
      <c r="N454" s="8">
        <f t="shared" si="23"/>
        <v>0.15972222222222227</v>
      </c>
      <c r="O454" s="14">
        <v>21.75</v>
      </c>
      <c r="P454">
        <f>COUNT(O454:O471)</f>
        <v>18</v>
      </c>
      <c r="Q454" s="65" t="e">
        <f>SUM(K454:K471)</f>
        <v>#VALUE!</v>
      </c>
      <c r="R454" s="15">
        <f>P454/O454</f>
        <v>0.82758620689655171</v>
      </c>
      <c r="S454" t="s">
        <v>148</v>
      </c>
    </row>
    <row r="455" spans="1:21" x14ac:dyDescent="0.2">
      <c r="A455" s="5">
        <v>41215</v>
      </c>
      <c r="B455" s="17">
        <v>2016</v>
      </c>
      <c r="C455" s="18" t="str">
        <f t="shared" si="24"/>
        <v>Drakes_41215_ZM_low3_0.5736</v>
      </c>
      <c r="D455" s="18" t="s">
        <v>285</v>
      </c>
      <c r="E455" s="70" t="s">
        <v>299</v>
      </c>
      <c r="F455" s="70" t="s">
        <v>288</v>
      </c>
      <c r="G455" s="70">
        <v>1</v>
      </c>
      <c r="H455" s="77" t="s">
        <v>275</v>
      </c>
      <c r="I455" s="70">
        <v>153</v>
      </c>
      <c r="J455" s="70" t="s">
        <v>292</v>
      </c>
      <c r="K455" s="2">
        <f>(VLOOKUP(H455,'functions and szcl estimates'!$A$14:$I$23,4, FALSE))*(('raw data'!I723)^(VLOOKUP('raw data'!H723,'functions and szcl estimates'!$A$14:$I$23, 7, FALSE)))</f>
        <v>9.537368841204831</v>
      </c>
      <c r="L455" s="12">
        <v>0.57361111111111118</v>
      </c>
      <c r="M455" s="8">
        <v>0.41388888888888892</v>
      </c>
      <c r="N455" s="8">
        <f t="shared" si="23"/>
        <v>0.15972222222222227</v>
      </c>
      <c r="O455" s="14">
        <v>21.75</v>
      </c>
      <c r="S455" t="s">
        <v>148</v>
      </c>
    </row>
    <row r="456" spans="1:21" x14ac:dyDescent="0.2">
      <c r="A456" s="5">
        <v>41215</v>
      </c>
      <c r="B456" s="17">
        <v>2016</v>
      </c>
      <c r="C456" s="18" t="str">
        <f t="shared" si="24"/>
        <v>Drakes_41215_ZM_low3_0.5736</v>
      </c>
      <c r="D456" s="18" t="s">
        <v>285</v>
      </c>
      <c r="E456" s="70" t="s">
        <v>299</v>
      </c>
      <c r="F456" s="70" t="s">
        <v>288</v>
      </c>
      <c r="G456" s="70">
        <v>1</v>
      </c>
      <c r="H456" s="77" t="s">
        <v>275</v>
      </c>
      <c r="I456" s="70">
        <v>111</v>
      </c>
      <c r="J456" s="70" t="s">
        <v>291</v>
      </c>
      <c r="K456" s="2">
        <f>(VLOOKUP(H456,'functions and szcl estimates'!$A$14:$I$23,4, FALSE))*(('raw data'!I724)^(VLOOKUP('raw data'!H724,'functions and szcl estimates'!$A$14:$I$23, 7, FALSE)))</f>
        <v>12.884860056992721</v>
      </c>
      <c r="L456" s="12">
        <v>0.57361111111111118</v>
      </c>
      <c r="M456" s="8">
        <v>0.41388888888888897</v>
      </c>
      <c r="N456" s="8">
        <f t="shared" si="23"/>
        <v>0.15972222222222221</v>
      </c>
      <c r="O456" s="14">
        <v>21.75</v>
      </c>
      <c r="S456" t="s">
        <v>148</v>
      </c>
    </row>
    <row r="457" spans="1:21" x14ac:dyDescent="0.2">
      <c r="A457" s="5">
        <v>41215</v>
      </c>
      <c r="B457" s="17">
        <v>2016</v>
      </c>
      <c r="C457" s="18" t="str">
        <f t="shared" si="24"/>
        <v>Drakes_41215_ZM_low3_0.5736</v>
      </c>
      <c r="D457" s="18" t="s">
        <v>285</v>
      </c>
      <c r="E457" s="70" t="s">
        <v>299</v>
      </c>
      <c r="F457" s="70" t="s">
        <v>288</v>
      </c>
      <c r="G457" s="70">
        <v>1</v>
      </c>
      <c r="H457" s="77" t="s">
        <v>275</v>
      </c>
      <c r="I457" s="70">
        <v>125</v>
      </c>
      <c r="J457" s="70" t="s">
        <v>292</v>
      </c>
      <c r="K457" s="2">
        <f>(VLOOKUP(H457,'functions and szcl estimates'!$A$14:$I$23,4, FALSE))*(('raw data'!I725)^(VLOOKUP('raw data'!H725,'functions and szcl estimates'!$A$14:$I$23, 7, FALSE)))</f>
        <v>8.5404154267192052</v>
      </c>
      <c r="L457" s="12">
        <v>0.57361111111111118</v>
      </c>
      <c r="M457" s="8">
        <v>0.41388888888888897</v>
      </c>
      <c r="N457" s="8">
        <f t="shared" si="23"/>
        <v>0.15972222222222221</v>
      </c>
      <c r="O457" s="14">
        <v>21.75</v>
      </c>
      <c r="S457" t="s">
        <v>148</v>
      </c>
    </row>
    <row r="458" spans="1:21" x14ac:dyDescent="0.2">
      <c r="A458" s="5">
        <v>41215</v>
      </c>
      <c r="B458" s="17">
        <v>2016</v>
      </c>
      <c r="C458" s="18" t="str">
        <f t="shared" si="24"/>
        <v>Drakes_41215_ZM_low3_0.5736</v>
      </c>
      <c r="D458" s="18" t="s">
        <v>285</v>
      </c>
      <c r="E458" s="70" t="s">
        <v>299</v>
      </c>
      <c r="F458" s="70" t="s">
        <v>288</v>
      </c>
      <c r="G458" s="70">
        <v>1</v>
      </c>
      <c r="H458" s="77" t="s">
        <v>275</v>
      </c>
      <c r="I458" s="70">
        <v>90</v>
      </c>
      <c r="J458" s="70" t="s">
        <v>292</v>
      </c>
      <c r="K458" s="2">
        <f>(VLOOKUP(H458,'functions and szcl estimates'!$A$14:$I$23,4, FALSE))*(('raw data'!I726)^(VLOOKUP('raw data'!H726,'functions and szcl estimates'!$A$14:$I$23, 7, FALSE)))</f>
        <v>7.0090023632973875</v>
      </c>
      <c r="L458" s="12">
        <v>0.57361111111111118</v>
      </c>
      <c r="M458" s="8">
        <v>0.41388888888888897</v>
      </c>
      <c r="N458" s="8">
        <f t="shared" si="23"/>
        <v>0.15972222222222221</v>
      </c>
      <c r="O458" s="14">
        <v>21.75</v>
      </c>
      <c r="S458" t="s">
        <v>148</v>
      </c>
    </row>
    <row r="459" spans="1:21" x14ac:dyDescent="0.2">
      <c r="A459" s="5">
        <v>41215</v>
      </c>
      <c r="B459" s="17">
        <v>2016</v>
      </c>
      <c r="C459" s="18" t="str">
        <f t="shared" si="24"/>
        <v>Drakes_41215_ZM_low3_0.5736</v>
      </c>
      <c r="D459" s="18" t="s">
        <v>285</v>
      </c>
      <c r="E459" s="70" t="s">
        <v>299</v>
      </c>
      <c r="F459" s="70" t="s">
        <v>288</v>
      </c>
      <c r="G459" s="70">
        <v>1</v>
      </c>
      <c r="H459" s="77" t="s">
        <v>275</v>
      </c>
      <c r="I459" s="70">
        <v>86</v>
      </c>
      <c r="J459" s="70" t="s">
        <v>292</v>
      </c>
      <c r="K459" s="2">
        <f>(VLOOKUP(H459,'functions and szcl estimates'!$A$14:$I$23,4, FALSE))*(('raw data'!I727)^(VLOOKUP('raw data'!H727,'functions and szcl estimates'!$A$14:$I$23, 7, FALSE)))</f>
        <v>6.4415772126302917</v>
      </c>
      <c r="L459" s="12">
        <v>0.57361111111111118</v>
      </c>
      <c r="M459" s="8">
        <v>0.41388888888888897</v>
      </c>
      <c r="N459" s="8">
        <f t="shared" si="23"/>
        <v>0.15972222222222221</v>
      </c>
      <c r="O459" s="14">
        <v>21.75</v>
      </c>
      <c r="S459" t="s">
        <v>148</v>
      </c>
    </row>
    <row r="460" spans="1:21" x14ac:dyDescent="0.2">
      <c r="A460" s="5">
        <v>41215</v>
      </c>
      <c r="B460" s="17">
        <v>2016</v>
      </c>
      <c r="C460" s="18" t="str">
        <f t="shared" si="24"/>
        <v>Drakes_41215_ZM_low3_0.5736</v>
      </c>
      <c r="D460" s="18" t="s">
        <v>285</v>
      </c>
      <c r="E460" s="70" t="s">
        <v>299</v>
      </c>
      <c r="F460" s="70" t="s">
        <v>288</v>
      </c>
      <c r="G460" s="70">
        <v>1</v>
      </c>
      <c r="H460" s="77" t="s">
        <v>275</v>
      </c>
      <c r="I460" s="70">
        <v>90</v>
      </c>
      <c r="J460" s="70" t="s">
        <v>289</v>
      </c>
      <c r="K460" s="2">
        <f>(VLOOKUP(H460,'functions and szcl estimates'!$A$14:$I$23,4, FALSE))*(('raw data'!I728)^(VLOOKUP('raw data'!H728,'functions and szcl estimates'!$A$14:$I$23, 7, FALSE)))</f>
        <v>3.9846939349497896</v>
      </c>
      <c r="L460" s="12">
        <v>0.57361111111111118</v>
      </c>
      <c r="M460" s="8">
        <v>0.41388888888888897</v>
      </c>
      <c r="N460" s="8">
        <f t="shared" si="23"/>
        <v>0.15972222222222221</v>
      </c>
      <c r="O460" s="14">
        <v>21.75</v>
      </c>
      <c r="S460" t="s">
        <v>148</v>
      </c>
    </row>
    <row r="461" spans="1:21" x14ac:dyDescent="0.2">
      <c r="A461" s="4">
        <v>39626</v>
      </c>
      <c r="B461" s="17">
        <v>2012</v>
      </c>
      <c r="C461" s="18" t="str">
        <f t="shared" si="24"/>
        <v>Elkhorn Slough_39626_Seal Bend_0</v>
      </c>
      <c r="D461" s="4" t="s">
        <v>45</v>
      </c>
      <c r="E461" s="2" t="s">
        <v>167</v>
      </c>
      <c r="F461" s="70" t="s">
        <v>288</v>
      </c>
      <c r="G461" s="70">
        <v>1</v>
      </c>
      <c r="H461" s="80" t="s">
        <v>227</v>
      </c>
      <c r="I461" s="2">
        <v>54</v>
      </c>
      <c r="J461" s="70" t="s">
        <v>289</v>
      </c>
      <c r="K461" s="2" t="e">
        <f>(VLOOKUP(H461,'functions and szcl estimates'!$A$14:$I$23,4, FALSE))*(('raw data'!I7)^(VLOOKUP('raw data'!H7,'functions and szcl estimates'!$A$14:$I$23, 7, FALSE)))</f>
        <v>#VALUE!</v>
      </c>
      <c r="L461" s="11"/>
      <c r="M461" s="11"/>
      <c r="N461" s="11"/>
      <c r="O461" s="64">
        <v>20</v>
      </c>
      <c r="P461" s="2"/>
      <c r="Q461" s="64"/>
      <c r="R461" s="2"/>
      <c r="S461" t="s">
        <v>166</v>
      </c>
      <c r="T461" s="1"/>
      <c r="U461" s="1"/>
    </row>
    <row r="462" spans="1:21" x14ac:dyDescent="0.2">
      <c r="A462" s="4">
        <v>39626</v>
      </c>
      <c r="B462" s="17">
        <v>2012</v>
      </c>
      <c r="C462" s="18" t="str">
        <f t="shared" si="24"/>
        <v>Elkhorn Slough_39626_Seal Bend_0</v>
      </c>
      <c r="D462" s="4" t="s">
        <v>45</v>
      </c>
      <c r="E462" s="2" t="s">
        <v>167</v>
      </c>
      <c r="F462" s="70" t="s">
        <v>288</v>
      </c>
      <c r="G462" s="70">
        <v>1</v>
      </c>
      <c r="H462" s="80" t="s">
        <v>227</v>
      </c>
      <c r="I462" s="2">
        <v>54</v>
      </c>
      <c r="J462" s="70" t="s">
        <v>289</v>
      </c>
      <c r="K462" s="2" t="e">
        <f>(VLOOKUP(H462,'functions and szcl estimates'!$A$14:$I$23,4, FALSE))*(('raw data'!I8)^(VLOOKUP('raw data'!H8,'functions and szcl estimates'!$A$14:$I$23, 7, FALSE)))</f>
        <v>#VALUE!</v>
      </c>
      <c r="L462" s="11"/>
      <c r="M462" s="11"/>
      <c r="N462" s="11"/>
      <c r="O462" s="64">
        <v>20</v>
      </c>
      <c r="P462" s="2"/>
      <c r="Q462" s="64"/>
      <c r="R462" s="2"/>
      <c r="S462" t="s">
        <v>166</v>
      </c>
      <c r="T462" s="1"/>
      <c r="U462" s="1"/>
    </row>
    <row r="463" spans="1:21" x14ac:dyDescent="0.2">
      <c r="A463" s="4">
        <v>39626</v>
      </c>
      <c r="B463" s="17">
        <v>2012</v>
      </c>
      <c r="C463" s="18" t="str">
        <f t="shared" si="24"/>
        <v>Elkhorn Slough_39626_Seal Bend_0</v>
      </c>
      <c r="D463" s="4" t="s">
        <v>45</v>
      </c>
      <c r="E463" s="2" t="s">
        <v>167</v>
      </c>
      <c r="F463" s="70" t="s">
        <v>288</v>
      </c>
      <c r="G463" s="70">
        <v>1</v>
      </c>
      <c r="H463" s="80" t="s">
        <v>227</v>
      </c>
      <c r="I463" s="2">
        <v>42</v>
      </c>
      <c r="J463" s="70" t="s">
        <v>289</v>
      </c>
      <c r="K463" s="2" t="e">
        <f>(VLOOKUP(H463,'functions and szcl estimates'!$A$14:$I$23,4, FALSE))*(('raw data'!I9)^(VLOOKUP('raw data'!H9,'functions and szcl estimates'!$A$14:$I$23, 7, FALSE)))</f>
        <v>#VALUE!</v>
      </c>
      <c r="L463" s="11"/>
      <c r="M463" s="11"/>
      <c r="N463" s="11"/>
      <c r="O463" s="64">
        <v>20</v>
      </c>
      <c r="P463" s="2"/>
      <c r="Q463" s="64"/>
      <c r="R463" s="2"/>
      <c r="S463" t="s">
        <v>166</v>
      </c>
      <c r="T463" s="1"/>
      <c r="U463" s="1"/>
    </row>
    <row r="464" spans="1:21" x14ac:dyDescent="0.2">
      <c r="A464" s="4">
        <v>39626</v>
      </c>
      <c r="B464" s="17">
        <v>2012</v>
      </c>
      <c r="C464" s="18" t="str">
        <f t="shared" si="24"/>
        <v>Elkhorn Slough_39626_Seal Bend_0</v>
      </c>
      <c r="D464" s="4" t="s">
        <v>45</v>
      </c>
      <c r="E464" s="2" t="s">
        <v>167</v>
      </c>
      <c r="F464" s="70" t="s">
        <v>288</v>
      </c>
      <c r="G464" s="70">
        <v>1</v>
      </c>
      <c r="H464" s="80" t="s">
        <v>227</v>
      </c>
      <c r="I464" s="2">
        <v>46</v>
      </c>
      <c r="J464" s="70" t="s">
        <v>289</v>
      </c>
      <c r="K464" s="2" t="e">
        <f>(VLOOKUP(H464,'functions and szcl estimates'!$A$14:$I$23,4, FALSE))*(('raw data'!I10)^(VLOOKUP('raw data'!H10,'functions and szcl estimates'!$A$14:$I$23, 7, FALSE)))</f>
        <v>#VALUE!</v>
      </c>
      <c r="L464" s="11"/>
      <c r="M464" s="11"/>
      <c r="N464" s="11"/>
      <c r="O464" s="64">
        <v>20</v>
      </c>
      <c r="P464" s="2"/>
      <c r="Q464" s="64"/>
      <c r="R464" s="2"/>
      <c r="S464" t="s">
        <v>166</v>
      </c>
      <c r="T464" s="1"/>
      <c r="U464" s="1"/>
    </row>
    <row r="465" spans="1:21" x14ac:dyDescent="0.2">
      <c r="A465" s="4">
        <v>39626</v>
      </c>
      <c r="B465" s="17">
        <v>2012</v>
      </c>
      <c r="C465" s="18" t="str">
        <f t="shared" si="24"/>
        <v>Elkhorn Slough_39626_Seal Bend_0</v>
      </c>
      <c r="D465" s="4" t="s">
        <v>45</v>
      </c>
      <c r="E465" s="2" t="s">
        <v>167</v>
      </c>
      <c r="F465" s="70" t="s">
        <v>288</v>
      </c>
      <c r="G465" s="70">
        <v>1</v>
      </c>
      <c r="H465" s="80" t="s">
        <v>227</v>
      </c>
      <c r="I465" s="2">
        <v>44</v>
      </c>
      <c r="J465" s="70" t="s">
        <v>289</v>
      </c>
      <c r="K465" s="2" t="e">
        <f>(VLOOKUP(H465,'functions and szcl estimates'!$A$14:$I$23,4, FALSE))*(('raw data'!I11)^(VLOOKUP('raw data'!H11,'functions and szcl estimates'!$A$14:$I$23, 7, FALSE)))</f>
        <v>#VALUE!</v>
      </c>
      <c r="L465" s="11"/>
      <c r="M465" s="11"/>
      <c r="N465" s="11"/>
      <c r="O465" s="64">
        <v>20</v>
      </c>
      <c r="P465" s="2"/>
      <c r="Q465" s="64"/>
      <c r="R465" s="2"/>
      <c r="S465" t="s">
        <v>166</v>
      </c>
      <c r="T465" s="1"/>
      <c r="U465" s="1"/>
    </row>
    <row r="466" spans="1:21" x14ac:dyDescent="0.2">
      <c r="A466" s="4">
        <v>39626</v>
      </c>
      <c r="B466" s="17">
        <v>2012</v>
      </c>
      <c r="C466" s="18" t="str">
        <f t="shared" si="24"/>
        <v>Elkhorn Slough_39626_Seal Bend_0</v>
      </c>
      <c r="D466" s="4" t="s">
        <v>45</v>
      </c>
      <c r="E466" s="2" t="s">
        <v>167</v>
      </c>
      <c r="F466" s="70" t="s">
        <v>288</v>
      </c>
      <c r="G466" s="70">
        <v>1</v>
      </c>
      <c r="H466" s="80" t="s">
        <v>227</v>
      </c>
      <c r="I466" s="2">
        <v>42</v>
      </c>
      <c r="J466" s="70" t="s">
        <v>289</v>
      </c>
      <c r="K466" s="2" t="e">
        <f>(VLOOKUP(H466,'functions and szcl estimates'!$A$14:$I$23,4, FALSE))*(('raw data'!I12)^(VLOOKUP('raw data'!H12,'functions and szcl estimates'!$A$14:$I$23, 7, FALSE)))</f>
        <v>#VALUE!</v>
      </c>
      <c r="L466" s="11"/>
      <c r="M466" s="11"/>
      <c r="N466" s="11"/>
      <c r="O466" s="64">
        <v>20</v>
      </c>
      <c r="P466" s="2"/>
      <c r="Q466" s="64"/>
      <c r="R466" s="2"/>
      <c r="S466" t="s">
        <v>166</v>
      </c>
      <c r="T466" s="1"/>
      <c r="U466" s="1"/>
    </row>
    <row r="467" spans="1:21" x14ac:dyDescent="0.2">
      <c r="A467" s="4">
        <v>39626</v>
      </c>
      <c r="B467" s="17">
        <v>2012</v>
      </c>
      <c r="C467" s="18" t="str">
        <f t="shared" si="24"/>
        <v>Elkhorn Slough_39626_Seal Bend_0</v>
      </c>
      <c r="D467" s="4" t="s">
        <v>45</v>
      </c>
      <c r="E467" s="2" t="s">
        <v>167</v>
      </c>
      <c r="F467" s="70" t="s">
        <v>288</v>
      </c>
      <c r="G467" s="70">
        <v>1</v>
      </c>
      <c r="H467" s="80" t="s">
        <v>227</v>
      </c>
      <c r="I467" s="2">
        <v>58</v>
      </c>
      <c r="J467" s="70" t="s">
        <v>289</v>
      </c>
      <c r="K467" s="2" t="e">
        <f>(VLOOKUP(H467,'functions and szcl estimates'!$A$14:$I$23,4, FALSE))*(('raw data'!I13)^(VLOOKUP('raw data'!H13,'functions and szcl estimates'!$A$14:$I$23, 7, FALSE)))</f>
        <v>#VALUE!</v>
      </c>
      <c r="L467" s="11"/>
      <c r="M467" s="11"/>
      <c r="N467" s="11"/>
      <c r="O467" s="64">
        <v>20</v>
      </c>
      <c r="P467" s="2"/>
      <c r="Q467" s="64"/>
      <c r="R467" s="2"/>
      <c r="S467" t="s">
        <v>166</v>
      </c>
      <c r="T467" s="1"/>
      <c r="U467" s="1"/>
    </row>
    <row r="468" spans="1:21" x14ac:dyDescent="0.2">
      <c r="A468" s="4">
        <v>39626</v>
      </c>
      <c r="B468" s="17">
        <v>2012</v>
      </c>
      <c r="C468" s="18" t="str">
        <f t="shared" si="24"/>
        <v>Elkhorn Slough_39626_Seal Bend_0</v>
      </c>
      <c r="D468" s="4" t="s">
        <v>45</v>
      </c>
      <c r="E468" s="2" t="s">
        <v>167</v>
      </c>
      <c r="F468" s="70" t="s">
        <v>288</v>
      </c>
      <c r="G468" s="70">
        <v>1</v>
      </c>
      <c r="H468" s="80" t="s">
        <v>227</v>
      </c>
      <c r="I468" s="2">
        <v>50</v>
      </c>
      <c r="J468" s="70" t="s">
        <v>289</v>
      </c>
      <c r="K468" s="2" t="e">
        <f>(VLOOKUP(H468,'functions and szcl estimates'!$A$14:$I$23,4, FALSE))*(('raw data'!I14)^(VLOOKUP('raw data'!H14,'functions and szcl estimates'!$A$14:$I$23, 7, FALSE)))</f>
        <v>#VALUE!</v>
      </c>
      <c r="L468" s="11"/>
      <c r="M468" s="11"/>
      <c r="N468" s="11"/>
      <c r="O468" s="64">
        <v>20</v>
      </c>
      <c r="P468" s="2"/>
      <c r="Q468" s="64"/>
      <c r="R468" s="2"/>
      <c r="S468" t="s">
        <v>166</v>
      </c>
      <c r="T468" s="1"/>
      <c r="U468" s="1"/>
    </row>
    <row r="469" spans="1:21" x14ac:dyDescent="0.2">
      <c r="A469" s="5">
        <v>39627</v>
      </c>
      <c r="B469" s="17">
        <v>2012</v>
      </c>
      <c r="C469" s="18" t="str">
        <f t="shared" si="24"/>
        <v>Elkhorn Slough_39627_Crop Circles_0</v>
      </c>
      <c r="D469" s="4" t="s">
        <v>45</v>
      </c>
      <c r="E469" t="s">
        <v>160</v>
      </c>
      <c r="F469" s="70" t="s">
        <v>288</v>
      </c>
      <c r="G469" s="70">
        <v>1</v>
      </c>
      <c r="H469" s="79" t="s">
        <v>227</v>
      </c>
      <c r="I469">
        <v>49</v>
      </c>
      <c r="J469" s="70" t="s">
        <v>289</v>
      </c>
      <c r="K469" s="2">
        <f>(VLOOKUP(H469,'functions and szcl estimates'!$A$14:$I$23,4, FALSE))*(('raw data'!I19)^(VLOOKUP('raw data'!H19,'functions and szcl estimates'!$A$14:$I$23, 7, FALSE)))</f>
        <v>24.638203881895258</v>
      </c>
      <c r="O469" s="14">
        <v>24</v>
      </c>
      <c r="P469" s="2">
        <f>COUNT(I469)</f>
        <v>1</v>
      </c>
      <c r="Q469" s="64">
        <f>SUM(K469)</f>
        <v>24.638203881895258</v>
      </c>
      <c r="R469" s="2">
        <f>P469/O469</f>
        <v>4.1666666666666664E-2</v>
      </c>
      <c r="S469" t="s">
        <v>166</v>
      </c>
    </row>
    <row r="470" spans="1:21" x14ac:dyDescent="0.2">
      <c r="A470" s="5">
        <v>39633</v>
      </c>
      <c r="B470" s="17">
        <v>2012</v>
      </c>
      <c r="C470" s="18" t="str">
        <f t="shared" si="24"/>
        <v>Elkhorn Slough_39633_Crop Circles_0</v>
      </c>
      <c r="D470" s="4" t="s">
        <v>45</v>
      </c>
      <c r="E470" t="s">
        <v>160</v>
      </c>
      <c r="F470" s="70" t="s">
        <v>288</v>
      </c>
      <c r="G470" s="70">
        <v>1</v>
      </c>
      <c r="H470" s="79" t="s">
        <v>227</v>
      </c>
      <c r="I470">
        <v>50</v>
      </c>
      <c r="J470" s="70" t="s">
        <v>289</v>
      </c>
      <c r="K470" s="2">
        <f>(VLOOKUP(H470,'functions and szcl estimates'!$A$14:$I$23,4, FALSE))*(('raw data'!I23)^(VLOOKUP('raw data'!H23,'functions and szcl estimates'!$A$14:$I$23, 7, FALSE)))</f>
        <v>14.729585535690877</v>
      </c>
      <c r="O470" s="14">
        <v>168</v>
      </c>
      <c r="S470" t="s">
        <v>141</v>
      </c>
    </row>
    <row r="471" spans="1:21" x14ac:dyDescent="0.2">
      <c r="A471" s="5">
        <v>39633</v>
      </c>
      <c r="B471" s="17">
        <v>2012</v>
      </c>
      <c r="C471" s="18" t="str">
        <f t="shared" si="24"/>
        <v>Elkhorn Slough_39633_Crop Circles_0</v>
      </c>
      <c r="D471" s="4" t="s">
        <v>45</v>
      </c>
      <c r="E471" t="s">
        <v>160</v>
      </c>
      <c r="F471" s="70" t="s">
        <v>288</v>
      </c>
      <c r="G471" s="70">
        <v>1</v>
      </c>
      <c r="H471" s="79" t="s">
        <v>227</v>
      </c>
      <c r="I471">
        <v>50</v>
      </c>
      <c r="J471" s="70" t="s">
        <v>289</v>
      </c>
      <c r="K471" s="2">
        <f>(VLOOKUP(H471,'functions and szcl estimates'!$A$14:$I$23,4, FALSE))*(('raw data'!I24)^(VLOOKUP('raw data'!H24,'functions and szcl estimates'!$A$14:$I$23, 7, FALSE)))</f>
        <v>16.1132362438514</v>
      </c>
      <c r="O471" s="14">
        <v>168</v>
      </c>
      <c r="S471" t="s">
        <v>141</v>
      </c>
    </row>
    <row r="472" spans="1:21" x14ac:dyDescent="0.2">
      <c r="A472" s="5">
        <v>39635</v>
      </c>
      <c r="B472" s="17">
        <v>2012</v>
      </c>
      <c r="C472" s="18" t="str">
        <f t="shared" si="24"/>
        <v>Elkhorn Slough_39635_Outfall (shore1)_0</v>
      </c>
      <c r="D472" s="4" t="s">
        <v>45</v>
      </c>
      <c r="E472" t="s">
        <v>170</v>
      </c>
      <c r="F472" s="70" t="s">
        <v>288</v>
      </c>
      <c r="G472" s="70">
        <v>1</v>
      </c>
      <c r="H472" s="79" t="s">
        <v>227</v>
      </c>
      <c r="I472">
        <v>55</v>
      </c>
      <c r="J472" s="70" t="s">
        <v>289</v>
      </c>
      <c r="K472" s="2">
        <f>(VLOOKUP(H472,'functions and szcl estimates'!$A$14:$I$23,4, FALSE))*(('raw data'!I33)^(VLOOKUP('raw data'!H33,'functions and szcl estimates'!$A$14:$I$23, 7, FALSE)))</f>
        <v>8.1343018871569885</v>
      </c>
      <c r="L472" s="8"/>
      <c r="O472" s="14">
        <v>24</v>
      </c>
      <c r="P472" s="2">
        <f>COUNT(I472)</f>
        <v>1</v>
      </c>
      <c r="Q472" s="64">
        <f>SUM(K472)</f>
        <v>8.1343018871569885</v>
      </c>
      <c r="R472" s="2">
        <f>P472/O472</f>
        <v>4.1666666666666664E-2</v>
      </c>
      <c r="S472" t="s">
        <v>166</v>
      </c>
    </row>
    <row r="473" spans="1:21" x14ac:dyDescent="0.2">
      <c r="A473" s="5">
        <v>39635</v>
      </c>
      <c r="B473" s="17">
        <v>2012</v>
      </c>
      <c r="C473" s="18" t="str">
        <f t="shared" si="24"/>
        <v>Elkhorn Slough_39635_Outfall (shore2)_0</v>
      </c>
      <c r="D473" s="4" t="s">
        <v>45</v>
      </c>
      <c r="E473" t="s">
        <v>57</v>
      </c>
      <c r="F473" s="70" t="s">
        <v>288</v>
      </c>
      <c r="G473" s="70">
        <v>1</v>
      </c>
      <c r="H473" s="79" t="s">
        <v>227</v>
      </c>
      <c r="I473">
        <v>56</v>
      </c>
      <c r="J473" s="70" t="s">
        <v>289</v>
      </c>
      <c r="K473" s="2">
        <f>(VLOOKUP(H473,'functions and szcl estimates'!$A$14:$I$23,4, FALSE))*(('raw data'!I34)^(VLOOKUP('raw data'!H34,'functions and szcl estimates'!$A$14:$I$23, 7, FALSE)))</f>
        <v>11.759678595915471</v>
      </c>
      <c r="L473" s="8"/>
      <c r="O473" s="14">
        <v>24</v>
      </c>
      <c r="P473" s="2">
        <f>COUNT(I473:I474)</f>
        <v>2</v>
      </c>
      <c r="Q473" s="64">
        <f>SUM(K473:K474)</f>
        <v>29.323752071300845</v>
      </c>
      <c r="R473" s="2">
        <f>P473/O473</f>
        <v>8.3333333333333329E-2</v>
      </c>
      <c r="S473" t="s">
        <v>58</v>
      </c>
    </row>
    <row r="474" spans="1:21" x14ac:dyDescent="0.2">
      <c r="A474" s="5">
        <v>39635</v>
      </c>
      <c r="B474" s="17">
        <v>2012</v>
      </c>
      <c r="C474" s="18" t="str">
        <f t="shared" si="24"/>
        <v>Elkhorn Slough_39635_Outfall (shore2)_0</v>
      </c>
      <c r="D474" s="4" t="s">
        <v>45</v>
      </c>
      <c r="E474" t="s">
        <v>0</v>
      </c>
      <c r="F474" s="70" t="s">
        <v>288</v>
      </c>
      <c r="G474" s="70">
        <v>1</v>
      </c>
      <c r="H474" s="79" t="s">
        <v>25</v>
      </c>
      <c r="I474">
        <v>62</v>
      </c>
      <c r="J474" s="70" t="s">
        <v>289</v>
      </c>
      <c r="K474" s="2">
        <f>(VLOOKUP(H474,'functions and szcl estimates'!$A$14:$I$23,4, FALSE))*(('raw data'!I35)^(VLOOKUP('raw data'!H35,'functions and szcl estimates'!$A$14:$I$23, 7, FALSE)))</f>
        <v>17.564073475385374</v>
      </c>
      <c r="L474" s="8"/>
      <c r="O474" s="14">
        <v>24</v>
      </c>
      <c r="S474" t="s">
        <v>58</v>
      </c>
    </row>
    <row r="475" spans="1:21" x14ac:dyDescent="0.2">
      <c r="A475" s="5">
        <v>39635</v>
      </c>
      <c r="B475" s="17">
        <v>2012</v>
      </c>
      <c r="C475" s="18" t="str">
        <f t="shared" si="24"/>
        <v>Elkhorn Slough_39635_Outfall_0</v>
      </c>
      <c r="D475" s="4" t="s">
        <v>45</v>
      </c>
      <c r="E475" t="s">
        <v>20</v>
      </c>
      <c r="F475" s="70" t="s">
        <v>288</v>
      </c>
      <c r="G475" s="70">
        <v>1</v>
      </c>
      <c r="H475" s="79" t="s">
        <v>22</v>
      </c>
      <c r="I475">
        <v>72</v>
      </c>
      <c r="J475" s="70" t="s">
        <v>289</v>
      </c>
      <c r="K475" s="2">
        <f>(VLOOKUP(H475,'functions and szcl estimates'!$A$14:$I$23,4, FALSE))*(('raw data'!I46)^(VLOOKUP('raw data'!H46,'functions and szcl estimates'!$A$14:$I$23, 7, FALSE)))</f>
        <v>22.32417342477941</v>
      </c>
      <c r="L475" s="8"/>
      <c r="O475" s="14">
        <v>24</v>
      </c>
      <c r="S475" t="s">
        <v>19</v>
      </c>
    </row>
    <row r="476" spans="1:21" x14ac:dyDescent="0.2">
      <c r="A476" s="5">
        <v>39635</v>
      </c>
      <c r="B476" s="17">
        <v>2012</v>
      </c>
      <c r="C476" s="18" t="str">
        <f t="shared" si="24"/>
        <v>Elkhorn Slough_39635_Outfall_0</v>
      </c>
      <c r="D476" s="4" t="s">
        <v>45</v>
      </c>
      <c r="E476" t="s">
        <v>20</v>
      </c>
      <c r="F476" s="70" t="s">
        <v>288</v>
      </c>
      <c r="G476" s="70">
        <v>1</v>
      </c>
      <c r="H476" s="79" t="s">
        <v>22</v>
      </c>
      <c r="I476">
        <v>63</v>
      </c>
      <c r="J476" s="70" t="s">
        <v>289</v>
      </c>
      <c r="K476" s="2">
        <f>(VLOOKUP(H476,'functions and szcl estimates'!$A$14:$I$23,4, FALSE))*(('raw data'!I47)^(VLOOKUP('raw data'!H47,'functions and szcl estimates'!$A$14:$I$23, 7, FALSE)))</f>
        <v>22.32417342477941</v>
      </c>
      <c r="L476" s="8"/>
      <c r="O476" s="14">
        <v>24</v>
      </c>
      <c r="S476" t="s">
        <v>19</v>
      </c>
    </row>
    <row r="477" spans="1:21" x14ac:dyDescent="0.2">
      <c r="A477" s="5">
        <v>39635</v>
      </c>
      <c r="B477" s="17">
        <v>2012</v>
      </c>
      <c r="C477" s="18" t="str">
        <f t="shared" si="24"/>
        <v>Elkhorn Slough_39635_Outfall_0</v>
      </c>
      <c r="D477" s="4" t="s">
        <v>45</v>
      </c>
      <c r="E477" t="s">
        <v>20</v>
      </c>
      <c r="F477" s="70" t="s">
        <v>288</v>
      </c>
      <c r="G477" s="70">
        <v>1</v>
      </c>
      <c r="H477" s="79" t="s">
        <v>22</v>
      </c>
      <c r="I477">
        <v>67</v>
      </c>
      <c r="J477" s="70" t="s">
        <v>289</v>
      </c>
      <c r="K477" s="2">
        <f>(VLOOKUP(H477,'functions and szcl estimates'!$A$14:$I$23,4, FALSE))*(('raw data'!I48)^(VLOOKUP('raw data'!H48,'functions and szcl estimates'!$A$14:$I$23, 7, FALSE)))</f>
        <v>15.644577031137441</v>
      </c>
      <c r="L477" s="8"/>
      <c r="O477" s="14">
        <v>24</v>
      </c>
      <c r="S477" t="s">
        <v>19</v>
      </c>
    </row>
    <row r="478" spans="1:21" x14ac:dyDescent="0.2">
      <c r="A478" s="5">
        <v>39635</v>
      </c>
      <c r="B478" s="17">
        <v>2012</v>
      </c>
      <c r="C478" s="18" t="str">
        <f t="shared" si="24"/>
        <v>Elkhorn Slough_39635_Outfall_0</v>
      </c>
      <c r="D478" s="4" t="s">
        <v>45</v>
      </c>
      <c r="E478" t="s">
        <v>20</v>
      </c>
      <c r="F478" s="70" t="s">
        <v>288</v>
      </c>
      <c r="G478" s="70">
        <v>1</v>
      </c>
      <c r="H478" s="79" t="s">
        <v>22</v>
      </c>
      <c r="I478">
        <v>70</v>
      </c>
      <c r="J478" s="70" t="s">
        <v>289</v>
      </c>
      <c r="K478" s="2">
        <f>(VLOOKUP(H478,'functions and szcl estimates'!$A$14:$I$23,4, FALSE))*(('raw data'!I49)^(VLOOKUP('raw data'!H49,'functions and szcl estimates'!$A$14:$I$23, 7, FALSE)))</f>
        <v>14.729585535690877</v>
      </c>
      <c r="L478" s="8"/>
      <c r="O478" s="14">
        <v>24</v>
      </c>
      <c r="S478" t="s">
        <v>19</v>
      </c>
    </row>
    <row r="479" spans="1:21" x14ac:dyDescent="0.2">
      <c r="A479" s="5">
        <v>39635</v>
      </c>
      <c r="B479" s="17">
        <v>2012</v>
      </c>
      <c r="C479" s="18" t="str">
        <f t="shared" si="24"/>
        <v>Elkhorn Slough_39635_Outfall_0</v>
      </c>
      <c r="D479" s="4" t="s">
        <v>45</v>
      </c>
      <c r="E479" t="s">
        <v>20</v>
      </c>
      <c r="F479" s="70" t="s">
        <v>288</v>
      </c>
      <c r="G479" s="70">
        <v>1</v>
      </c>
      <c r="H479" s="79" t="s">
        <v>22</v>
      </c>
      <c r="I479">
        <v>75</v>
      </c>
      <c r="J479" s="70" t="s">
        <v>289</v>
      </c>
      <c r="K479" s="2">
        <f>(VLOOKUP(H479,'functions and szcl estimates'!$A$14:$I$23,4, FALSE))*(('raw data'!I50)^(VLOOKUP('raw data'!H50,'functions and szcl estimates'!$A$14:$I$23, 7, FALSE)))</f>
        <v>27.075704678355258</v>
      </c>
      <c r="L479" s="8"/>
      <c r="O479" s="14">
        <v>24</v>
      </c>
      <c r="S479" t="s">
        <v>19</v>
      </c>
    </row>
    <row r="480" spans="1:21" x14ac:dyDescent="0.2">
      <c r="A480" s="5">
        <v>39635</v>
      </c>
      <c r="B480" s="17">
        <v>2012</v>
      </c>
      <c r="C480" s="18" t="str">
        <f t="shared" si="24"/>
        <v>Elkhorn Slough_39635_Outfall_0</v>
      </c>
      <c r="D480" s="4" t="s">
        <v>45</v>
      </c>
      <c r="E480" t="s">
        <v>20</v>
      </c>
      <c r="F480" s="70" t="s">
        <v>288</v>
      </c>
      <c r="G480" s="70">
        <v>1</v>
      </c>
      <c r="H480" s="79" t="s">
        <v>22</v>
      </c>
      <c r="I480">
        <v>80</v>
      </c>
      <c r="J480" s="70" t="s">
        <v>289</v>
      </c>
      <c r="K480" s="2">
        <f>(VLOOKUP(H480,'functions and szcl estimates'!$A$14:$I$23,4, FALSE))*(('raw data'!I51)^(VLOOKUP('raw data'!H51,'functions and szcl estimates'!$A$14:$I$23, 7, FALSE)))</f>
        <v>18.568848970667798</v>
      </c>
      <c r="L480" s="8"/>
      <c r="O480" s="14">
        <v>24</v>
      </c>
      <c r="S480" t="s">
        <v>19</v>
      </c>
    </row>
    <row r="481" spans="1:19" x14ac:dyDescent="0.2">
      <c r="A481" s="5">
        <v>39635</v>
      </c>
      <c r="B481" s="17">
        <v>2012</v>
      </c>
      <c r="C481" s="18" t="str">
        <f t="shared" si="24"/>
        <v>Elkhorn Slough_39635_Outfall_0</v>
      </c>
      <c r="D481" s="4" t="s">
        <v>45</v>
      </c>
      <c r="E481" t="s">
        <v>20</v>
      </c>
      <c r="F481" s="70" t="s">
        <v>288</v>
      </c>
      <c r="G481" s="70">
        <v>1</v>
      </c>
      <c r="H481" s="79" t="s">
        <v>22</v>
      </c>
      <c r="I481">
        <v>82</v>
      </c>
      <c r="J481" s="70" t="s">
        <v>289</v>
      </c>
      <c r="K481" s="2">
        <f>(VLOOKUP(H481,'functions and szcl estimates'!$A$14:$I$23,4, FALSE))*(('raw data'!I52)^(VLOOKUP('raw data'!H52,'functions and szcl estimates'!$A$14:$I$23, 7, FALSE)))</f>
        <v>21.764847782347527</v>
      </c>
      <c r="L481" s="8"/>
      <c r="O481" s="14">
        <v>24</v>
      </c>
      <c r="S481" t="s">
        <v>19</v>
      </c>
    </row>
    <row r="482" spans="1:19" x14ac:dyDescent="0.2">
      <c r="A482" s="5">
        <v>39635</v>
      </c>
      <c r="B482" s="17">
        <v>2012</v>
      </c>
      <c r="C482" s="18" t="str">
        <f t="shared" si="24"/>
        <v>Elkhorn Slough_39635_Outfall_0</v>
      </c>
      <c r="D482" s="4" t="s">
        <v>45</v>
      </c>
      <c r="E482" t="s">
        <v>20</v>
      </c>
      <c r="F482" s="70" t="s">
        <v>288</v>
      </c>
      <c r="G482" s="70">
        <v>1</v>
      </c>
      <c r="H482" s="79" t="s">
        <v>22</v>
      </c>
      <c r="I482">
        <v>85</v>
      </c>
      <c r="J482" s="70" t="s">
        <v>289</v>
      </c>
      <c r="K482" s="2">
        <f>(VLOOKUP(H482,'functions and szcl estimates'!$A$14:$I$23,4, FALSE))*(('raw data'!I53)^(VLOOKUP('raw data'!H53,'functions and szcl estimates'!$A$14:$I$23, 7, FALSE)))</f>
        <v>45.161923935480253</v>
      </c>
      <c r="L482" s="8"/>
      <c r="O482" s="14">
        <v>24</v>
      </c>
      <c r="S482" t="s">
        <v>19</v>
      </c>
    </row>
    <row r="483" spans="1:19" x14ac:dyDescent="0.2">
      <c r="A483" s="18">
        <v>39635</v>
      </c>
      <c r="B483" s="17">
        <v>2012</v>
      </c>
      <c r="C483" s="18" t="str">
        <f t="shared" si="24"/>
        <v>Elkhorn Slough_39635_Outfall_0</v>
      </c>
      <c r="D483" s="4" t="s">
        <v>45</v>
      </c>
      <c r="E483" t="s">
        <v>20</v>
      </c>
      <c r="F483" s="70" t="s">
        <v>288</v>
      </c>
      <c r="G483" s="70">
        <v>1</v>
      </c>
      <c r="H483" s="79" t="s">
        <v>22</v>
      </c>
      <c r="I483">
        <v>86</v>
      </c>
      <c r="J483" s="70" t="s">
        <v>289</v>
      </c>
      <c r="K483" s="2">
        <f>(VLOOKUP(H483,'functions and szcl estimates'!$A$14:$I$23,4, FALSE))*(('raw data'!I54)^(VLOOKUP('raw data'!H54,'functions and szcl estimates'!$A$14:$I$23, 7, FALSE)))</f>
        <v>27.075704678355258</v>
      </c>
      <c r="N483" s="12"/>
      <c r="O483" s="14">
        <v>24</v>
      </c>
      <c r="S483" t="s">
        <v>19</v>
      </c>
    </row>
    <row r="484" spans="1:19" x14ac:dyDescent="0.2">
      <c r="A484" s="18">
        <v>39637</v>
      </c>
      <c r="B484" s="17">
        <v>2012</v>
      </c>
      <c r="C484" s="18" t="str">
        <f t="shared" si="24"/>
        <v>Elkhorn Slough_39637_Crop Circles_0</v>
      </c>
      <c r="D484" s="4" t="s">
        <v>45</v>
      </c>
      <c r="E484" t="s">
        <v>160</v>
      </c>
      <c r="F484" s="70" t="s">
        <v>288</v>
      </c>
      <c r="G484" s="70">
        <v>1</v>
      </c>
      <c r="H484" s="79" t="s">
        <v>227</v>
      </c>
      <c r="I484">
        <v>50</v>
      </c>
      <c r="J484" s="70" t="s">
        <v>289</v>
      </c>
      <c r="K484" s="2">
        <f>(VLOOKUP(H484,'functions and szcl estimates'!$A$14:$I$23,4, FALSE))*(('raw data'!I65)^(VLOOKUP('raw data'!H65,'functions and szcl estimates'!$A$14:$I$23, 7, FALSE)))</f>
        <v>24.638203881895258</v>
      </c>
      <c r="M484" s="12"/>
      <c r="N484" s="12"/>
      <c r="O484" s="14">
        <v>48</v>
      </c>
      <c r="S484" t="s">
        <v>166</v>
      </c>
    </row>
    <row r="485" spans="1:19" x14ac:dyDescent="0.2">
      <c r="A485" s="18">
        <v>39637</v>
      </c>
      <c r="B485" s="17">
        <v>2012</v>
      </c>
      <c r="C485" s="18" t="str">
        <f t="shared" si="24"/>
        <v>Elkhorn Slough_39637_Outfall_0</v>
      </c>
      <c r="D485" s="4" t="s">
        <v>45</v>
      </c>
      <c r="E485" t="s">
        <v>144</v>
      </c>
      <c r="F485" s="70" t="s">
        <v>288</v>
      </c>
      <c r="G485" s="70">
        <v>1</v>
      </c>
      <c r="H485" s="79" t="s">
        <v>227</v>
      </c>
      <c r="I485">
        <v>70</v>
      </c>
      <c r="J485" s="70" t="s">
        <v>289</v>
      </c>
      <c r="K485" s="2">
        <f>(VLOOKUP(H485,'functions and szcl estimates'!$A$14:$I$23,4, FALSE))*(('raw data'!I69)^(VLOOKUP('raw data'!H69,'functions and szcl estimates'!$A$14:$I$23, 7, FALSE)))</f>
        <v>19.082551278438132</v>
      </c>
      <c r="M485" s="12"/>
      <c r="N485" s="12"/>
      <c r="O485" s="14">
        <v>48</v>
      </c>
      <c r="S485" t="s">
        <v>166</v>
      </c>
    </row>
    <row r="486" spans="1:19" x14ac:dyDescent="0.2">
      <c r="A486" s="18">
        <v>39637</v>
      </c>
      <c r="B486" s="17">
        <v>2012</v>
      </c>
      <c r="C486" s="18" t="str">
        <f t="shared" si="24"/>
        <v>Elkhorn Slough_39637_Outfall_0</v>
      </c>
      <c r="D486" s="4" t="s">
        <v>45</v>
      </c>
      <c r="E486" t="s">
        <v>144</v>
      </c>
      <c r="F486" s="70" t="s">
        <v>288</v>
      </c>
      <c r="G486" s="70">
        <v>1</v>
      </c>
      <c r="H486" s="79" t="s">
        <v>227</v>
      </c>
      <c r="I486">
        <v>71</v>
      </c>
      <c r="J486" s="70" t="s">
        <v>289</v>
      </c>
      <c r="K486" s="2">
        <f>(VLOOKUP(H486,'functions and szcl estimates'!$A$14:$I$23,4, FALSE))*(('raw data'!I70)^(VLOOKUP('raw data'!H70,'functions and szcl estimates'!$A$14:$I$23, 7, FALSE)))</f>
        <v>3.3752030679493537</v>
      </c>
      <c r="M486" s="12"/>
      <c r="N486" s="12"/>
      <c r="O486" s="14">
        <v>48</v>
      </c>
      <c r="S486" t="s">
        <v>166</v>
      </c>
    </row>
    <row r="487" spans="1:19" x14ac:dyDescent="0.2">
      <c r="A487" s="18">
        <v>39637</v>
      </c>
      <c r="B487" s="17">
        <v>2012</v>
      </c>
      <c r="C487" s="18" t="str">
        <f t="shared" si="24"/>
        <v>Elkhorn Slough_39637_Outfall_0</v>
      </c>
      <c r="D487" s="4" t="s">
        <v>45</v>
      </c>
      <c r="E487" t="s">
        <v>144</v>
      </c>
      <c r="F487" s="70" t="s">
        <v>288</v>
      </c>
      <c r="G487" s="70">
        <v>1</v>
      </c>
      <c r="H487" s="79" t="s">
        <v>227</v>
      </c>
      <c r="I487">
        <v>74</v>
      </c>
      <c r="J487" s="70" t="s">
        <v>289</v>
      </c>
      <c r="K487" s="2">
        <f>(VLOOKUP(H487,'functions and szcl estimates'!$A$14:$I$23,4, FALSE))*(('raw data'!I71)^(VLOOKUP('raw data'!H71,'functions and szcl estimates'!$A$14:$I$23, 7, FALSE)))</f>
        <v>6.883499295725275</v>
      </c>
      <c r="M487" s="12"/>
      <c r="N487" s="12"/>
      <c r="O487" s="14">
        <v>48</v>
      </c>
      <c r="S487" t="s">
        <v>166</v>
      </c>
    </row>
    <row r="488" spans="1:19" x14ac:dyDescent="0.2">
      <c r="A488" s="18">
        <v>39637</v>
      </c>
      <c r="B488" s="17">
        <v>2012</v>
      </c>
      <c r="C488" s="18" t="str">
        <f t="shared" si="24"/>
        <v>Elkhorn Slough_39637_Outfall_0</v>
      </c>
      <c r="D488" s="4" t="s">
        <v>45</v>
      </c>
      <c r="E488" t="s">
        <v>144</v>
      </c>
      <c r="F488" s="70" t="s">
        <v>288</v>
      </c>
      <c r="G488" s="70">
        <v>1</v>
      </c>
      <c r="H488" s="79" t="s">
        <v>227</v>
      </c>
      <c r="I488">
        <v>78</v>
      </c>
      <c r="J488" s="70" t="s">
        <v>289</v>
      </c>
      <c r="K488" s="2">
        <f>(VLOOKUP(H488,'functions and szcl estimates'!$A$14:$I$23,4, FALSE))*(('raw data'!I72)^(VLOOKUP('raw data'!H72,'functions and szcl estimates'!$A$14:$I$23, 7, FALSE)))</f>
        <v>7.4948366631871766</v>
      </c>
      <c r="M488" s="12"/>
      <c r="N488" s="12"/>
      <c r="O488" s="14">
        <v>48</v>
      </c>
      <c r="S488" t="s">
        <v>166</v>
      </c>
    </row>
    <row r="489" spans="1:19" x14ac:dyDescent="0.2">
      <c r="A489" s="18">
        <v>39637</v>
      </c>
      <c r="B489" s="17">
        <v>2012</v>
      </c>
      <c r="C489" s="18" t="str">
        <f t="shared" si="24"/>
        <v>Elkhorn Slough_39637_Outfall_0</v>
      </c>
      <c r="D489" s="4" t="s">
        <v>45</v>
      </c>
      <c r="E489" t="s">
        <v>144</v>
      </c>
      <c r="F489" s="70" t="s">
        <v>288</v>
      </c>
      <c r="G489" s="70">
        <v>1</v>
      </c>
      <c r="H489" s="79" t="s">
        <v>227</v>
      </c>
      <c r="I489">
        <v>80</v>
      </c>
      <c r="J489" s="70" t="s">
        <v>289</v>
      </c>
      <c r="K489" s="2">
        <f>(VLOOKUP(H489,'functions and szcl estimates'!$A$14:$I$23,4, FALSE))*(('raw data'!I73)^(VLOOKUP('raw data'!H73,'functions and szcl estimates'!$A$14:$I$23, 7, FALSE)))</f>
        <v>13.412651740054924</v>
      </c>
      <c r="M489" s="12"/>
      <c r="N489" s="12"/>
      <c r="O489" s="14">
        <v>48</v>
      </c>
      <c r="S489" t="s">
        <v>166</v>
      </c>
    </row>
    <row r="490" spans="1:19" x14ac:dyDescent="0.2">
      <c r="A490" s="18">
        <v>39637</v>
      </c>
      <c r="B490" s="17">
        <v>2012</v>
      </c>
      <c r="C490" s="18" t="str">
        <f t="shared" si="24"/>
        <v>Elkhorn Slough_39637_Outfall_0</v>
      </c>
      <c r="D490" s="4" t="s">
        <v>45</v>
      </c>
      <c r="E490" t="s">
        <v>144</v>
      </c>
      <c r="F490" s="70" t="s">
        <v>288</v>
      </c>
      <c r="G490" s="70">
        <v>1</v>
      </c>
      <c r="H490" s="79" t="s">
        <v>227</v>
      </c>
      <c r="I490">
        <v>84</v>
      </c>
      <c r="J490" s="70" t="s">
        <v>289</v>
      </c>
      <c r="K490" s="2">
        <f>(VLOOKUP(H490,'functions and szcl estimates'!$A$14:$I$23,4, FALSE))*(('raw data'!I74)^(VLOOKUP('raw data'!H74,'functions and szcl estimates'!$A$14:$I$23, 7, FALSE)))</f>
        <v>6.3001034336772825</v>
      </c>
      <c r="M490" s="12"/>
      <c r="N490" s="12"/>
      <c r="O490" s="14">
        <v>48</v>
      </c>
      <c r="S490" t="s">
        <v>166</v>
      </c>
    </row>
    <row r="491" spans="1:19" x14ac:dyDescent="0.2">
      <c r="A491" s="18">
        <v>39637</v>
      </c>
      <c r="B491" s="17">
        <v>2012</v>
      </c>
      <c r="C491" s="18" t="str">
        <f t="shared" si="24"/>
        <v>Elkhorn Slough_39637_Outfall_0</v>
      </c>
      <c r="D491" s="4" t="s">
        <v>45</v>
      </c>
      <c r="E491" t="s">
        <v>144</v>
      </c>
      <c r="F491" s="70" t="s">
        <v>288</v>
      </c>
      <c r="G491" s="70">
        <v>1</v>
      </c>
      <c r="H491" s="79" t="s">
        <v>227</v>
      </c>
      <c r="I491">
        <v>85</v>
      </c>
      <c r="J491" s="70" t="s">
        <v>289</v>
      </c>
      <c r="K491" s="2">
        <f>(VLOOKUP(H491,'functions and szcl estimates'!$A$14:$I$23,4, FALSE))*(('raw data'!I75)^(VLOOKUP('raw data'!H75,'functions and szcl estimates'!$A$14:$I$23, 7, FALSE)))</f>
        <v>6.3001034336772825</v>
      </c>
      <c r="M491" s="12"/>
      <c r="N491" s="12"/>
      <c r="O491" s="14">
        <v>48</v>
      </c>
      <c r="S491" t="s">
        <v>166</v>
      </c>
    </row>
    <row r="492" spans="1:19" x14ac:dyDescent="0.2">
      <c r="A492" s="18">
        <v>39637</v>
      </c>
      <c r="B492" s="17">
        <v>2012</v>
      </c>
      <c r="C492" s="18" t="str">
        <f t="shared" si="24"/>
        <v>Elkhorn Slough_39637_Outfall_0</v>
      </c>
      <c r="D492" s="4" t="s">
        <v>45</v>
      </c>
      <c r="E492" t="s">
        <v>144</v>
      </c>
      <c r="F492" s="70" t="s">
        <v>288</v>
      </c>
      <c r="G492" s="70">
        <v>1</v>
      </c>
      <c r="H492" s="79" t="s">
        <v>227</v>
      </c>
      <c r="I492">
        <v>86</v>
      </c>
      <c r="J492" s="70" t="s">
        <v>289</v>
      </c>
      <c r="K492" s="2">
        <f>(VLOOKUP(H492,'functions and szcl estimates'!$A$14:$I$23,4, FALSE))*(('raw data'!I76)^(VLOOKUP('raw data'!H76,'functions and szcl estimates'!$A$14:$I$23, 7, FALSE)))</f>
        <v>7.4948366631871766</v>
      </c>
      <c r="M492" s="12"/>
      <c r="N492" s="12"/>
      <c r="O492" s="14">
        <v>48</v>
      </c>
      <c r="S492" t="s">
        <v>166</v>
      </c>
    </row>
    <row r="493" spans="1:19" x14ac:dyDescent="0.2">
      <c r="A493" s="18">
        <v>39637</v>
      </c>
      <c r="B493" s="17">
        <v>2012</v>
      </c>
      <c r="C493" s="18" t="str">
        <f t="shared" si="24"/>
        <v>Elkhorn Slough_39637_Outfall_0</v>
      </c>
      <c r="D493" s="4" t="s">
        <v>45</v>
      </c>
      <c r="E493" t="s">
        <v>144</v>
      </c>
      <c r="F493" s="70" t="s">
        <v>288</v>
      </c>
      <c r="G493" s="70">
        <v>1</v>
      </c>
      <c r="H493" s="79" t="s">
        <v>227</v>
      </c>
      <c r="I493">
        <v>86</v>
      </c>
      <c r="J493" s="70" t="s">
        <v>289</v>
      </c>
      <c r="K493" s="2">
        <f>(VLOOKUP(H493,'functions and szcl estimates'!$A$14:$I$23,4, FALSE))*(('raw data'!I77)^(VLOOKUP('raw data'!H77,'functions and szcl estimates'!$A$14:$I$23, 7, FALSE)))</f>
        <v>5.7444564254205499</v>
      </c>
      <c r="M493" s="12"/>
      <c r="N493" s="12"/>
      <c r="O493" s="14">
        <v>48</v>
      </c>
      <c r="S493" t="s">
        <v>166</v>
      </c>
    </row>
    <row r="494" spans="1:19" x14ac:dyDescent="0.2">
      <c r="A494" s="18">
        <v>39637</v>
      </c>
      <c r="B494" s="17">
        <v>2012</v>
      </c>
      <c r="C494" s="18" t="str">
        <f t="shared" si="24"/>
        <v>Elkhorn Slough_39637_Outfall_0</v>
      </c>
      <c r="D494" s="4" t="s">
        <v>45</v>
      </c>
      <c r="E494" t="s">
        <v>144</v>
      </c>
      <c r="F494" s="70" t="s">
        <v>288</v>
      </c>
      <c r="G494" s="70">
        <v>1</v>
      </c>
      <c r="H494" s="79" t="s">
        <v>227</v>
      </c>
      <c r="I494">
        <v>91</v>
      </c>
      <c r="J494" s="70" t="s">
        <v>289</v>
      </c>
      <c r="K494" s="2">
        <f>(VLOOKUP(H494,'functions and szcl estimates'!$A$14:$I$23,4, FALSE))*(('raw data'!I78)^(VLOOKUP('raw data'!H78,'functions and szcl estimates'!$A$14:$I$23, 7, FALSE)))</f>
        <v>4.9625767440435178</v>
      </c>
      <c r="M494" s="12"/>
      <c r="N494" s="12"/>
      <c r="O494" s="14">
        <v>48</v>
      </c>
      <c r="S494" t="s">
        <v>166</v>
      </c>
    </row>
    <row r="495" spans="1:19" x14ac:dyDescent="0.2">
      <c r="A495" s="18">
        <v>39637</v>
      </c>
      <c r="B495" s="17">
        <v>2012</v>
      </c>
      <c r="C495" s="18" t="str">
        <f t="shared" si="24"/>
        <v>Elkhorn Slough_39637_Outfall_0</v>
      </c>
      <c r="D495" s="4" t="s">
        <v>45</v>
      </c>
      <c r="E495" t="s">
        <v>144</v>
      </c>
      <c r="F495" s="70" t="s">
        <v>288</v>
      </c>
      <c r="G495" s="70">
        <v>1</v>
      </c>
      <c r="H495" s="79" t="s">
        <v>227</v>
      </c>
      <c r="I495">
        <v>93</v>
      </c>
      <c r="J495" s="70" t="s">
        <v>289</v>
      </c>
      <c r="K495" s="2">
        <f>(VLOOKUP(H495,'functions and szcl estimates'!$A$14:$I$23,4, FALSE))*(('raw data'!I79)^(VLOOKUP('raw data'!H79,'functions and szcl estimates'!$A$14:$I$23, 7, FALSE)))</f>
        <v>6.3001034336772825</v>
      </c>
      <c r="M495" s="12"/>
      <c r="N495" s="12"/>
      <c r="O495" s="14">
        <v>48</v>
      </c>
      <c r="S495" t="s">
        <v>166</v>
      </c>
    </row>
    <row r="496" spans="1:19" x14ac:dyDescent="0.2">
      <c r="A496" s="18">
        <v>39637</v>
      </c>
      <c r="B496" s="17">
        <v>2012</v>
      </c>
      <c r="C496" s="18" t="str">
        <f t="shared" si="24"/>
        <v>Elkhorn Slough_39637_Outfall_0</v>
      </c>
      <c r="D496" s="4" t="s">
        <v>45</v>
      </c>
      <c r="E496" t="s">
        <v>144</v>
      </c>
      <c r="F496" s="70" t="s">
        <v>288</v>
      </c>
      <c r="G496" s="70">
        <v>1</v>
      </c>
      <c r="H496" s="79" t="s">
        <v>227</v>
      </c>
      <c r="I496">
        <v>98</v>
      </c>
      <c r="J496" s="70" t="s">
        <v>289</v>
      </c>
      <c r="K496" s="2">
        <f>(VLOOKUP(H496,'functions and szcl estimates'!$A$14:$I$23,4, FALSE))*(('raw data'!I80)^(VLOOKUP('raw data'!H80,'functions and szcl estimates'!$A$14:$I$23, 7, FALSE)))</f>
        <v>8.1343018871569885</v>
      </c>
      <c r="M496" s="12"/>
      <c r="N496" s="12"/>
      <c r="O496" s="14">
        <v>48</v>
      </c>
      <c r="S496" t="s">
        <v>166</v>
      </c>
    </row>
    <row r="497" spans="1:19" x14ac:dyDescent="0.2">
      <c r="A497" s="18">
        <v>39637</v>
      </c>
      <c r="B497" s="17">
        <v>2012</v>
      </c>
      <c r="C497" s="18" t="str">
        <f t="shared" si="24"/>
        <v>Elkhorn Slough_39637_Outfall_0</v>
      </c>
      <c r="D497" s="4" t="s">
        <v>45</v>
      </c>
      <c r="E497" t="s">
        <v>144</v>
      </c>
      <c r="F497" s="70" t="s">
        <v>288</v>
      </c>
      <c r="G497" s="70">
        <v>1</v>
      </c>
      <c r="H497" s="79" t="s">
        <v>227</v>
      </c>
      <c r="I497">
        <v>100</v>
      </c>
      <c r="J497" s="70" t="s">
        <v>289</v>
      </c>
      <c r="K497" s="2">
        <f>(VLOOKUP(H497,'functions and szcl estimates'!$A$14:$I$23,4, FALSE))*(('raw data'!I81)^(VLOOKUP('raw data'!H81,'functions and szcl estimates'!$A$14:$I$23, 7, FALSE)))</f>
        <v>12.988416228822258</v>
      </c>
      <c r="M497" s="12"/>
      <c r="N497" s="12"/>
      <c r="O497" s="14">
        <v>48</v>
      </c>
      <c r="S497" t="s">
        <v>166</v>
      </c>
    </row>
    <row r="498" spans="1:19" x14ac:dyDescent="0.2">
      <c r="A498" s="18">
        <v>39637</v>
      </c>
      <c r="B498" s="17">
        <v>2012</v>
      </c>
      <c r="C498" s="18" t="str">
        <f t="shared" si="24"/>
        <v>Elkhorn Slough_39637_Outfall_0</v>
      </c>
      <c r="D498" s="4" t="s">
        <v>45</v>
      </c>
      <c r="E498" t="s">
        <v>144</v>
      </c>
      <c r="F498" s="70" t="s">
        <v>288</v>
      </c>
      <c r="G498" s="70">
        <v>1</v>
      </c>
      <c r="H498" s="79" t="s">
        <v>227</v>
      </c>
      <c r="I498">
        <v>101</v>
      </c>
      <c r="J498" s="70" t="s">
        <v>289</v>
      </c>
      <c r="K498" s="2">
        <f>(VLOOKUP(H498,'functions and szcl estimates'!$A$14:$I$23,4, FALSE))*(('raw data'!I82)^(VLOOKUP('raw data'!H82,'functions and szcl estimates'!$A$14:$I$23, 7, FALSE)))</f>
        <v>14.729585535690877</v>
      </c>
      <c r="M498" s="12"/>
      <c r="N498" s="12"/>
      <c r="O498" s="14">
        <v>48</v>
      </c>
      <c r="S498" t="s">
        <v>166</v>
      </c>
    </row>
    <row r="499" spans="1:19" x14ac:dyDescent="0.2">
      <c r="A499" s="18">
        <v>39638</v>
      </c>
      <c r="B499" s="17">
        <v>2012</v>
      </c>
      <c r="C499" s="18" t="str">
        <f t="shared" si="24"/>
        <v>Elkhorn Slough_39638_Outfall (shore1)_0</v>
      </c>
      <c r="D499" s="4" t="s">
        <v>45</v>
      </c>
      <c r="E499" t="s">
        <v>170</v>
      </c>
      <c r="F499" s="70" t="s">
        <v>288</v>
      </c>
      <c r="G499" s="70">
        <v>1</v>
      </c>
      <c r="H499" s="79" t="s">
        <v>227</v>
      </c>
      <c r="I499">
        <v>85</v>
      </c>
      <c r="J499" s="70" t="s">
        <v>289</v>
      </c>
      <c r="K499" s="2">
        <f>(VLOOKUP(H499,'functions and szcl estimates'!$A$14:$I$23,4, FALSE))*(('raw data'!I85)^(VLOOKUP('raw data'!H85,'functions and szcl estimates'!$A$14:$I$23, 7, FALSE)))</f>
        <v>16.589360753775555</v>
      </c>
      <c r="M499" s="12"/>
      <c r="N499" s="12"/>
      <c r="O499" s="14">
        <v>24</v>
      </c>
      <c r="P499">
        <v>1</v>
      </c>
      <c r="Q499" s="65">
        <f>K499</f>
        <v>16.589360753775555</v>
      </c>
      <c r="R499" s="2">
        <f>P499/O499</f>
        <v>4.1666666666666664E-2</v>
      </c>
      <c r="S499" t="s">
        <v>166</v>
      </c>
    </row>
    <row r="500" spans="1:19" x14ac:dyDescent="0.2">
      <c r="A500" s="18">
        <v>39639</v>
      </c>
      <c r="B500" s="17">
        <v>2012</v>
      </c>
      <c r="C500" s="18" t="str">
        <f t="shared" si="24"/>
        <v>Elkhorn Slough_39639_Outfall_0</v>
      </c>
      <c r="D500" s="4" t="s">
        <v>45</v>
      </c>
      <c r="E500" t="s">
        <v>144</v>
      </c>
      <c r="F500" s="70" t="s">
        <v>288</v>
      </c>
      <c r="G500" s="70">
        <v>1</v>
      </c>
      <c r="H500" s="79" t="s">
        <v>227</v>
      </c>
      <c r="I500">
        <v>82</v>
      </c>
      <c r="J500" s="70" t="s">
        <v>289</v>
      </c>
      <c r="K500" s="2">
        <f>(VLOOKUP(H500,'functions and szcl estimates'!$A$14:$I$23,4, FALSE))*(('raw data'!I95)^(VLOOKUP('raw data'!H95,'functions and szcl estimates'!$A$14:$I$23, 7, FALSE)))</f>
        <v>10.596494407358405</v>
      </c>
      <c r="M500" s="12"/>
      <c r="N500" s="12"/>
      <c r="O500" s="14">
        <v>24</v>
      </c>
      <c r="S500" t="s">
        <v>166</v>
      </c>
    </row>
    <row r="501" spans="1:19" x14ac:dyDescent="0.2">
      <c r="A501" s="18">
        <v>39640</v>
      </c>
      <c r="B501" s="17">
        <v>2012</v>
      </c>
      <c r="C501" s="18" t="str">
        <f t="shared" si="24"/>
        <v>Elkhorn Slough_39640_Outfall_0</v>
      </c>
      <c r="D501" s="4" t="s">
        <v>45</v>
      </c>
      <c r="E501" t="s">
        <v>144</v>
      </c>
      <c r="F501" s="70" t="s">
        <v>288</v>
      </c>
      <c r="G501" s="70">
        <v>1</v>
      </c>
      <c r="H501" s="79" t="s">
        <v>227</v>
      </c>
      <c r="I501">
        <v>79</v>
      </c>
      <c r="J501" s="70" t="s">
        <v>289</v>
      </c>
      <c r="K501" s="2">
        <f>(VLOOKUP(H501,'functions and szcl estimates'!$A$14:$I$23,4, FALSE))*(('raw data'!I104)^(VLOOKUP('raw data'!H104,'functions and szcl estimates'!$A$14:$I$23, 7, FALSE)))</f>
        <v>10.596494407358405</v>
      </c>
      <c r="M501" s="12" t="s">
        <v>243</v>
      </c>
      <c r="N501" s="12"/>
      <c r="O501" s="14">
        <v>24</v>
      </c>
      <c r="S501" t="s">
        <v>166</v>
      </c>
    </row>
    <row r="502" spans="1:19" x14ac:dyDescent="0.2">
      <c r="A502" s="18">
        <v>39640</v>
      </c>
      <c r="B502" s="17">
        <v>2012</v>
      </c>
      <c r="C502" s="18" t="str">
        <f t="shared" si="24"/>
        <v>Elkhorn Slough_39640_Outfall_0</v>
      </c>
      <c r="D502" s="4" t="s">
        <v>45</v>
      </c>
      <c r="E502" t="s">
        <v>144</v>
      </c>
      <c r="F502" s="70" t="s">
        <v>288</v>
      </c>
      <c r="G502" s="70">
        <v>1</v>
      </c>
      <c r="H502" s="79" t="s">
        <v>227</v>
      </c>
      <c r="I502">
        <v>85</v>
      </c>
      <c r="J502" s="70" t="s">
        <v>289</v>
      </c>
      <c r="K502" s="2">
        <f>(VLOOKUP(H502,'functions and szcl estimates'!$A$14:$I$23,4, FALSE))*(('raw data'!I105)^(VLOOKUP('raw data'!H105,'functions and szcl estimates'!$A$14:$I$23, 7, FALSE)))</f>
        <v>14.283218275278337</v>
      </c>
      <c r="M502" s="12" t="s">
        <v>243</v>
      </c>
      <c r="N502" s="12"/>
      <c r="O502" s="14">
        <v>24</v>
      </c>
      <c r="S502" t="s">
        <v>166</v>
      </c>
    </row>
    <row r="503" spans="1:19" x14ac:dyDescent="0.2">
      <c r="A503" s="18">
        <v>39641</v>
      </c>
      <c r="B503" s="17">
        <v>2012</v>
      </c>
      <c r="C503" s="18" t="str">
        <f t="shared" si="24"/>
        <v>Elkhorn Slough_39641_Outfall_0.7083</v>
      </c>
      <c r="D503" s="4" t="s">
        <v>45</v>
      </c>
      <c r="E503" t="s">
        <v>7</v>
      </c>
      <c r="F503" s="70" t="s">
        <v>288</v>
      </c>
      <c r="G503" s="70">
        <v>1</v>
      </c>
      <c r="H503" s="79" t="s">
        <v>245</v>
      </c>
      <c r="I503">
        <v>88</v>
      </c>
      <c r="J503" s="70" t="s">
        <v>289</v>
      </c>
      <c r="K503" s="2">
        <f>(VLOOKUP(H503,'functions and szcl estimates'!$A$14:$I$23,4, FALSE))*(('raw data'!I111)^(VLOOKUP('raw data'!H111,'functions and szcl estimates'!$A$14:$I$23, 7, FALSE)))</f>
        <v>18.062695128544359</v>
      </c>
      <c r="L503" s="12">
        <v>0.70833333333333304</v>
      </c>
      <c r="M503" s="12" t="s">
        <v>244</v>
      </c>
      <c r="N503" s="12">
        <f t="shared" ref="N503:N534" si="25">L503-M503</f>
        <v>3.1249999999999667E-2</v>
      </c>
      <c r="O503" s="14">
        <v>23.25</v>
      </c>
      <c r="S503" t="s">
        <v>159</v>
      </c>
    </row>
    <row r="504" spans="1:19" x14ac:dyDescent="0.2">
      <c r="A504" s="18">
        <v>39641</v>
      </c>
      <c r="B504" s="17">
        <v>2012</v>
      </c>
      <c r="C504" s="18" t="str">
        <f t="shared" si="24"/>
        <v>Elkhorn Slough_39641_Outfall_0.7083</v>
      </c>
      <c r="D504" s="4" t="s">
        <v>45</v>
      </c>
      <c r="E504" t="s">
        <v>7</v>
      </c>
      <c r="F504" s="70" t="s">
        <v>288</v>
      </c>
      <c r="G504" s="70">
        <v>1</v>
      </c>
      <c r="H504" s="79" t="s">
        <v>245</v>
      </c>
      <c r="I504">
        <v>102</v>
      </c>
      <c r="J504" s="70" t="s">
        <v>289</v>
      </c>
      <c r="K504" s="2">
        <f>(VLOOKUP(H504,'functions and szcl estimates'!$A$14:$I$23,4, FALSE))*(('raw data'!I112)^(VLOOKUP('raw data'!H112,'functions and szcl estimates'!$A$14:$I$23, 7, FALSE)))</f>
        <v>19.082551278438132</v>
      </c>
      <c r="L504" s="12">
        <v>0.70833333333333304</v>
      </c>
      <c r="M504" s="12" t="s">
        <v>244</v>
      </c>
      <c r="N504" s="12">
        <f t="shared" si="25"/>
        <v>3.1249999999999667E-2</v>
      </c>
      <c r="O504" s="14">
        <v>23.25</v>
      </c>
      <c r="S504" t="s">
        <v>155</v>
      </c>
    </row>
    <row r="505" spans="1:19" x14ac:dyDescent="0.2">
      <c r="A505" s="18">
        <v>39642</v>
      </c>
      <c r="B505" s="17">
        <v>2012</v>
      </c>
      <c r="C505" s="18" t="str">
        <f t="shared" si="24"/>
        <v>Elkhorn Slough_39642_Outfall_0.6771</v>
      </c>
      <c r="D505" s="4" t="s">
        <v>45</v>
      </c>
      <c r="E505" t="s">
        <v>252</v>
      </c>
      <c r="F505" s="70" t="s">
        <v>288</v>
      </c>
      <c r="G505" s="70">
        <v>1</v>
      </c>
      <c r="H505" s="79" t="s">
        <v>253</v>
      </c>
      <c r="I505">
        <v>92</v>
      </c>
      <c r="J505" s="70" t="s">
        <v>289</v>
      </c>
      <c r="K505" s="2">
        <f>(VLOOKUP(H505,'functions and szcl estimates'!$A$14:$I$23,4, FALSE))*(('raw data'!I115)^(VLOOKUP('raw data'!H115,'functions and szcl estimates'!$A$14:$I$23, 7, FALSE)))</f>
        <v>15.644577031137441</v>
      </c>
      <c r="L505" s="12">
        <v>0.67708333333333304</v>
      </c>
      <c r="M505" s="12" t="s">
        <v>216</v>
      </c>
      <c r="N505" s="12">
        <f t="shared" si="25"/>
        <v>0.20833333333333304</v>
      </c>
      <c r="O505" s="14">
        <v>19</v>
      </c>
      <c r="P505">
        <v>2</v>
      </c>
      <c r="Q505" s="65">
        <f>SUM(K505:K506)</f>
        <v>23.455618911139876</v>
      </c>
      <c r="R505" s="2">
        <f>P505/O505</f>
        <v>0.10526315789473684</v>
      </c>
      <c r="S505" t="s">
        <v>1</v>
      </c>
    </row>
    <row r="506" spans="1:19" x14ac:dyDescent="0.2">
      <c r="A506" s="18">
        <v>39642</v>
      </c>
      <c r="B506" s="17">
        <v>2012</v>
      </c>
      <c r="C506" s="18" t="str">
        <f t="shared" si="24"/>
        <v>Elkhorn Slough_39642_Outfall_0.6771</v>
      </c>
      <c r="D506" s="4" t="s">
        <v>45</v>
      </c>
      <c r="E506" t="s">
        <v>252</v>
      </c>
      <c r="F506" s="70" t="s">
        <v>288</v>
      </c>
      <c r="G506" s="70">
        <v>1</v>
      </c>
      <c r="H506" s="79" t="s">
        <v>253</v>
      </c>
      <c r="I506">
        <v>69</v>
      </c>
      <c r="J506" s="70" t="s">
        <v>289</v>
      </c>
      <c r="K506" s="2">
        <f>(VLOOKUP(H506,'functions and szcl estimates'!$A$14:$I$23,4, FALSE))*(('raw data'!I116)^(VLOOKUP('raw data'!H116,'functions and szcl estimates'!$A$14:$I$23, 7, FALSE)))</f>
        <v>7.8110418800024348</v>
      </c>
      <c r="L506" s="12">
        <v>0.67708333333333304</v>
      </c>
      <c r="M506" s="12" t="s">
        <v>216</v>
      </c>
      <c r="N506" s="12">
        <f t="shared" si="25"/>
        <v>0.20833333333333304</v>
      </c>
      <c r="O506" s="14">
        <v>19</v>
      </c>
      <c r="S506" t="s">
        <v>251</v>
      </c>
    </row>
    <row r="507" spans="1:19" x14ac:dyDescent="0.2">
      <c r="A507" s="18">
        <v>39642</v>
      </c>
      <c r="B507" s="17">
        <v>2012</v>
      </c>
      <c r="C507" s="18" t="str">
        <f t="shared" si="24"/>
        <v>Elkhorn Slough_39642_Area 4_0.6771</v>
      </c>
      <c r="D507" s="4" t="s">
        <v>45</v>
      </c>
      <c r="E507" t="s">
        <v>2</v>
      </c>
      <c r="F507" s="70" t="s">
        <v>288</v>
      </c>
      <c r="G507" s="70">
        <v>1</v>
      </c>
      <c r="H507" s="79" t="s">
        <v>253</v>
      </c>
      <c r="I507">
        <v>50</v>
      </c>
      <c r="J507" s="70" t="s">
        <v>289</v>
      </c>
      <c r="K507" s="2">
        <f>(VLOOKUP(H507,'functions and szcl estimates'!$A$14:$I$23,4, FALSE))*(('raw data'!I118)^(VLOOKUP('raw data'!H118,'functions and szcl estimates'!$A$14:$I$23, 7, FALSE)))</f>
        <v>9.8571953921556705</v>
      </c>
      <c r="L507" s="12">
        <v>0.67708333333333304</v>
      </c>
      <c r="M507" s="12" t="s">
        <v>216</v>
      </c>
      <c r="N507" s="12">
        <f t="shared" si="25"/>
        <v>0.20833333333333304</v>
      </c>
      <c r="O507" s="14">
        <v>19</v>
      </c>
      <c r="S507" t="s">
        <v>1</v>
      </c>
    </row>
    <row r="508" spans="1:19" x14ac:dyDescent="0.2">
      <c r="A508" s="18">
        <v>39642</v>
      </c>
      <c r="B508" s="17">
        <v>2012</v>
      </c>
      <c r="C508" s="18" t="str">
        <f t="shared" si="24"/>
        <v>Elkhorn Slough_39642_Area 4_0.6771</v>
      </c>
      <c r="D508" s="4" t="s">
        <v>45</v>
      </c>
      <c r="E508" t="s">
        <v>3</v>
      </c>
      <c r="F508" s="70" t="s">
        <v>288</v>
      </c>
      <c r="G508" s="70">
        <v>1</v>
      </c>
      <c r="H508" s="79" t="s">
        <v>253</v>
      </c>
      <c r="I508">
        <v>55</v>
      </c>
      <c r="J508" s="70" t="s">
        <v>289</v>
      </c>
      <c r="K508" s="2">
        <f>(VLOOKUP(H508,'functions and szcl estimates'!$A$14:$I$23,4, FALSE))*(('raw data'!I119)^(VLOOKUP('raw data'!H119,'functions and szcl estimates'!$A$14:$I$23, 7, FALSE)))</f>
        <v>13.844246346451406</v>
      </c>
      <c r="L508" s="12">
        <v>0.67708333333333304</v>
      </c>
      <c r="M508" s="12" t="s">
        <v>216</v>
      </c>
      <c r="N508" s="12">
        <f t="shared" si="25"/>
        <v>0.20833333333333304</v>
      </c>
      <c r="O508" s="14">
        <v>19</v>
      </c>
      <c r="S508" t="s">
        <v>251</v>
      </c>
    </row>
    <row r="509" spans="1:19" x14ac:dyDescent="0.2">
      <c r="A509" s="18">
        <v>39642</v>
      </c>
      <c r="B509" s="17">
        <v>2012</v>
      </c>
      <c r="C509" s="18" t="str">
        <f t="shared" si="24"/>
        <v>Elkhorn Slough_39642_Area 4_0.6771</v>
      </c>
      <c r="D509" s="4" t="s">
        <v>45</v>
      </c>
      <c r="E509" t="s">
        <v>3</v>
      </c>
      <c r="F509" s="70" t="s">
        <v>288</v>
      </c>
      <c r="G509" s="70">
        <v>1</v>
      </c>
      <c r="H509" s="79" t="s">
        <v>253</v>
      </c>
      <c r="I509">
        <v>57</v>
      </c>
      <c r="J509" s="70" t="s">
        <v>289</v>
      </c>
      <c r="K509" s="2">
        <f>(VLOOKUP(H509,'functions and szcl estimates'!$A$14:$I$23,4, FALSE))*(('raw data'!I120)^(VLOOKUP('raw data'!H120,'functions and szcl estimates'!$A$14:$I$23, 7, FALSE)))</f>
        <v>4.9625767440435178</v>
      </c>
      <c r="L509" s="12">
        <v>0.67708333333333304</v>
      </c>
      <c r="M509" s="12" t="s">
        <v>216</v>
      </c>
      <c r="N509" s="12">
        <f t="shared" si="25"/>
        <v>0.20833333333333304</v>
      </c>
      <c r="O509" s="14">
        <v>19</v>
      </c>
      <c r="S509" t="s">
        <v>251</v>
      </c>
    </row>
    <row r="510" spans="1:19" x14ac:dyDescent="0.2">
      <c r="A510" s="18">
        <v>39642</v>
      </c>
      <c r="B510" s="17">
        <v>2012</v>
      </c>
      <c r="C510" s="18" t="str">
        <f t="shared" si="24"/>
        <v>Elkhorn Slough_39642_Area 4_0.6771</v>
      </c>
      <c r="D510" s="4" t="s">
        <v>45</v>
      </c>
      <c r="E510" t="s">
        <v>3</v>
      </c>
      <c r="F510" s="70" t="s">
        <v>288</v>
      </c>
      <c r="G510" s="70">
        <v>1</v>
      </c>
      <c r="H510" s="79" t="s">
        <v>253</v>
      </c>
      <c r="I510">
        <v>71</v>
      </c>
      <c r="J510" s="70" t="s">
        <v>289</v>
      </c>
      <c r="K510" s="2">
        <f>(VLOOKUP(H510,'functions and szcl estimates'!$A$14:$I$23,4, FALSE))*(('raw data'!I121)^(VLOOKUP('raw data'!H121,'functions and szcl estimates'!$A$14:$I$23, 7, FALSE)))</f>
        <v>11.364692618262522</v>
      </c>
      <c r="L510" s="12">
        <v>0.67708333333333304</v>
      </c>
      <c r="M510" s="12" t="s">
        <v>216</v>
      </c>
      <c r="N510" s="12">
        <f t="shared" si="25"/>
        <v>0.20833333333333304</v>
      </c>
      <c r="O510" s="14">
        <v>19</v>
      </c>
      <c r="S510" t="s">
        <v>1</v>
      </c>
    </row>
    <row r="511" spans="1:19" x14ac:dyDescent="0.2">
      <c r="A511" s="18">
        <v>39642</v>
      </c>
      <c r="B511" s="17">
        <v>2012</v>
      </c>
      <c r="C511" s="18" t="str">
        <f t="shared" si="24"/>
        <v>Elkhorn Slough_39642_Area 4_0.6771</v>
      </c>
      <c r="D511" s="4" t="s">
        <v>45</v>
      </c>
      <c r="E511" t="s">
        <v>3</v>
      </c>
      <c r="F511" s="70" t="s">
        <v>288</v>
      </c>
      <c r="G511" s="70">
        <v>1</v>
      </c>
      <c r="H511" s="79" t="s">
        <v>253</v>
      </c>
      <c r="I511">
        <v>79</v>
      </c>
      <c r="J511" s="70" t="s">
        <v>289</v>
      </c>
      <c r="K511" s="2">
        <f>(VLOOKUP(H511,'functions and szcl estimates'!$A$14:$I$23,4, FALSE))*(('raw data'!I122)^(VLOOKUP('raw data'!H122,'functions and szcl estimates'!$A$14:$I$23, 7, FALSE)))</f>
        <v>14.283218275278337</v>
      </c>
      <c r="L511" s="12">
        <v>0.67708333333333304</v>
      </c>
      <c r="M511" s="12" t="s">
        <v>216</v>
      </c>
      <c r="N511" s="12">
        <f t="shared" si="25"/>
        <v>0.20833333333333304</v>
      </c>
      <c r="O511" s="14">
        <v>19</v>
      </c>
      <c r="S511" t="s">
        <v>251</v>
      </c>
    </row>
    <row r="512" spans="1:19" x14ac:dyDescent="0.2">
      <c r="A512" s="18">
        <v>39644</v>
      </c>
      <c r="B512" s="17">
        <v>2012</v>
      </c>
      <c r="C512" s="18" t="str">
        <f t="shared" si="24"/>
        <v>Elkhorn Slough_39644_Seal Bend_0.4688</v>
      </c>
      <c r="D512" s="4" t="s">
        <v>45</v>
      </c>
      <c r="E512" t="s">
        <v>157</v>
      </c>
      <c r="F512" s="70" t="s">
        <v>288</v>
      </c>
      <c r="G512" s="70">
        <v>1</v>
      </c>
      <c r="H512" s="79" t="s">
        <v>275</v>
      </c>
      <c r="I512">
        <v>49</v>
      </c>
      <c r="J512" s="70" t="s">
        <v>289</v>
      </c>
      <c r="K512" s="2">
        <f>(VLOOKUP(H512,'functions and szcl estimates'!$A$14:$I$23,4, FALSE))*(('raw data'!I123)^(VLOOKUP('raw data'!H123,'functions and szcl estimates'!$A$14:$I$23, 7, FALSE)))</f>
        <v>14.283218275278337</v>
      </c>
      <c r="L512" s="12" t="s">
        <v>216</v>
      </c>
      <c r="M512" s="12" t="s">
        <v>217</v>
      </c>
      <c r="N512" s="12">
        <f t="shared" si="25"/>
        <v>-0.10416666666666663</v>
      </c>
      <c r="O512" s="14">
        <v>26.5</v>
      </c>
      <c r="P512">
        <v>2</v>
      </c>
      <c r="Q512" s="65">
        <f>SUM(K512:K513)</f>
        <v>25.260189387137238</v>
      </c>
      <c r="R512" s="15">
        <f>P512/O512</f>
        <v>7.5471698113207544E-2</v>
      </c>
      <c r="S512" t="s">
        <v>148</v>
      </c>
    </row>
    <row r="513" spans="1:20" x14ac:dyDescent="0.2">
      <c r="A513" s="18">
        <v>39644</v>
      </c>
      <c r="B513" s="17">
        <v>2012</v>
      </c>
      <c r="C513" s="18" t="str">
        <f t="shared" si="24"/>
        <v>Elkhorn Slough_39644_Crop Circles_0.4688</v>
      </c>
      <c r="D513" s="4" t="s">
        <v>45</v>
      </c>
      <c r="E513" t="s">
        <v>277</v>
      </c>
      <c r="F513" s="70" t="s">
        <v>288</v>
      </c>
      <c r="G513" s="70">
        <v>1</v>
      </c>
      <c r="H513" s="79" t="s">
        <v>275</v>
      </c>
      <c r="I513">
        <v>45</v>
      </c>
      <c r="J513" s="70" t="s">
        <v>289</v>
      </c>
      <c r="K513" s="2">
        <f>(VLOOKUP(H513,'functions and szcl estimates'!$A$14:$I$23,4, FALSE))*(('raw data'!I126)^(VLOOKUP('raw data'!H126,'functions and szcl estimates'!$A$14:$I$23, 7, FALSE)))</f>
        <v>10.976971111858902</v>
      </c>
      <c r="L513" s="12" t="s">
        <v>216</v>
      </c>
      <c r="M513" s="12" t="s">
        <v>218</v>
      </c>
      <c r="N513" s="12">
        <f t="shared" si="25"/>
        <v>-0.11805555555555558</v>
      </c>
      <c r="O513" s="14">
        <v>26.5</v>
      </c>
      <c r="S513" t="s">
        <v>148</v>
      </c>
    </row>
    <row r="514" spans="1:20" x14ac:dyDescent="0.2">
      <c r="A514" s="18">
        <v>39644</v>
      </c>
      <c r="B514" s="17">
        <v>2012</v>
      </c>
      <c r="C514" s="18" t="str">
        <f t="shared" si="24"/>
        <v>Elkhorn Slough_39644_Area 4_0.4688</v>
      </c>
      <c r="D514" s="4" t="s">
        <v>45</v>
      </c>
      <c r="E514" t="s">
        <v>3</v>
      </c>
      <c r="F514" s="70" t="s">
        <v>288</v>
      </c>
      <c r="G514" s="70">
        <v>1</v>
      </c>
      <c r="H514" s="79" t="s">
        <v>275</v>
      </c>
      <c r="I514">
        <v>55</v>
      </c>
      <c r="J514" s="70" t="s">
        <v>289</v>
      </c>
      <c r="K514" s="2">
        <f>(VLOOKUP(H514,'functions and szcl estimates'!$A$14:$I$23,4, FALSE))*(('raw data'!I127)^(VLOOKUP('raw data'!H127,'functions and szcl estimates'!$A$14:$I$23, 7, FALSE)))</f>
        <v>15.183365924403773</v>
      </c>
      <c r="L514" s="12" t="s">
        <v>216</v>
      </c>
      <c r="M514" s="12" t="s">
        <v>216</v>
      </c>
      <c r="N514" s="12">
        <f t="shared" si="25"/>
        <v>0</v>
      </c>
      <c r="O514" s="14">
        <v>48</v>
      </c>
      <c r="P514">
        <v>4</v>
      </c>
      <c r="Q514" s="65">
        <f>SUM(K514:K517)</f>
        <v>83.525363884434626</v>
      </c>
      <c r="R514" s="15">
        <f>P514/O514</f>
        <v>8.3333333333333329E-2</v>
      </c>
      <c r="S514" t="s">
        <v>148</v>
      </c>
    </row>
    <row r="515" spans="1:20" x14ac:dyDescent="0.2">
      <c r="A515" s="18">
        <v>39644</v>
      </c>
      <c r="B515" s="17">
        <v>2012</v>
      </c>
      <c r="C515" s="18" t="str">
        <f t="shared" ref="C515:C578" si="26">CONCATENATE(D515,"_",A515,"_",E515,"_",ROUND(L515,4))</f>
        <v>Elkhorn Slough_39644_Area 4_0.4688</v>
      </c>
      <c r="D515" s="4" t="s">
        <v>45</v>
      </c>
      <c r="E515" t="s">
        <v>3</v>
      </c>
      <c r="F515" s="70" t="s">
        <v>288</v>
      </c>
      <c r="G515" s="70">
        <v>1</v>
      </c>
      <c r="H515" s="79" t="s">
        <v>275</v>
      </c>
      <c r="I515">
        <v>62</v>
      </c>
      <c r="J515" s="70" t="s">
        <v>289</v>
      </c>
      <c r="K515" s="2">
        <f>(VLOOKUP(H515,'functions and szcl estimates'!$A$14:$I$23,4, FALSE))*(('raw data'!I128)^(VLOOKUP('raw data'!H128,'functions and szcl estimates'!$A$14:$I$23, 7, FALSE)))</f>
        <v>16.589360753775555</v>
      </c>
      <c r="L515" s="12" t="s">
        <v>216</v>
      </c>
      <c r="M515" s="12" t="s">
        <v>216</v>
      </c>
      <c r="N515" s="12">
        <f t="shared" si="25"/>
        <v>0</v>
      </c>
      <c r="O515" s="14">
        <v>48</v>
      </c>
      <c r="S515" t="s">
        <v>148</v>
      </c>
    </row>
    <row r="516" spans="1:20" x14ac:dyDescent="0.2">
      <c r="A516" s="18">
        <v>39644</v>
      </c>
      <c r="B516" s="17">
        <v>2012</v>
      </c>
      <c r="C516" s="18" t="str">
        <f t="shared" si="26"/>
        <v>Elkhorn Slough_39644_Area 4_0.4688</v>
      </c>
      <c r="D516" s="4" t="s">
        <v>45</v>
      </c>
      <c r="E516" t="s">
        <v>3</v>
      </c>
      <c r="F516" s="70" t="s">
        <v>288</v>
      </c>
      <c r="G516" s="70">
        <v>1</v>
      </c>
      <c r="H516" s="79" t="s">
        <v>275</v>
      </c>
      <c r="I516">
        <v>85</v>
      </c>
      <c r="J516" s="70" t="s">
        <v>289</v>
      </c>
      <c r="K516" s="2">
        <f>(VLOOKUP(H516,'functions and szcl estimates'!$A$14:$I$23,4, FALSE))*(('raw data'!I129)^(VLOOKUP('raw data'!H129,'functions and szcl estimates'!$A$14:$I$23, 7, FALSE)))</f>
        <v>24.048157335797836</v>
      </c>
      <c r="L516" s="12" t="s">
        <v>216</v>
      </c>
      <c r="M516" s="12" t="s">
        <v>216</v>
      </c>
      <c r="N516" s="12">
        <f t="shared" si="25"/>
        <v>0</v>
      </c>
      <c r="O516" s="14">
        <v>48</v>
      </c>
      <c r="S516" t="s">
        <v>148</v>
      </c>
    </row>
    <row r="517" spans="1:20" x14ac:dyDescent="0.2">
      <c r="A517" s="18">
        <v>39644</v>
      </c>
      <c r="B517" s="17">
        <v>2012</v>
      </c>
      <c r="C517" s="18" t="str">
        <f t="shared" si="26"/>
        <v>Elkhorn Slough_39644_Area 4_0.4688</v>
      </c>
      <c r="D517" s="4" t="s">
        <v>45</v>
      </c>
      <c r="E517" t="s">
        <v>3</v>
      </c>
      <c r="F517" s="70" t="s">
        <v>288</v>
      </c>
      <c r="G517" s="70">
        <v>1</v>
      </c>
      <c r="H517" s="79" t="s">
        <v>275</v>
      </c>
      <c r="I517">
        <v>112</v>
      </c>
      <c r="J517" s="70" t="s">
        <v>289</v>
      </c>
      <c r="K517" s="2">
        <f>(VLOOKUP(H517,'functions and szcl estimates'!$A$14:$I$23,4, FALSE))*(('raw data'!I130)^(VLOOKUP('raw data'!H130,'functions and szcl estimates'!$A$14:$I$23, 7, FALSE)))</f>
        <v>27.704479870457465</v>
      </c>
      <c r="L517" s="12" t="s">
        <v>216</v>
      </c>
      <c r="M517" s="12" t="s">
        <v>216</v>
      </c>
      <c r="N517" s="12">
        <f t="shared" si="25"/>
        <v>0</v>
      </c>
      <c r="O517" s="14">
        <v>48</v>
      </c>
      <c r="S517" t="s">
        <v>148</v>
      </c>
    </row>
    <row r="518" spans="1:20" x14ac:dyDescent="0.2">
      <c r="A518" s="18">
        <v>39644</v>
      </c>
      <c r="B518" s="17">
        <v>2012</v>
      </c>
      <c r="C518" s="18" t="str">
        <f t="shared" si="26"/>
        <v>Elkhorn Slough_39644_Outfall_0.4688</v>
      </c>
      <c r="D518" s="4" t="s">
        <v>45</v>
      </c>
      <c r="E518" t="s">
        <v>279</v>
      </c>
      <c r="F518" s="70" t="s">
        <v>288</v>
      </c>
      <c r="G518" s="70">
        <v>1</v>
      </c>
      <c r="H518" s="79" t="s">
        <v>275</v>
      </c>
      <c r="I518">
        <v>71</v>
      </c>
      <c r="J518" s="70" t="s">
        <v>289</v>
      </c>
      <c r="K518" s="2">
        <f>(VLOOKUP(H518,'functions and szcl estimates'!$A$14:$I$23,4, FALSE))*(('raw data'!I143)^(VLOOKUP('raw data'!H143,'functions and szcl estimates'!$A$14:$I$23, 7, FALSE)))</f>
        <v>8.8020754553070972</v>
      </c>
      <c r="L518" s="12" t="s">
        <v>216</v>
      </c>
      <c r="M518" s="12" t="s">
        <v>219</v>
      </c>
      <c r="N518" s="12">
        <f t="shared" si="25"/>
        <v>-2.0833333333333315E-2</v>
      </c>
      <c r="O518" s="14">
        <v>48.5</v>
      </c>
      <c r="S518" t="s">
        <v>148</v>
      </c>
    </row>
    <row r="519" spans="1:20" x14ac:dyDescent="0.2">
      <c r="A519" s="18">
        <v>39644</v>
      </c>
      <c r="B519" s="17">
        <v>2012</v>
      </c>
      <c r="C519" s="18" t="str">
        <f t="shared" si="26"/>
        <v>Elkhorn Slough_39644_Outfall_0.4688</v>
      </c>
      <c r="D519" s="4" t="s">
        <v>45</v>
      </c>
      <c r="E519" t="s">
        <v>279</v>
      </c>
      <c r="F519" s="70" t="s">
        <v>288</v>
      </c>
      <c r="G519" s="70">
        <v>1</v>
      </c>
      <c r="H519" s="79" t="s">
        <v>275</v>
      </c>
      <c r="I519">
        <v>101</v>
      </c>
      <c r="J519" s="70" t="s">
        <v>289</v>
      </c>
      <c r="K519" s="2">
        <f>(VLOOKUP(H519,'functions and szcl estimates'!$A$14:$I$23,4, FALSE))*(('raw data'!I144)^(VLOOKUP('raw data'!H144,'functions and szcl estimates'!$A$14:$I$23, 7, FALSE)))</f>
        <v>12.988416228822258</v>
      </c>
      <c r="L519" s="12" t="s">
        <v>216</v>
      </c>
      <c r="M519" s="12" t="s">
        <v>219</v>
      </c>
      <c r="N519" s="12">
        <f t="shared" si="25"/>
        <v>-2.0833333333333315E-2</v>
      </c>
      <c r="O519" s="14">
        <v>48.5</v>
      </c>
      <c r="S519" t="s">
        <v>148</v>
      </c>
    </row>
    <row r="520" spans="1:20" x14ac:dyDescent="0.2">
      <c r="A520" s="18">
        <v>39646</v>
      </c>
      <c r="B520" s="17">
        <v>2012</v>
      </c>
      <c r="C520" s="18" t="str">
        <f t="shared" si="26"/>
        <v>Elkhorn Slough_39646_Area 4_0.4688</v>
      </c>
      <c r="D520" s="4" t="s">
        <v>45</v>
      </c>
      <c r="E520" t="s">
        <v>3</v>
      </c>
      <c r="F520" s="70" t="s">
        <v>288</v>
      </c>
      <c r="G520" s="70">
        <v>1</v>
      </c>
      <c r="H520" s="79" t="s">
        <v>275</v>
      </c>
      <c r="I520">
        <v>51</v>
      </c>
      <c r="J520" s="70" t="s">
        <v>289</v>
      </c>
      <c r="K520" s="2">
        <f>(VLOOKUP(H520,'functions and szcl estimates'!$A$14:$I$23,4, FALSE))*(('raw data'!I145)^(VLOOKUP('raw data'!H145,'functions and szcl estimates'!$A$14:$I$23, 7, FALSE)))</f>
        <v>19.082551278438132</v>
      </c>
      <c r="L520" s="12">
        <v>0.46875</v>
      </c>
      <c r="M520" s="12" t="s">
        <v>220</v>
      </c>
      <c r="N520" s="12">
        <f t="shared" si="25"/>
        <v>7.2916666666666685E-2</v>
      </c>
      <c r="O520" s="14">
        <v>46.25</v>
      </c>
      <c r="P520">
        <f>COUNT(O520:O527)</f>
        <v>8</v>
      </c>
      <c r="Q520" s="65">
        <f>SUM(K520:K527)</f>
        <v>131.48057365712819</v>
      </c>
      <c r="R520" s="15">
        <f>P520/O520</f>
        <v>0.17297297297297298</v>
      </c>
      <c r="S520" t="s">
        <v>148</v>
      </c>
      <c r="T520" t="s">
        <v>281</v>
      </c>
    </row>
    <row r="521" spans="1:20" x14ac:dyDescent="0.2">
      <c r="A521" s="18">
        <v>39646</v>
      </c>
      <c r="B521" s="17">
        <v>2012</v>
      </c>
      <c r="C521" s="18" t="str">
        <f t="shared" si="26"/>
        <v>Elkhorn Slough_39646_Area 4_0.4688</v>
      </c>
      <c r="D521" s="4" t="s">
        <v>45</v>
      </c>
      <c r="E521" t="s">
        <v>3</v>
      </c>
      <c r="F521" s="70" t="s">
        <v>288</v>
      </c>
      <c r="G521" s="70">
        <v>1</v>
      </c>
      <c r="H521" s="79" t="s">
        <v>275</v>
      </c>
      <c r="I521">
        <v>59</v>
      </c>
      <c r="J521" s="70" t="s">
        <v>289</v>
      </c>
      <c r="K521" s="2">
        <f>(VLOOKUP(H521,'functions and szcl estimates'!$A$14:$I$23,4, FALSE))*(('raw data'!I146)^(VLOOKUP('raw data'!H146,'functions and szcl estimates'!$A$14:$I$23, 7, FALSE)))</f>
        <v>9.4983323838007827</v>
      </c>
      <c r="L521" s="12">
        <v>0.46875</v>
      </c>
      <c r="M521" s="8" t="s">
        <v>220</v>
      </c>
      <c r="N521" s="12">
        <f t="shared" si="25"/>
        <v>7.2916666666666685E-2</v>
      </c>
      <c r="O521" s="14">
        <v>46.25</v>
      </c>
      <c r="S521" t="s">
        <v>148</v>
      </c>
    </row>
    <row r="522" spans="1:20" x14ac:dyDescent="0.2">
      <c r="A522" s="18">
        <v>39646</v>
      </c>
      <c r="B522" s="17">
        <v>2012</v>
      </c>
      <c r="C522" s="18" t="str">
        <f t="shared" si="26"/>
        <v>Elkhorn Slough_39646_Area 4_0.4688</v>
      </c>
      <c r="D522" s="4" t="s">
        <v>45</v>
      </c>
      <c r="E522" t="s">
        <v>3</v>
      </c>
      <c r="F522" s="70" t="s">
        <v>288</v>
      </c>
      <c r="G522" s="70">
        <v>1</v>
      </c>
      <c r="H522" s="79" t="s">
        <v>275</v>
      </c>
      <c r="I522">
        <v>63</v>
      </c>
      <c r="J522" s="70" t="s">
        <v>289</v>
      </c>
      <c r="K522" s="2">
        <f>(VLOOKUP(H522,'functions and szcl estimates'!$A$14:$I$23,4, FALSE))*(('raw data'!I147)^(VLOOKUP('raw data'!H147,'functions and szcl estimates'!$A$14:$I$23, 7, FALSE)))</f>
        <v>11.364692618262522</v>
      </c>
      <c r="L522" s="12">
        <v>0.46875</v>
      </c>
      <c r="M522" s="12" t="s">
        <v>220</v>
      </c>
      <c r="N522" s="12">
        <f t="shared" si="25"/>
        <v>7.2916666666666685E-2</v>
      </c>
      <c r="O522" s="14">
        <v>46.25</v>
      </c>
      <c r="S522" t="s">
        <v>148</v>
      </c>
    </row>
    <row r="523" spans="1:20" x14ac:dyDescent="0.2">
      <c r="A523" s="18">
        <v>39646</v>
      </c>
      <c r="B523" s="17">
        <v>2012</v>
      </c>
      <c r="C523" s="18" t="str">
        <f t="shared" si="26"/>
        <v>Elkhorn Slough_39646_Area 4_0.4688</v>
      </c>
      <c r="D523" s="4" t="s">
        <v>45</v>
      </c>
      <c r="E523" t="s">
        <v>3</v>
      </c>
      <c r="F523" s="70" t="s">
        <v>288</v>
      </c>
      <c r="G523" s="70">
        <v>1</v>
      </c>
      <c r="H523" s="79" t="s">
        <v>275</v>
      </c>
      <c r="I523">
        <v>81</v>
      </c>
      <c r="J523" s="70" t="s">
        <v>289</v>
      </c>
      <c r="K523" s="2">
        <f>(VLOOKUP(H523,'functions and szcl estimates'!$A$14:$I$23,4, FALSE))*(('raw data'!I148)^(VLOOKUP('raw data'!H148,'functions and szcl estimates'!$A$14:$I$23, 7, FALSE)))</f>
        <v>11.364692618262522</v>
      </c>
      <c r="L523" s="12">
        <v>0.46875</v>
      </c>
      <c r="M523" s="8" t="s">
        <v>220</v>
      </c>
      <c r="N523" s="12">
        <f t="shared" si="25"/>
        <v>7.2916666666666685E-2</v>
      </c>
      <c r="O523" s="14">
        <v>46.25</v>
      </c>
      <c r="S523" t="s">
        <v>148</v>
      </c>
    </row>
    <row r="524" spans="1:20" x14ac:dyDescent="0.2">
      <c r="A524" s="9">
        <v>39646</v>
      </c>
      <c r="B524" s="17">
        <v>2012</v>
      </c>
      <c r="C524" s="18" t="str">
        <f t="shared" si="26"/>
        <v>Elkhorn Slough_39646_Area 4_0.4688</v>
      </c>
      <c r="D524" s="4" t="s">
        <v>45</v>
      </c>
      <c r="E524" t="s">
        <v>3</v>
      </c>
      <c r="F524" s="70" t="s">
        <v>288</v>
      </c>
      <c r="G524" s="70">
        <v>1</v>
      </c>
      <c r="H524" s="79" t="s">
        <v>275</v>
      </c>
      <c r="I524">
        <v>82</v>
      </c>
      <c r="J524" s="70" t="s">
        <v>289</v>
      </c>
      <c r="K524" s="2">
        <f>(VLOOKUP(H524,'functions and szcl estimates'!$A$14:$I$23,4, FALSE))*(('raw data'!I149)^(VLOOKUP('raw data'!H149,'functions and szcl estimates'!$A$14:$I$23, 7, FALSE)))</f>
        <v>12.161948456521849</v>
      </c>
      <c r="L524" s="12">
        <v>0.46875</v>
      </c>
      <c r="M524" s="8" t="s">
        <v>220</v>
      </c>
      <c r="N524" s="8">
        <f t="shared" si="25"/>
        <v>7.2916666666666685E-2</v>
      </c>
      <c r="O524" s="14">
        <v>46.25</v>
      </c>
      <c r="S524" t="s">
        <v>148</v>
      </c>
    </row>
    <row r="525" spans="1:20" x14ac:dyDescent="0.2">
      <c r="A525" s="9">
        <v>39646</v>
      </c>
      <c r="B525" s="17">
        <v>2012</v>
      </c>
      <c r="C525" s="18" t="str">
        <f t="shared" si="26"/>
        <v>Elkhorn Slough_39646_Area 4_0.4688</v>
      </c>
      <c r="D525" s="4" t="s">
        <v>45</v>
      </c>
      <c r="E525" t="s">
        <v>3</v>
      </c>
      <c r="F525" s="70" t="s">
        <v>288</v>
      </c>
      <c r="G525" s="70">
        <v>1</v>
      </c>
      <c r="H525" s="79" t="s">
        <v>275</v>
      </c>
      <c r="I525">
        <v>84</v>
      </c>
      <c r="J525" s="70" t="s">
        <v>289</v>
      </c>
      <c r="K525" s="2">
        <f>(VLOOKUP(H525,'functions and szcl estimates'!$A$14:$I$23,4, FALSE))*(('raw data'!I150)^(VLOOKUP('raw data'!H150,'functions and szcl estimates'!$A$14:$I$23, 7, FALSE)))</f>
        <v>6.5883205641206626</v>
      </c>
      <c r="L525" s="12">
        <v>0.46875</v>
      </c>
      <c r="M525" s="12" t="s">
        <v>220</v>
      </c>
      <c r="N525" s="12">
        <f t="shared" si="25"/>
        <v>7.2916666666666685E-2</v>
      </c>
      <c r="O525" s="14">
        <v>46.25</v>
      </c>
      <c r="S525" t="s">
        <v>148</v>
      </c>
    </row>
    <row r="526" spans="1:20" x14ac:dyDescent="0.2">
      <c r="A526" s="9">
        <v>39646</v>
      </c>
      <c r="B526" s="17">
        <v>2012</v>
      </c>
      <c r="C526" s="18" t="str">
        <f t="shared" si="26"/>
        <v>Elkhorn Slough_39646_Area 4_0.4688</v>
      </c>
      <c r="D526" s="4" t="s">
        <v>45</v>
      </c>
      <c r="E526" t="s">
        <v>3</v>
      </c>
      <c r="F526" s="70" t="s">
        <v>288</v>
      </c>
      <c r="G526" s="70">
        <v>1</v>
      </c>
      <c r="H526" s="79" t="s">
        <v>275</v>
      </c>
      <c r="I526">
        <v>87</v>
      </c>
      <c r="J526" s="70" t="s">
        <v>289</v>
      </c>
      <c r="K526" s="2">
        <f>(VLOOKUP(H526,'functions and szcl estimates'!$A$14:$I$23,4, FALSE))*(('raw data'!I151)^(VLOOKUP('raw data'!H151,'functions and szcl estimates'!$A$14:$I$23, 7, FALSE)))</f>
        <v>27.704479870457465</v>
      </c>
      <c r="L526" s="12">
        <v>0.46875</v>
      </c>
      <c r="M526" s="12" t="s">
        <v>220</v>
      </c>
      <c r="N526" s="12">
        <f t="shared" si="25"/>
        <v>7.2916666666666685E-2</v>
      </c>
      <c r="O526" s="14">
        <v>46.25</v>
      </c>
      <c r="S526" t="s">
        <v>148</v>
      </c>
    </row>
    <row r="527" spans="1:20" x14ac:dyDescent="0.2">
      <c r="A527" s="9">
        <v>39646</v>
      </c>
      <c r="B527" s="17">
        <v>2012</v>
      </c>
      <c r="C527" s="18" t="str">
        <f t="shared" si="26"/>
        <v>Elkhorn Slough_39646_Area 4_0.4688</v>
      </c>
      <c r="D527" s="4" t="s">
        <v>45</v>
      </c>
      <c r="E527" t="s">
        <v>3</v>
      </c>
      <c r="F527" s="70" t="s">
        <v>288</v>
      </c>
      <c r="G527" s="70">
        <v>1</v>
      </c>
      <c r="H527" s="79" t="s">
        <v>275</v>
      </c>
      <c r="I527">
        <v>94</v>
      </c>
      <c r="J527" s="70" t="s">
        <v>289</v>
      </c>
      <c r="K527" s="2">
        <f>(VLOOKUP(H527,'functions and szcl estimates'!$A$14:$I$23,4, FALSE))*(('raw data'!I152)^(VLOOKUP('raw data'!H152,'functions and szcl estimates'!$A$14:$I$23, 7, FALSE)))</f>
        <v>33.71555586726425</v>
      </c>
      <c r="L527" s="12">
        <v>0.46875</v>
      </c>
      <c r="M527" s="12" t="s">
        <v>220</v>
      </c>
      <c r="N527" s="12">
        <f t="shared" si="25"/>
        <v>7.2916666666666685E-2</v>
      </c>
      <c r="O527" s="14">
        <v>46.25</v>
      </c>
      <c r="S527" t="s">
        <v>148</v>
      </c>
    </row>
    <row r="528" spans="1:20" x14ac:dyDescent="0.2">
      <c r="A528" s="9">
        <v>39646</v>
      </c>
      <c r="B528" s="17">
        <v>2012</v>
      </c>
      <c r="C528" s="18" t="str">
        <f t="shared" si="26"/>
        <v>Elkhorn Slough_39646_Outfall_0.4896</v>
      </c>
      <c r="D528" s="4" t="s">
        <v>45</v>
      </c>
      <c r="E528" t="s">
        <v>279</v>
      </c>
      <c r="F528" s="70" t="s">
        <v>288</v>
      </c>
      <c r="G528" s="70">
        <v>1</v>
      </c>
      <c r="H528" s="79" t="s">
        <v>275</v>
      </c>
      <c r="I528">
        <v>56</v>
      </c>
      <c r="J528" s="70" t="s">
        <v>289</v>
      </c>
      <c r="K528" s="2">
        <f>(VLOOKUP(H528,'functions and szcl estimates'!$A$14:$I$23,4, FALSE))*(('raw data'!I153)^(VLOOKUP('raw data'!H153,'functions and szcl estimates'!$A$14:$I$23, 7, FALSE)))</f>
        <v>12.161948456521849</v>
      </c>
      <c r="L528" s="12">
        <v>0.48958333333333331</v>
      </c>
      <c r="M528" s="12" t="s">
        <v>221</v>
      </c>
      <c r="N528" s="12">
        <f t="shared" si="25"/>
        <v>8.3333333333333315E-2</v>
      </c>
      <c r="O528" s="14">
        <v>46</v>
      </c>
      <c r="P528">
        <v>5</v>
      </c>
      <c r="Q528" s="65">
        <f>SUM(K528:K532)</f>
        <v>51.35979077380366</v>
      </c>
      <c r="R528" s="15">
        <f>P528/O528</f>
        <v>0.10869565217391304</v>
      </c>
      <c r="S528" t="s">
        <v>148</v>
      </c>
      <c r="T528" t="s">
        <v>281</v>
      </c>
    </row>
    <row r="529" spans="1:20" x14ac:dyDescent="0.2">
      <c r="A529" s="9">
        <v>39646</v>
      </c>
      <c r="B529" s="17">
        <v>2012</v>
      </c>
      <c r="C529" s="18" t="str">
        <f t="shared" si="26"/>
        <v>Elkhorn Slough_39646_Outfall_0.4896</v>
      </c>
      <c r="D529" s="4" t="s">
        <v>45</v>
      </c>
      <c r="E529" t="s">
        <v>279</v>
      </c>
      <c r="F529" s="70" t="s">
        <v>288</v>
      </c>
      <c r="G529" s="70">
        <v>1</v>
      </c>
      <c r="H529" s="79" t="s">
        <v>275</v>
      </c>
      <c r="I529">
        <v>63</v>
      </c>
      <c r="J529" s="70" t="s">
        <v>289</v>
      </c>
      <c r="K529" s="2">
        <f>(VLOOKUP(H529,'functions and szcl estimates'!$A$14:$I$23,4, FALSE))*(('raw data'!I154)^(VLOOKUP('raw data'!H154,'functions and szcl estimates'!$A$14:$I$23, 7, FALSE)))</f>
        <v>11.364692618262522</v>
      </c>
      <c r="L529" s="12">
        <v>0.48958333333333331</v>
      </c>
      <c r="M529" s="12" t="s">
        <v>221</v>
      </c>
      <c r="N529" s="12">
        <f t="shared" si="25"/>
        <v>8.3333333333333315E-2</v>
      </c>
      <c r="O529" s="14">
        <v>46</v>
      </c>
      <c r="S529" t="s">
        <v>148</v>
      </c>
      <c r="T529" t="s">
        <v>282</v>
      </c>
    </row>
    <row r="530" spans="1:20" x14ac:dyDescent="0.2">
      <c r="A530" s="9">
        <v>39646</v>
      </c>
      <c r="B530" s="17">
        <v>2012</v>
      </c>
      <c r="C530" s="18" t="str">
        <f t="shared" si="26"/>
        <v>Elkhorn Slough_39646_Outfall_0.4896</v>
      </c>
      <c r="D530" s="4" t="s">
        <v>45</v>
      </c>
      <c r="E530" t="s">
        <v>279</v>
      </c>
      <c r="F530" s="70" t="s">
        <v>288</v>
      </c>
      <c r="G530" s="70">
        <v>1</v>
      </c>
      <c r="H530" s="79" t="s">
        <v>275</v>
      </c>
      <c r="I530">
        <v>90</v>
      </c>
      <c r="J530" s="70" t="s">
        <v>289</v>
      </c>
      <c r="K530" s="2">
        <f>(VLOOKUP(H530,'functions and szcl estimates'!$A$14:$I$23,4, FALSE))*(('raw data'!I155)^(VLOOKUP('raw data'!H155,'functions and szcl estimates'!$A$14:$I$23, 7, FALSE)))</f>
        <v>11.759678595915471</v>
      </c>
      <c r="L530" s="12">
        <v>0.48958333333333298</v>
      </c>
      <c r="M530" s="12" t="s">
        <v>221</v>
      </c>
      <c r="N530" s="12">
        <f t="shared" si="25"/>
        <v>8.3333333333332982E-2</v>
      </c>
      <c r="O530" s="14">
        <v>46</v>
      </c>
      <c r="S530" t="s">
        <v>148</v>
      </c>
    </row>
    <row r="531" spans="1:20" x14ac:dyDescent="0.2">
      <c r="A531" s="9">
        <v>39646</v>
      </c>
      <c r="B531" s="17">
        <v>2012</v>
      </c>
      <c r="C531" s="18" t="str">
        <f t="shared" si="26"/>
        <v>Elkhorn Slough_39646_Outfall_0.4896</v>
      </c>
      <c r="D531" s="4" t="s">
        <v>45</v>
      </c>
      <c r="E531" t="s">
        <v>279</v>
      </c>
      <c r="F531" s="70" t="s">
        <v>288</v>
      </c>
      <c r="G531" s="70">
        <v>1</v>
      </c>
      <c r="H531" s="79" t="s">
        <v>275</v>
      </c>
      <c r="I531">
        <v>91</v>
      </c>
      <c r="J531" s="70" t="s">
        <v>289</v>
      </c>
      <c r="K531" s="2">
        <f>(VLOOKUP(H531,'functions and szcl estimates'!$A$14:$I$23,4, FALSE))*(('raw data'!I156)^(VLOOKUP('raw data'!H156,'functions and szcl estimates'!$A$14:$I$23, 7, FALSE)))</f>
        <v>5.4769766957454147</v>
      </c>
      <c r="L531" s="12">
        <v>0.48958333333333298</v>
      </c>
      <c r="M531" s="12" t="s">
        <v>221</v>
      </c>
      <c r="N531" s="12">
        <f t="shared" si="25"/>
        <v>8.3333333333332982E-2</v>
      </c>
      <c r="O531" s="14">
        <v>46</v>
      </c>
      <c r="S531" t="s">
        <v>148</v>
      </c>
    </row>
    <row r="532" spans="1:20" x14ac:dyDescent="0.2">
      <c r="A532" s="9">
        <v>39647</v>
      </c>
      <c r="B532" s="17">
        <v>2012</v>
      </c>
      <c r="C532" s="18" t="str">
        <f t="shared" si="26"/>
        <v>Elkhorn Slough_39647_Area 4_0.4688</v>
      </c>
      <c r="D532" s="4" t="s">
        <v>45</v>
      </c>
      <c r="E532" t="s">
        <v>3</v>
      </c>
      <c r="F532" s="70" t="s">
        <v>288</v>
      </c>
      <c r="G532" s="70">
        <v>1</v>
      </c>
      <c r="H532" s="79" t="s">
        <v>275</v>
      </c>
      <c r="I532">
        <v>76</v>
      </c>
      <c r="J532" s="70" t="s">
        <v>289</v>
      </c>
      <c r="K532" s="2">
        <f>(VLOOKUP(H532,'functions and szcl estimates'!$A$14:$I$23,4, FALSE))*(('raw data'!I160)^(VLOOKUP('raw data'!H160,'functions and szcl estimates'!$A$14:$I$23, 7, FALSE)))</f>
        <v>10.596494407358405</v>
      </c>
      <c r="L532" s="12">
        <v>0.46875</v>
      </c>
      <c r="M532" s="12" t="s">
        <v>224</v>
      </c>
      <c r="N532" s="12">
        <f t="shared" si="25"/>
        <v>8.680555555555558E-2</v>
      </c>
      <c r="O532" s="14">
        <v>22</v>
      </c>
      <c r="P532">
        <f>COUNT(O532:O556)</f>
        <v>25</v>
      </c>
      <c r="Q532">
        <f>SUM(K532:K556)</f>
        <v>416.97588675837858</v>
      </c>
      <c r="R532" s="15">
        <f>P532/O532</f>
        <v>1.1363636363636365</v>
      </c>
      <c r="S532" t="s">
        <v>148</v>
      </c>
    </row>
    <row r="533" spans="1:20" x14ac:dyDescent="0.2">
      <c r="A533" s="9">
        <v>39647</v>
      </c>
      <c r="B533" s="17">
        <v>2012</v>
      </c>
      <c r="C533" s="18" t="str">
        <f t="shared" si="26"/>
        <v>Elkhorn Slough_39647_Area 4_0.4688</v>
      </c>
      <c r="D533" s="4" t="s">
        <v>45</v>
      </c>
      <c r="E533" t="s">
        <v>3</v>
      </c>
      <c r="F533" s="70" t="s">
        <v>288</v>
      </c>
      <c r="G533" s="70">
        <v>1</v>
      </c>
      <c r="H533" s="79" t="s">
        <v>275</v>
      </c>
      <c r="I533">
        <v>62</v>
      </c>
      <c r="J533" s="70" t="s">
        <v>289</v>
      </c>
      <c r="K533" s="2">
        <f>(VLOOKUP(H533,'functions and szcl estimates'!$A$14:$I$23,4, FALSE))*(('raw data'!I161)^(VLOOKUP('raw data'!H161,'functions and szcl estimates'!$A$14:$I$23, 7, FALSE)))</f>
        <v>14.729585535690877</v>
      </c>
      <c r="L533" s="12">
        <v>0.46875</v>
      </c>
      <c r="M533" s="12" t="s">
        <v>224</v>
      </c>
      <c r="N533" s="12">
        <f t="shared" si="25"/>
        <v>8.680555555555558E-2</v>
      </c>
      <c r="O533" s="14">
        <v>22</v>
      </c>
      <c r="S533" t="s">
        <v>148</v>
      </c>
    </row>
    <row r="534" spans="1:20" x14ac:dyDescent="0.2">
      <c r="A534" s="5">
        <v>39647</v>
      </c>
      <c r="B534" s="17">
        <v>2012</v>
      </c>
      <c r="C534" s="18" t="str">
        <f t="shared" si="26"/>
        <v>Elkhorn Slough_39647_Area 4_0.4688</v>
      </c>
      <c r="D534" s="4" t="s">
        <v>45</v>
      </c>
      <c r="E534" t="s">
        <v>3</v>
      </c>
      <c r="F534" s="70" t="s">
        <v>288</v>
      </c>
      <c r="G534" s="70">
        <v>1</v>
      </c>
      <c r="H534" s="79" t="s">
        <v>275</v>
      </c>
      <c r="I534">
        <v>67</v>
      </c>
      <c r="J534" s="70" t="s">
        <v>289</v>
      </c>
      <c r="K534" s="2">
        <f>(VLOOKUP(H534,'functions and szcl estimates'!$A$14:$I$23,4, FALSE))*(('raw data'!I162)^(VLOOKUP('raw data'!H162,'functions and szcl estimates'!$A$14:$I$23, 7, FALSE)))</f>
        <v>12.988416228822258</v>
      </c>
      <c r="L534" s="12">
        <v>0.46875</v>
      </c>
      <c r="M534" s="8" t="s">
        <v>224</v>
      </c>
      <c r="N534" s="8">
        <f t="shared" si="25"/>
        <v>8.680555555555558E-2</v>
      </c>
      <c r="O534" s="14">
        <v>22</v>
      </c>
      <c r="S534" t="s">
        <v>148</v>
      </c>
    </row>
    <row r="535" spans="1:20" x14ac:dyDescent="0.2">
      <c r="A535" s="18">
        <v>39647</v>
      </c>
      <c r="B535" s="17">
        <v>2012</v>
      </c>
      <c r="C535" s="18" t="str">
        <f t="shared" si="26"/>
        <v>Elkhorn Slough_39647_Area 4_0.4688</v>
      </c>
      <c r="D535" s="4" t="s">
        <v>45</v>
      </c>
      <c r="E535" t="s">
        <v>3</v>
      </c>
      <c r="F535" s="70" t="s">
        <v>288</v>
      </c>
      <c r="G535" s="70">
        <v>1</v>
      </c>
      <c r="H535" s="79" t="s">
        <v>275</v>
      </c>
      <c r="I535">
        <v>78</v>
      </c>
      <c r="J535" s="70" t="s">
        <v>289</v>
      </c>
      <c r="K535" s="2">
        <f>(VLOOKUP(H535,'functions and szcl estimates'!$A$14:$I$23,4, FALSE))*(('raw data'!I163)^(VLOOKUP('raw data'!H163,'functions and szcl estimates'!$A$14:$I$23, 7, FALSE)))</f>
        <v>15.183365924403773</v>
      </c>
      <c r="L535" s="12">
        <v>0.46875</v>
      </c>
      <c r="M535" s="12" t="s">
        <v>224</v>
      </c>
      <c r="N535" s="12">
        <f t="shared" ref="N535:N566" si="27">L535-M535</f>
        <v>8.680555555555558E-2</v>
      </c>
      <c r="O535" s="65">
        <v>22</v>
      </c>
      <c r="S535" t="s">
        <v>148</v>
      </c>
    </row>
    <row r="536" spans="1:20" x14ac:dyDescent="0.2">
      <c r="A536" s="18">
        <v>39647</v>
      </c>
      <c r="B536" s="17">
        <v>2012</v>
      </c>
      <c r="C536" s="18" t="str">
        <f t="shared" si="26"/>
        <v>Elkhorn Slough_39647_Area 4_0.4688</v>
      </c>
      <c r="D536" s="4" t="s">
        <v>45</v>
      </c>
      <c r="E536" t="s">
        <v>3</v>
      </c>
      <c r="F536" s="70" t="s">
        <v>288</v>
      </c>
      <c r="G536" s="70">
        <v>1</v>
      </c>
      <c r="H536" s="79" t="s">
        <v>275</v>
      </c>
      <c r="I536">
        <v>82</v>
      </c>
      <c r="J536" s="70" t="s">
        <v>289</v>
      </c>
      <c r="K536" s="2">
        <f>(VLOOKUP(H536,'functions and szcl estimates'!$A$14:$I$23,4, FALSE))*(('raw data'!I164)^(VLOOKUP('raw data'!H164,'functions and szcl estimates'!$A$14:$I$23, 7, FALSE)))</f>
        <v>19.082551278438132</v>
      </c>
      <c r="L536" s="12">
        <v>0.46875</v>
      </c>
      <c r="M536" s="12" t="s">
        <v>224</v>
      </c>
      <c r="N536" s="12">
        <f t="shared" si="27"/>
        <v>8.680555555555558E-2</v>
      </c>
      <c r="O536" s="65">
        <v>22</v>
      </c>
      <c r="S536" t="s">
        <v>148</v>
      </c>
    </row>
    <row r="537" spans="1:20" x14ac:dyDescent="0.2">
      <c r="A537" s="18">
        <v>39647</v>
      </c>
      <c r="B537" s="17">
        <v>2012</v>
      </c>
      <c r="C537" s="18" t="str">
        <f t="shared" si="26"/>
        <v>Elkhorn Slough_39647_Area 4_0.4688</v>
      </c>
      <c r="D537" s="4" t="s">
        <v>45</v>
      </c>
      <c r="E537" t="s">
        <v>3</v>
      </c>
      <c r="F537" s="70" t="s">
        <v>288</v>
      </c>
      <c r="G537" s="70">
        <v>1</v>
      </c>
      <c r="H537" s="79" t="s">
        <v>275</v>
      </c>
      <c r="I537">
        <v>69</v>
      </c>
      <c r="J537" s="70" t="s">
        <v>289</v>
      </c>
      <c r="K537" s="2">
        <f>(VLOOKUP(H537,'functions and szcl estimates'!$A$14:$I$23,4, FALSE))*(('raw data'!I165)^(VLOOKUP('raw data'!H165,'functions and szcl estimates'!$A$14:$I$23, 7, FALSE)))</f>
        <v>17.072967560250436</v>
      </c>
      <c r="L537" s="12">
        <v>0.46875</v>
      </c>
      <c r="M537" s="12" t="s">
        <v>224</v>
      </c>
      <c r="N537" s="12">
        <f t="shared" si="27"/>
        <v>8.680555555555558E-2</v>
      </c>
      <c r="O537" s="65">
        <v>22</v>
      </c>
      <c r="S537" t="s">
        <v>148</v>
      </c>
    </row>
    <row r="538" spans="1:20" x14ac:dyDescent="0.2">
      <c r="A538" s="18">
        <v>39647</v>
      </c>
      <c r="B538" s="17">
        <v>2012</v>
      </c>
      <c r="C538" s="18" t="str">
        <f t="shared" si="26"/>
        <v>Elkhorn Slough_39647_Area 4_0.4688</v>
      </c>
      <c r="D538" s="4" t="s">
        <v>45</v>
      </c>
      <c r="E538" t="s">
        <v>3</v>
      </c>
      <c r="F538" s="70" t="s">
        <v>288</v>
      </c>
      <c r="G538" s="70">
        <v>1</v>
      </c>
      <c r="H538" s="79" t="s">
        <v>275</v>
      </c>
      <c r="I538">
        <v>86</v>
      </c>
      <c r="J538" s="70" t="s">
        <v>289</v>
      </c>
      <c r="K538" s="2">
        <f>(VLOOKUP(H538,'functions and szcl estimates'!$A$14:$I$23,4, FALSE))*(('raw data'!I166)^(VLOOKUP('raw data'!H166,'functions and szcl estimates'!$A$14:$I$23, 7, FALSE)))</f>
        <v>15.644577031137441</v>
      </c>
      <c r="L538" s="12">
        <v>0.46875</v>
      </c>
      <c r="M538" s="12" t="s">
        <v>224</v>
      </c>
      <c r="N538" s="12">
        <f t="shared" si="27"/>
        <v>8.680555555555558E-2</v>
      </c>
      <c r="O538" s="65">
        <v>22</v>
      </c>
      <c r="S538" t="s">
        <v>148</v>
      </c>
    </row>
    <row r="539" spans="1:20" x14ac:dyDescent="0.2">
      <c r="A539" s="18">
        <v>39647</v>
      </c>
      <c r="B539" s="17">
        <v>2012</v>
      </c>
      <c r="C539" s="18" t="str">
        <f t="shared" si="26"/>
        <v>Elkhorn Slough_39647_Area 4_0.4688</v>
      </c>
      <c r="D539" s="4" t="s">
        <v>45</v>
      </c>
      <c r="E539" t="s">
        <v>3</v>
      </c>
      <c r="F539" s="70" t="s">
        <v>288</v>
      </c>
      <c r="G539" s="70">
        <v>1</v>
      </c>
      <c r="H539" s="79" t="s">
        <v>275</v>
      </c>
      <c r="I539">
        <v>107</v>
      </c>
      <c r="J539" s="70" t="s">
        <v>289</v>
      </c>
      <c r="K539" s="2">
        <f>(VLOOKUP(H539,'functions and szcl estimates'!$A$14:$I$23,4, FALSE))*(('raw data'!I167)^(VLOOKUP('raw data'!H167,'functions and szcl estimates'!$A$14:$I$23, 7, FALSE)))</f>
        <v>20.669109231964011</v>
      </c>
      <c r="L539" s="12">
        <v>0.46875</v>
      </c>
      <c r="M539" s="12" t="s">
        <v>224</v>
      </c>
      <c r="N539" s="12">
        <f t="shared" si="27"/>
        <v>8.680555555555558E-2</v>
      </c>
      <c r="O539" s="65">
        <v>22</v>
      </c>
      <c r="S539" t="s">
        <v>148</v>
      </c>
    </row>
    <row r="540" spans="1:20" x14ac:dyDescent="0.2">
      <c r="A540" s="18">
        <v>39647</v>
      </c>
      <c r="B540" s="17">
        <v>2012</v>
      </c>
      <c r="C540" s="18" t="str">
        <f t="shared" si="26"/>
        <v>Elkhorn Slough_39647_Area 4_0.4688</v>
      </c>
      <c r="D540" s="4" t="s">
        <v>45</v>
      </c>
      <c r="E540" t="s">
        <v>3</v>
      </c>
      <c r="F540" s="70" t="s">
        <v>288</v>
      </c>
      <c r="G540" s="70">
        <v>1</v>
      </c>
      <c r="H540" s="79" t="s">
        <v>275</v>
      </c>
      <c r="I540">
        <v>122</v>
      </c>
      <c r="J540" s="70" t="s">
        <v>289</v>
      </c>
      <c r="K540" s="2">
        <f>(VLOOKUP(H540,'functions and szcl estimates'!$A$14:$I$23,4, FALSE))*(('raw data'!I168)^(VLOOKUP('raw data'!H168,'functions and szcl estimates'!$A$14:$I$23, 7, FALSE)))</f>
        <v>19.082551278438132</v>
      </c>
      <c r="L540" s="12">
        <v>0.46875</v>
      </c>
      <c r="M540" s="12" t="s">
        <v>224</v>
      </c>
      <c r="N540" s="12">
        <f t="shared" si="27"/>
        <v>8.680555555555558E-2</v>
      </c>
      <c r="O540" s="65">
        <v>22</v>
      </c>
      <c r="S540" t="s">
        <v>148</v>
      </c>
    </row>
    <row r="541" spans="1:20" x14ac:dyDescent="0.2">
      <c r="A541" s="18">
        <v>39647</v>
      </c>
      <c r="B541" s="17">
        <v>2012</v>
      </c>
      <c r="C541" s="18" t="str">
        <f t="shared" si="26"/>
        <v>Elkhorn Slough_39647_Area 4_0.4688</v>
      </c>
      <c r="D541" s="4" t="s">
        <v>45</v>
      </c>
      <c r="E541" t="s">
        <v>3</v>
      </c>
      <c r="F541" s="70" t="s">
        <v>288</v>
      </c>
      <c r="G541" s="70">
        <v>1</v>
      </c>
      <c r="H541" s="79" t="s">
        <v>275</v>
      </c>
      <c r="I541">
        <v>86</v>
      </c>
      <c r="J541" s="70" t="s">
        <v>289</v>
      </c>
      <c r="K541" s="2">
        <f>(VLOOKUP(H541,'functions and szcl estimates'!$A$14:$I$23,4, FALSE))*(('raw data'!I169)^(VLOOKUP('raw data'!H169,'functions and szcl estimates'!$A$14:$I$23, 7, FALSE)))</f>
        <v>19.082551278438132</v>
      </c>
      <c r="L541" s="12">
        <v>0.46875</v>
      </c>
      <c r="M541" s="12" t="s">
        <v>224</v>
      </c>
      <c r="N541" s="12">
        <f t="shared" si="27"/>
        <v>8.680555555555558E-2</v>
      </c>
      <c r="O541" s="65">
        <v>22</v>
      </c>
      <c r="S541" t="s">
        <v>148</v>
      </c>
    </row>
    <row r="542" spans="1:20" x14ac:dyDescent="0.2">
      <c r="A542" s="18">
        <v>39647</v>
      </c>
      <c r="B542" s="17">
        <v>2012</v>
      </c>
      <c r="C542" s="18" t="str">
        <f t="shared" si="26"/>
        <v>Elkhorn Slough_39647_Area 4_0.4688</v>
      </c>
      <c r="D542" s="4" t="s">
        <v>45</v>
      </c>
      <c r="E542" t="s">
        <v>3</v>
      </c>
      <c r="F542" s="70" t="s">
        <v>288</v>
      </c>
      <c r="G542" s="70">
        <v>1</v>
      </c>
      <c r="H542" s="79" t="s">
        <v>275</v>
      </c>
      <c r="I542">
        <v>62</v>
      </c>
      <c r="J542" s="70" t="s">
        <v>289</v>
      </c>
      <c r="K542" s="2">
        <f>(VLOOKUP(H542,'functions and szcl estimates'!$A$14:$I$23,4, FALSE))*(('raw data'!I170)^(VLOOKUP('raw data'!H170,'functions and szcl estimates'!$A$14:$I$23, 7, FALSE)))</f>
        <v>27.704479870457465</v>
      </c>
      <c r="L542" s="12">
        <v>0.46875</v>
      </c>
      <c r="M542" s="12" t="s">
        <v>224</v>
      </c>
      <c r="N542" s="12">
        <f t="shared" si="27"/>
        <v>8.680555555555558E-2</v>
      </c>
      <c r="O542" s="65">
        <v>22</v>
      </c>
      <c r="S542" t="s">
        <v>148</v>
      </c>
    </row>
    <row r="543" spans="1:20" x14ac:dyDescent="0.2">
      <c r="A543" s="18">
        <v>39647</v>
      </c>
      <c r="B543" s="17">
        <v>2012</v>
      </c>
      <c r="C543" s="18" t="str">
        <f t="shared" si="26"/>
        <v>Elkhorn Slough_39647_Area 4_0.4688</v>
      </c>
      <c r="D543" s="4" t="s">
        <v>45</v>
      </c>
      <c r="E543" t="s">
        <v>3</v>
      </c>
      <c r="F543" s="70" t="s">
        <v>288</v>
      </c>
      <c r="G543" s="70">
        <v>1</v>
      </c>
      <c r="H543" s="79" t="s">
        <v>275</v>
      </c>
      <c r="I543">
        <v>68</v>
      </c>
      <c r="J543" s="70" t="s">
        <v>289</v>
      </c>
      <c r="K543" s="2">
        <f>(VLOOKUP(H543,'functions and szcl estimates'!$A$14:$I$23,4, FALSE))*(('raw data'!I171)^(VLOOKUP('raw data'!H171,'functions and szcl estimates'!$A$14:$I$23, 7, FALSE)))</f>
        <v>16.589360753775555</v>
      </c>
      <c r="L543" s="12">
        <v>0.46875</v>
      </c>
      <c r="M543" s="12" t="s">
        <v>224</v>
      </c>
      <c r="N543" s="12">
        <f t="shared" si="27"/>
        <v>8.680555555555558E-2</v>
      </c>
      <c r="O543" s="65">
        <v>22</v>
      </c>
      <c r="S543" t="s">
        <v>148</v>
      </c>
    </row>
    <row r="544" spans="1:20" x14ac:dyDescent="0.2">
      <c r="A544" s="18">
        <v>39647</v>
      </c>
      <c r="B544" s="17">
        <v>2012</v>
      </c>
      <c r="C544" s="18" t="str">
        <f t="shared" si="26"/>
        <v>Elkhorn Slough_39647_Area 4_0.4688</v>
      </c>
      <c r="D544" s="4" t="s">
        <v>45</v>
      </c>
      <c r="E544" t="s">
        <v>3</v>
      </c>
      <c r="F544" s="70" t="s">
        <v>288</v>
      </c>
      <c r="G544" s="70">
        <v>1</v>
      </c>
      <c r="H544" s="79" t="s">
        <v>275</v>
      </c>
      <c r="I544">
        <v>67</v>
      </c>
      <c r="J544" s="70" t="s">
        <v>289</v>
      </c>
      <c r="K544" s="2">
        <f>(VLOOKUP(H544,'functions and szcl estimates'!$A$14:$I$23,4, FALSE))*(('raw data'!I172)^(VLOOKUP('raw data'!H172,'functions and szcl estimates'!$A$14:$I$23, 7, FALSE)))</f>
        <v>19.082551278438132</v>
      </c>
      <c r="L544" s="12">
        <v>0.46875</v>
      </c>
      <c r="M544" s="12" t="s">
        <v>224</v>
      </c>
      <c r="N544" s="12">
        <f t="shared" si="27"/>
        <v>8.680555555555558E-2</v>
      </c>
      <c r="O544" s="65">
        <v>22</v>
      </c>
      <c r="S544" t="s">
        <v>148</v>
      </c>
    </row>
    <row r="545" spans="1:19" x14ac:dyDescent="0.2">
      <c r="A545" s="18">
        <v>39647</v>
      </c>
      <c r="B545" s="17">
        <v>2012</v>
      </c>
      <c r="C545" s="18" t="str">
        <f t="shared" si="26"/>
        <v>Elkhorn Slough_39647_Area 4_0.4688</v>
      </c>
      <c r="D545" s="4" t="s">
        <v>45</v>
      </c>
      <c r="E545" t="s">
        <v>3</v>
      </c>
      <c r="F545" s="70" t="s">
        <v>288</v>
      </c>
      <c r="G545" s="70">
        <v>1</v>
      </c>
      <c r="H545" s="79" t="s">
        <v>275</v>
      </c>
      <c r="I545">
        <v>78</v>
      </c>
      <c r="J545" s="70" t="s">
        <v>289</v>
      </c>
      <c r="K545" s="2">
        <f>(VLOOKUP(H545,'functions and szcl estimates'!$A$14:$I$23,4, FALSE))*(('raw data'!I173)^(VLOOKUP('raw data'!H173,'functions and szcl estimates'!$A$14:$I$23, 7, FALSE)))</f>
        <v>22.891156910845257</v>
      </c>
      <c r="L545" s="12">
        <v>0.46875</v>
      </c>
      <c r="M545" s="12" t="s">
        <v>224</v>
      </c>
      <c r="N545" s="12">
        <f t="shared" si="27"/>
        <v>8.680555555555558E-2</v>
      </c>
      <c r="O545" s="65">
        <v>22</v>
      </c>
      <c r="S545" t="s">
        <v>148</v>
      </c>
    </row>
    <row r="546" spans="1:19" x14ac:dyDescent="0.2">
      <c r="A546" s="18">
        <v>39647</v>
      </c>
      <c r="B546" s="17">
        <v>2012</v>
      </c>
      <c r="C546" s="18" t="str">
        <f t="shared" si="26"/>
        <v>Elkhorn Slough_39647_Area 4_0.4688</v>
      </c>
      <c r="D546" s="4" t="s">
        <v>45</v>
      </c>
      <c r="E546" t="s">
        <v>3</v>
      </c>
      <c r="F546" s="70" t="s">
        <v>288</v>
      </c>
      <c r="G546" s="70">
        <v>1</v>
      </c>
      <c r="H546" s="79" t="s">
        <v>275</v>
      </c>
      <c r="I546">
        <v>70</v>
      </c>
      <c r="J546" s="70" t="s">
        <v>289</v>
      </c>
      <c r="K546" s="2">
        <f>(VLOOKUP(H546,'functions and szcl estimates'!$A$14:$I$23,4, FALSE))*(('raw data'!I174)^(VLOOKUP('raw data'!H174,'functions and szcl estimates'!$A$14:$I$23, 7, FALSE)))</f>
        <v>19.082551278438132</v>
      </c>
      <c r="L546" s="12">
        <v>0.46875</v>
      </c>
      <c r="M546" s="12" t="s">
        <v>224</v>
      </c>
      <c r="N546" s="12">
        <f t="shared" si="27"/>
        <v>8.680555555555558E-2</v>
      </c>
      <c r="O546" s="65">
        <v>22</v>
      </c>
      <c r="S546" t="s">
        <v>148</v>
      </c>
    </row>
    <row r="547" spans="1:19" x14ac:dyDescent="0.2">
      <c r="A547" s="18">
        <v>39647</v>
      </c>
      <c r="B547" s="17">
        <v>2012</v>
      </c>
      <c r="C547" s="18" t="str">
        <f t="shared" si="26"/>
        <v>Elkhorn Slough_39647_Area 4_0.4688</v>
      </c>
      <c r="D547" s="4" t="s">
        <v>45</v>
      </c>
      <c r="E547" t="s">
        <v>3</v>
      </c>
      <c r="F547" s="70" t="s">
        <v>288</v>
      </c>
      <c r="G547" s="70">
        <v>1</v>
      </c>
      <c r="H547" s="79" t="s">
        <v>275</v>
      </c>
      <c r="I547">
        <v>63</v>
      </c>
      <c r="J547" s="70" t="s">
        <v>289</v>
      </c>
      <c r="K547" s="2">
        <f>(VLOOKUP(H547,'functions and szcl estimates'!$A$14:$I$23,4, FALSE))*(('raw data'!I175)^(VLOOKUP('raw data'!H175,'functions and szcl estimates'!$A$14:$I$23, 7, FALSE)))</f>
        <v>12.161948456521849</v>
      </c>
      <c r="L547" s="12">
        <v>0.46875</v>
      </c>
      <c r="M547" s="8" t="s">
        <v>224</v>
      </c>
      <c r="N547" s="8">
        <f t="shared" si="27"/>
        <v>8.680555555555558E-2</v>
      </c>
      <c r="O547" s="14">
        <v>22</v>
      </c>
      <c r="S547" t="s">
        <v>148</v>
      </c>
    </row>
    <row r="548" spans="1:19" x14ac:dyDescent="0.2">
      <c r="A548" s="18">
        <v>39647</v>
      </c>
      <c r="B548" s="17">
        <v>2012</v>
      </c>
      <c r="C548" s="18" t="str">
        <f t="shared" si="26"/>
        <v>Elkhorn Slough_39647_Area 4_0.4688</v>
      </c>
      <c r="D548" s="4" t="s">
        <v>45</v>
      </c>
      <c r="E548" t="s">
        <v>3</v>
      </c>
      <c r="F548" s="70" t="s">
        <v>288</v>
      </c>
      <c r="G548" s="70">
        <v>1</v>
      </c>
      <c r="H548" s="79" t="s">
        <v>275</v>
      </c>
      <c r="I548">
        <v>71</v>
      </c>
      <c r="J548" s="70" t="s">
        <v>289</v>
      </c>
      <c r="K548" s="2">
        <f>(VLOOKUP(H548,'functions and szcl estimates'!$A$14:$I$23,4, FALSE))*(('raw data'!I176)^(VLOOKUP('raw data'!H176,'functions and szcl estimates'!$A$14:$I$23, 7, FALSE)))</f>
        <v>15.183365924403773</v>
      </c>
      <c r="L548" s="12">
        <v>0.46875</v>
      </c>
      <c r="M548" s="12" t="s">
        <v>224</v>
      </c>
      <c r="N548" s="12">
        <f t="shared" si="27"/>
        <v>8.680555555555558E-2</v>
      </c>
      <c r="O548" s="65">
        <v>22</v>
      </c>
      <c r="S548" t="s">
        <v>148</v>
      </c>
    </row>
    <row r="549" spans="1:19" x14ac:dyDescent="0.2">
      <c r="A549" s="18">
        <v>39647</v>
      </c>
      <c r="B549" s="17">
        <v>2012</v>
      </c>
      <c r="C549" s="18" t="str">
        <f t="shared" si="26"/>
        <v>Elkhorn Slough_39647_Area 4_0.4688</v>
      </c>
      <c r="D549" s="4" t="s">
        <v>45</v>
      </c>
      <c r="E549" t="s">
        <v>3</v>
      </c>
      <c r="F549" s="70" t="s">
        <v>288</v>
      </c>
      <c r="G549" s="70">
        <v>1</v>
      </c>
      <c r="H549" s="79" t="s">
        <v>275</v>
      </c>
      <c r="I549">
        <v>72</v>
      </c>
      <c r="J549" s="70" t="s">
        <v>289</v>
      </c>
      <c r="K549" s="2">
        <f>(VLOOKUP(H549,'functions and szcl estimates'!$A$14:$I$23,4, FALSE))*(('raw data'!I177)^(VLOOKUP('raw data'!H177,'functions and szcl estimates'!$A$14:$I$23, 7, FALSE)))</f>
        <v>13.844246346451406</v>
      </c>
      <c r="L549" s="12">
        <v>0.46875</v>
      </c>
      <c r="M549" s="12" t="s">
        <v>224</v>
      </c>
      <c r="N549" s="12">
        <f t="shared" si="27"/>
        <v>8.680555555555558E-2</v>
      </c>
      <c r="O549" s="65">
        <v>22</v>
      </c>
      <c r="S549" t="s">
        <v>148</v>
      </c>
    </row>
    <row r="550" spans="1:19" x14ac:dyDescent="0.2">
      <c r="A550" s="18">
        <v>39647</v>
      </c>
      <c r="B550" s="17">
        <v>2012</v>
      </c>
      <c r="C550" s="18" t="str">
        <f t="shared" si="26"/>
        <v>Elkhorn Slough_39647_Area 4_0.4688</v>
      </c>
      <c r="D550" s="4" t="s">
        <v>45</v>
      </c>
      <c r="E550" t="s">
        <v>3</v>
      </c>
      <c r="F550" s="70" t="s">
        <v>288</v>
      </c>
      <c r="G550" s="70">
        <v>1</v>
      </c>
      <c r="H550" s="79" t="s">
        <v>275</v>
      </c>
      <c r="I550">
        <v>93</v>
      </c>
      <c r="J550" s="70" t="s">
        <v>289</v>
      </c>
      <c r="K550" s="2">
        <f>(VLOOKUP(H550,'functions and szcl estimates'!$A$14:$I$23,4, FALSE))*(('raw data'!I178)^(VLOOKUP('raw data'!H178,'functions and szcl estimates'!$A$14:$I$23, 7, FALSE)))</f>
        <v>16.1132362438514</v>
      </c>
      <c r="L550" s="12">
        <v>0.46875</v>
      </c>
      <c r="M550" s="12" t="s">
        <v>224</v>
      </c>
      <c r="N550" s="12">
        <f t="shared" si="27"/>
        <v>8.680555555555558E-2</v>
      </c>
      <c r="O550" s="65">
        <v>22</v>
      </c>
      <c r="S550" t="s">
        <v>148</v>
      </c>
    </row>
    <row r="551" spans="1:19" x14ac:dyDescent="0.2">
      <c r="A551" s="18">
        <v>39647</v>
      </c>
      <c r="B551" s="17">
        <v>2012</v>
      </c>
      <c r="C551" s="18" t="str">
        <f t="shared" si="26"/>
        <v>Elkhorn Slough_39647_Area 4_0.4688</v>
      </c>
      <c r="D551" s="4" t="s">
        <v>45</v>
      </c>
      <c r="E551" t="s">
        <v>3</v>
      </c>
      <c r="F551" s="70" t="s">
        <v>288</v>
      </c>
      <c r="G551" s="70">
        <v>1</v>
      </c>
      <c r="H551" s="79" t="s">
        <v>275</v>
      </c>
      <c r="I551">
        <v>52</v>
      </c>
      <c r="J551" s="70" t="s">
        <v>289</v>
      </c>
      <c r="K551" s="2">
        <f>(VLOOKUP(H551,'functions and szcl estimates'!$A$14:$I$23,4, FALSE))*(('raw data'!I179)^(VLOOKUP('raw data'!H179,'functions and szcl estimates'!$A$14:$I$23, 7, FALSE)))</f>
        <v>16.589360753775555</v>
      </c>
      <c r="L551" s="12">
        <v>0.46875</v>
      </c>
      <c r="M551" s="12" t="s">
        <v>224</v>
      </c>
      <c r="N551" s="12">
        <f t="shared" si="27"/>
        <v>8.680555555555558E-2</v>
      </c>
      <c r="O551" s="65">
        <v>22</v>
      </c>
      <c r="S551" t="s">
        <v>148</v>
      </c>
    </row>
    <row r="552" spans="1:19" x14ac:dyDescent="0.2">
      <c r="A552" s="18">
        <v>39647</v>
      </c>
      <c r="B552" s="17">
        <v>2012</v>
      </c>
      <c r="C552" s="18" t="str">
        <f t="shared" si="26"/>
        <v>Elkhorn Slough_39647_Area 4_0.4688</v>
      </c>
      <c r="D552" s="4" t="s">
        <v>45</v>
      </c>
      <c r="E552" t="s">
        <v>3</v>
      </c>
      <c r="F552" s="70" t="s">
        <v>288</v>
      </c>
      <c r="G552" s="70">
        <v>1</v>
      </c>
      <c r="H552" s="79" t="s">
        <v>275</v>
      </c>
      <c r="I552">
        <v>100</v>
      </c>
      <c r="J552" s="70" t="s">
        <v>289</v>
      </c>
      <c r="K552" s="2">
        <f>(VLOOKUP(H552,'functions and szcl estimates'!$A$14:$I$23,4, FALSE))*(('raw data'!I180)^(VLOOKUP('raw data'!H180,'functions and szcl estimates'!$A$14:$I$23, 7, FALSE)))</f>
        <v>22.891156910845257</v>
      </c>
      <c r="L552" s="12">
        <v>0.46875</v>
      </c>
      <c r="M552" s="12" t="s">
        <v>224</v>
      </c>
      <c r="N552" s="12">
        <f t="shared" si="27"/>
        <v>8.680555555555558E-2</v>
      </c>
      <c r="O552" s="65">
        <v>22</v>
      </c>
      <c r="S552" t="s">
        <v>148</v>
      </c>
    </row>
    <row r="553" spans="1:19" x14ac:dyDescent="0.2">
      <c r="A553" s="18">
        <v>39647</v>
      </c>
      <c r="B553" s="17">
        <v>2012</v>
      </c>
      <c r="C553" s="18" t="str">
        <f t="shared" si="26"/>
        <v>Elkhorn Slough_39647_Area 4_0.4688</v>
      </c>
      <c r="D553" s="4" t="s">
        <v>45</v>
      </c>
      <c r="E553" t="s">
        <v>3</v>
      </c>
      <c r="F553" s="70" t="s">
        <v>288</v>
      </c>
      <c r="G553" s="70">
        <v>1</v>
      </c>
      <c r="H553" s="79" t="s">
        <v>275</v>
      </c>
      <c r="I553">
        <v>84</v>
      </c>
      <c r="J553" s="70" t="s">
        <v>289</v>
      </c>
      <c r="K553" s="2">
        <f>(VLOOKUP(H553,'functions and szcl estimates'!$A$14:$I$23,4, FALSE))*(('raw data'!I181)^(VLOOKUP('raw data'!H181,'functions and szcl estimates'!$A$14:$I$23, 7, FALSE)))</f>
        <v>12.988416228822258</v>
      </c>
      <c r="L553" s="12">
        <v>0.46875</v>
      </c>
      <c r="M553" s="12" t="s">
        <v>224</v>
      </c>
      <c r="N553" s="12">
        <f t="shared" si="27"/>
        <v>8.680555555555558E-2</v>
      </c>
      <c r="O553" s="65">
        <v>22</v>
      </c>
      <c r="S553" t="s">
        <v>148</v>
      </c>
    </row>
    <row r="554" spans="1:19" x14ac:dyDescent="0.2">
      <c r="A554" s="18">
        <v>39647</v>
      </c>
      <c r="B554" s="17">
        <v>2012</v>
      </c>
      <c r="C554" s="18" t="str">
        <f t="shared" si="26"/>
        <v>Elkhorn Slough_39647_Outfall_0.4063</v>
      </c>
      <c r="D554" s="4" t="s">
        <v>45</v>
      </c>
      <c r="E554" t="s">
        <v>279</v>
      </c>
      <c r="F554" s="70" t="s">
        <v>288</v>
      </c>
      <c r="G554" s="70">
        <v>1</v>
      </c>
      <c r="H554" s="79" t="s">
        <v>275</v>
      </c>
      <c r="I554">
        <v>72</v>
      </c>
      <c r="J554" s="70" t="s">
        <v>289</v>
      </c>
      <c r="K554" s="2">
        <f>(VLOOKUP(H554,'functions and szcl estimates'!$A$14:$I$23,4, FALSE))*(('raw data'!I188)^(VLOOKUP('raw data'!H188,'functions and szcl estimates'!$A$14:$I$23, 7, FALSE)))</f>
        <v>12.571521361466745</v>
      </c>
      <c r="L554" s="12">
        <v>0.40625</v>
      </c>
      <c r="M554" s="8" t="s">
        <v>220</v>
      </c>
      <c r="N554" s="8">
        <f t="shared" si="27"/>
        <v>1.0416666666666685E-2</v>
      </c>
      <c r="O554" s="14">
        <v>23.75</v>
      </c>
      <c r="S554" t="s">
        <v>148</v>
      </c>
    </row>
    <row r="555" spans="1:19" x14ac:dyDescent="0.2">
      <c r="A555" s="18">
        <v>39647</v>
      </c>
      <c r="B555" s="17">
        <v>2012</v>
      </c>
      <c r="C555" s="18" t="str">
        <f t="shared" si="26"/>
        <v>Elkhorn Slough_39647_Outfall_0.4063</v>
      </c>
      <c r="D555" s="4" t="s">
        <v>45</v>
      </c>
      <c r="E555" t="s">
        <v>279</v>
      </c>
      <c r="F555" s="70" t="s">
        <v>288</v>
      </c>
      <c r="G555" s="70">
        <v>1</v>
      </c>
      <c r="H555" s="79" t="s">
        <v>275</v>
      </c>
      <c r="I555">
        <v>83</v>
      </c>
      <c r="J555" s="70" t="s">
        <v>289</v>
      </c>
      <c r="K555" s="2">
        <f>(VLOOKUP(H555,'functions and szcl estimates'!$A$14:$I$23,4, FALSE))*(('raw data'!I189)^(VLOOKUP('raw data'!H189,'functions and szcl estimates'!$A$14:$I$23, 7, FALSE)))</f>
        <v>12.161948456521849</v>
      </c>
      <c r="L555" s="12">
        <v>0.40625</v>
      </c>
      <c r="M555" s="12" t="s">
        <v>220</v>
      </c>
      <c r="N555" s="12">
        <f t="shared" si="27"/>
        <v>1.0416666666666685E-2</v>
      </c>
      <c r="O555" s="65">
        <v>23.75</v>
      </c>
      <c r="S555" t="s">
        <v>148</v>
      </c>
    </row>
    <row r="556" spans="1:19" x14ac:dyDescent="0.2">
      <c r="A556" s="18">
        <v>39647</v>
      </c>
      <c r="B556" s="17">
        <v>2012</v>
      </c>
      <c r="C556" s="18" t="str">
        <f t="shared" si="26"/>
        <v>Elkhorn Slough_39647_Outfall_0.4063</v>
      </c>
      <c r="D556" s="4" t="s">
        <v>45</v>
      </c>
      <c r="E556" t="s">
        <v>279</v>
      </c>
      <c r="F556" s="70" t="s">
        <v>288</v>
      </c>
      <c r="G556" s="70">
        <v>1</v>
      </c>
      <c r="H556" s="79" t="s">
        <v>275</v>
      </c>
      <c r="I556">
        <v>78</v>
      </c>
      <c r="J556" s="70" t="s">
        <v>289</v>
      </c>
      <c r="K556" s="2">
        <f>(VLOOKUP(H556,'functions and szcl estimates'!$A$14:$I$23,4, FALSE))*(('raw data'!I190)^(VLOOKUP('raw data'!H190,'functions and szcl estimates'!$A$14:$I$23, 7, FALSE)))</f>
        <v>12.988416228822258</v>
      </c>
      <c r="L556" s="12">
        <v>0.40625</v>
      </c>
      <c r="M556" s="12" t="s">
        <v>220</v>
      </c>
      <c r="N556" s="12">
        <f t="shared" si="27"/>
        <v>1.0416666666666685E-2</v>
      </c>
      <c r="O556" s="65">
        <v>23.75</v>
      </c>
      <c r="S556" t="s">
        <v>148</v>
      </c>
    </row>
    <row r="557" spans="1:19" x14ac:dyDescent="0.2">
      <c r="A557" s="18">
        <v>39647</v>
      </c>
      <c r="B557" s="17">
        <v>2012</v>
      </c>
      <c r="C557" s="18" t="str">
        <f t="shared" si="26"/>
        <v>Elkhorn Slough_39647_Outfall_0.4063</v>
      </c>
      <c r="D557" s="4" t="s">
        <v>45</v>
      </c>
      <c r="E557" t="s">
        <v>279</v>
      </c>
      <c r="F557" s="70" t="s">
        <v>288</v>
      </c>
      <c r="G557" s="70">
        <v>1</v>
      </c>
      <c r="H557" s="79" t="s">
        <v>275</v>
      </c>
      <c r="I557">
        <v>87</v>
      </c>
      <c r="J557" s="70" t="s">
        <v>289</v>
      </c>
      <c r="K557" s="2">
        <f>(VLOOKUP(H557,'functions and szcl estimates'!$A$14:$I$23,4, FALSE))*(('raw data'!I191)^(VLOOKUP('raw data'!H191,'functions and szcl estimates'!$A$14:$I$23, 7, FALSE)))</f>
        <v>23.465813256695128</v>
      </c>
      <c r="L557" s="12">
        <v>0.40625</v>
      </c>
      <c r="M557" s="12" t="s">
        <v>220</v>
      </c>
      <c r="N557" s="12">
        <f t="shared" si="27"/>
        <v>1.0416666666666685E-2</v>
      </c>
      <c r="O557" s="65">
        <v>23.75</v>
      </c>
      <c r="S557" t="s">
        <v>148</v>
      </c>
    </row>
    <row r="558" spans="1:19" x14ac:dyDescent="0.2">
      <c r="A558" s="18">
        <v>39647</v>
      </c>
      <c r="B558" s="17">
        <v>2012</v>
      </c>
      <c r="C558" s="18" t="str">
        <f t="shared" si="26"/>
        <v>Elkhorn Slough_39647_Outfall_0.4063</v>
      </c>
      <c r="D558" s="4" t="s">
        <v>45</v>
      </c>
      <c r="E558" t="s">
        <v>279</v>
      </c>
      <c r="F558" s="70" t="s">
        <v>288</v>
      </c>
      <c r="G558" s="70">
        <v>1</v>
      </c>
      <c r="H558" s="79" t="s">
        <v>275</v>
      </c>
      <c r="I558">
        <v>87</v>
      </c>
      <c r="J558" s="70" t="s">
        <v>289</v>
      </c>
      <c r="K558" s="2">
        <f>(VLOOKUP(H558,'functions and szcl estimates'!$A$14:$I$23,4, FALSE))*(('raw data'!I192)^(VLOOKUP('raw data'!H192,'functions and szcl estimates'!$A$14:$I$23, 7, FALSE)))</f>
        <v>14.283218275278337</v>
      </c>
      <c r="L558" s="12">
        <v>0.40625</v>
      </c>
      <c r="M558" s="12" t="s">
        <v>220</v>
      </c>
      <c r="N558" s="12">
        <f t="shared" si="27"/>
        <v>1.0416666666666685E-2</v>
      </c>
      <c r="O558" s="65">
        <v>23.75</v>
      </c>
      <c r="S558" t="s">
        <v>148</v>
      </c>
    </row>
    <row r="559" spans="1:19" x14ac:dyDescent="0.2">
      <c r="A559" s="18">
        <v>39647</v>
      </c>
      <c r="B559" s="17">
        <v>2012</v>
      </c>
      <c r="C559" s="18" t="str">
        <f t="shared" si="26"/>
        <v>Elkhorn Slough_39647_Outfall_0.4063</v>
      </c>
      <c r="D559" s="4" t="s">
        <v>45</v>
      </c>
      <c r="E559" t="s">
        <v>279</v>
      </c>
      <c r="F559" s="70" t="s">
        <v>288</v>
      </c>
      <c r="G559" s="70">
        <v>1</v>
      </c>
      <c r="H559" s="79" t="s">
        <v>275</v>
      </c>
      <c r="I559">
        <v>64</v>
      </c>
      <c r="J559" s="70" t="s">
        <v>289</v>
      </c>
      <c r="K559" s="2">
        <f>(VLOOKUP(H559,'functions and szcl estimates'!$A$14:$I$23,4, FALSE))*(('raw data'!I193)^(VLOOKUP('raw data'!H193,'functions and szcl estimates'!$A$14:$I$23, 7, FALSE)))</f>
        <v>15.183365924403773</v>
      </c>
      <c r="L559" s="12">
        <v>0.40625</v>
      </c>
      <c r="M559" s="12" t="s">
        <v>220</v>
      </c>
      <c r="N559" s="12">
        <f t="shared" si="27"/>
        <v>1.0416666666666685E-2</v>
      </c>
      <c r="O559" s="65">
        <v>23.75</v>
      </c>
      <c r="S559" t="s">
        <v>148</v>
      </c>
    </row>
    <row r="560" spans="1:19" x14ac:dyDescent="0.2">
      <c r="A560" s="18">
        <v>39647</v>
      </c>
      <c r="B560" s="17">
        <v>2012</v>
      </c>
      <c r="C560" s="18" t="str">
        <f t="shared" si="26"/>
        <v>Elkhorn Slough_39647_Outfall_0.4063</v>
      </c>
      <c r="D560" s="4" t="s">
        <v>45</v>
      </c>
      <c r="E560" t="s">
        <v>279</v>
      </c>
      <c r="F560" s="70" t="s">
        <v>288</v>
      </c>
      <c r="G560" s="70">
        <v>1</v>
      </c>
      <c r="H560" s="79" t="s">
        <v>275</v>
      </c>
      <c r="I560">
        <v>76</v>
      </c>
      <c r="J560" s="70" t="s">
        <v>289</v>
      </c>
      <c r="K560" s="2">
        <f>(VLOOKUP(H560,'functions and szcl estimates'!$A$14:$I$23,4, FALSE))*(('raw data'!I194)^(VLOOKUP('raw data'!H194,'functions and szcl estimates'!$A$14:$I$23, 7, FALSE)))</f>
        <v>14.283218275278337</v>
      </c>
      <c r="L560" s="12">
        <v>0.40625</v>
      </c>
      <c r="M560" s="12" t="s">
        <v>220</v>
      </c>
      <c r="N560" s="12">
        <f t="shared" si="27"/>
        <v>1.0416666666666685E-2</v>
      </c>
      <c r="O560" s="65">
        <v>23.75</v>
      </c>
      <c r="S560" t="s">
        <v>148</v>
      </c>
    </row>
    <row r="561" spans="1:20" x14ac:dyDescent="0.2">
      <c r="A561" s="18">
        <v>39647</v>
      </c>
      <c r="B561" s="17">
        <v>2012</v>
      </c>
      <c r="C561" s="18" t="str">
        <f t="shared" si="26"/>
        <v>Elkhorn Slough_39647_Outfall_0.4063</v>
      </c>
      <c r="D561" s="4" t="s">
        <v>45</v>
      </c>
      <c r="E561" t="s">
        <v>279</v>
      </c>
      <c r="F561" s="70" t="s">
        <v>288</v>
      </c>
      <c r="G561" s="70">
        <v>1</v>
      </c>
      <c r="H561" s="79" t="s">
        <v>275</v>
      </c>
      <c r="I561">
        <v>92</v>
      </c>
      <c r="J561" s="70" t="s">
        <v>289</v>
      </c>
      <c r="K561" s="2">
        <f>(VLOOKUP(H561,'functions and szcl estimates'!$A$14:$I$23,4, FALSE))*(('raw data'!I195)^(VLOOKUP('raw data'!H195,'functions and szcl estimates'!$A$14:$I$23, 7, FALSE)))</f>
        <v>19.603818158297113</v>
      </c>
      <c r="L561" s="12">
        <v>0.40625</v>
      </c>
      <c r="M561" s="12" t="s">
        <v>220</v>
      </c>
      <c r="N561" s="12">
        <f t="shared" si="27"/>
        <v>1.0416666666666685E-2</v>
      </c>
      <c r="O561" s="65">
        <v>23.75</v>
      </c>
      <c r="S561" t="s">
        <v>148</v>
      </c>
    </row>
    <row r="562" spans="1:20" x14ac:dyDescent="0.2">
      <c r="A562" s="18">
        <v>39647</v>
      </c>
      <c r="B562" s="17">
        <v>2012</v>
      </c>
      <c r="C562" s="18" t="str">
        <f t="shared" si="26"/>
        <v>Elkhorn Slough_39647_Outfall_0.4063</v>
      </c>
      <c r="D562" s="4" t="s">
        <v>45</v>
      </c>
      <c r="E562" t="s">
        <v>279</v>
      </c>
      <c r="F562" s="70" t="s">
        <v>288</v>
      </c>
      <c r="G562" s="70">
        <v>1</v>
      </c>
      <c r="H562" s="79" t="s">
        <v>275</v>
      </c>
      <c r="I562">
        <v>80</v>
      </c>
      <c r="J562" s="70" t="s">
        <v>289</v>
      </c>
      <c r="K562" s="2">
        <f>(VLOOKUP(H562,'functions and szcl estimates'!$A$14:$I$23,4, FALSE))*(('raw data'!I196)^(VLOOKUP('raw data'!H196,'functions and szcl estimates'!$A$14:$I$23, 7, FALSE)))</f>
        <v>20.669109231964011</v>
      </c>
      <c r="L562" s="12">
        <v>0.40625</v>
      </c>
      <c r="M562" s="12" t="s">
        <v>220</v>
      </c>
      <c r="N562" s="12">
        <f t="shared" si="27"/>
        <v>1.0416666666666685E-2</v>
      </c>
      <c r="O562" s="65">
        <v>23.75</v>
      </c>
      <c r="S562" t="s">
        <v>148</v>
      </c>
    </row>
    <row r="563" spans="1:20" x14ac:dyDescent="0.2">
      <c r="A563" s="18">
        <v>39648</v>
      </c>
      <c r="B563" s="17">
        <v>2012</v>
      </c>
      <c r="C563" s="18" t="str">
        <f t="shared" si="26"/>
        <v>Elkhorn Slough_39648_Area 4_0.3819</v>
      </c>
      <c r="D563" s="4" t="s">
        <v>45</v>
      </c>
      <c r="E563" t="s">
        <v>3</v>
      </c>
      <c r="F563" s="70" t="s">
        <v>288</v>
      </c>
      <c r="G563" s="70">
        <v>1</v>
      </c>
      <c r="H563" s="79" t="s">
        <v>275</v>
      </c>
      <c r="I563">
        <v>49</v>
      </c>
      <c r="J563" s="70" t="s">
        <v>289</v>
      </c>
      <c r="K563" s="2">
        <f>(VLOOKUP(H563,'functions and szcl estimates'!$A$14:$I$23,4, FALSE))*(('raw data'!I200)^(VLOOKUP('raw data'!H200,'functions and szcl estimates'!$A$14:$I$23, 7, FALSE)))</f>
        <v>17.072967560250436</v>
      </c>
      <c r="L563" s="12">
        <v>0.38194444444444442</v>
      </c>
      <c r="M563" s="12" t="s">
        <v>60</v>
      </c>
      <c r="N563" s="12">
        <f t="shared" si="27"/>
        <v>-0.25347222222222221</v>
      </c>
      <c r="O563" s="65">
        <v>30</v>
      </c>
      <c r="P563">
        <f>COUNT(O563:O573)</f>
        <v>11</v>
      </c>
      <c r="Q563" s="65">
        <f>SUM(K563:K573)</f>
        <v>190.47985166972688</v>
      </c>
      <c r="R563" s="15">
        <f>P563/O563</f>
        <v>0.36666666666666664</v>
      </c>
      <c r="S563" t="s">
        <v>148</v>
      </c>
    </row>
    <row r="564" spans="1:20" x14ac:dyDescent="0.2">
      <c r="A564" s="18">
        <v>39648</v>
      </c>
      <c r="B564" s="17">
        <v>2012</v>
      </c>
      <c r="C564" s="18" t="str">
        <f t="shared" si="26"/>
        <v>Elkhorn Slough_39648_Area 4_0.3819</v>
      </c>
      <c r="D564" s="4" t="s">
        <v>45</v>
      </c>
      <c r="E564" t="s">
        <v>3</v>
      </c>
      <c r="F564" s="70" t="s">
        <v>288</v>
      </c>
      <c r="G564" s="70">
        <v>1</v>
      </c>
      <c r="H564" s="79" t="s">
        <v>275</v>
      </c>
      <c r="I564">
        <v>52</v>
      </c>
      <c r="J564" s="70" t="s">
        <v>289</v>
      </c>
      <c r="K564" s="2">
        <f>(VLOOKUP(H564,'functions and szcl estimates'!$A$14:$I$23,4, FALSE))*(('raw data'!I201)^(VLOOKUP('raw data'!H201,'functions and szcl estimates'!$A$14:$I$23, 7, FALSE)))</f>
        <v>13.412651740054924</v>
      </c>
      <c r="L564" s="12">
        <v>0.38194444444444442</v>
      </c>
      <c r="M564" s="12" t="s">
        <v>60</v>
      </c>
      <c r="N564" s="12">
        <f t="shared" si="27"/>
        <v>-0.25347222222222221</v>
      </c>
      <c r="O564" s="65">
        <v>30</v>
      </c>
      <c r="S564" t="s">
        <v>148</v>
      </c>
    </row>
    <row r="565" spans="1:20" x14ac:dyDescent="0.2">
      <c r="A565" s="18">
        <v>39648</v>
      </c>
      <c r="B565" s="17">
        <v>2012</v>
      </c>
      <c r="C565" s="18" t="str">
        <f t="shared" si="26"/>
        <v>Elkhorn Slough_39648_Area 4_0.3819</v>
      </c>
      <c r="D565" s="4" t="s">
        <v>45</v>
      </c>
      <c r="E565" t="s">
        <v>3</v>
      </c>
      <c r="F565" s="70" t="s">
        <v>288</v>
      </c>
      <c r="G565" s="70">
        <v>1</v>
      </c>
      <c r="H565" s="79" t="s">
        <v>275</v>
      </c>
      <c r="I565">
        <v>55</v>
      </c>
      <c r="J565" s="70" t="s">
        <v>289</v>
      </c>
      <c r="K565" s="2">
        <f>(VLOOKUP(H565,'functions and szcl estimates'!$A$14:$I$23,4, FALSE))*(('raw data'!I202)^(VLOOKUP('raw data'!H202,'functions and szcl estimates'!$A$14:$I$23, 7, FALSE)))</f>
        <v>16.589360753775555</v>
      </c>
      <c r="L565" s="12">
        <v>0.38194444444444398</v>
      </c>
      <c r="M565" s="12" t="s">
        <v>60</v>
      </c>
      <c r="N565" s="12">
        <f t="shared" si="27"/>
        <v>-0.25347222222222265</v>
      </c>
      <c r="O565" s="65">
        <v>30</v>
      </c>
      <c r="S565" t="s">
        <v>148</v>
      </c>
    </row>
    <row r="566" spans="1:20" x14ac:dyDescent="0.2">
      <c r="A566" s="18">
        <v>39648</v>
      </c>
      <c r="B566" s="17">
        <v>2012</v>
      </c>
      <c r="C566" s="18" t="str">
        <f t="shared" si="26"/>
        <v>Elkhorn Slough_39648_Area 4_0.3819</v>
      </c>
      <c r="D566" s="4" t="s">
        <v>45</v>
      </c>
      <c r="E566" t="s">
        <v>3</v>
      </c>
      <c r="F566" s="70" t="s">
        <v>288</v>
      </c>
      <c r="G566" s="70">
        <v>1</v>
      </c>
      <c r="H566" s="79" t="s">
        <v>275</v>
      </c>
      <c r="I566">
        <v>63</v>
      </c>
      <c r="J566" s="70" t="s">
        <v>289</v>
      </c>
      <c r="K566" s="2">
        <f>(VLOOKUP(H566,'functions and szcl estimates'!$A$14:$I$23,4, FALSE))*(('raw data'!I203)^(VLOOKUP('raw data'!H203,'functions and szcl estimates'!$A$14:$I$23, 7, FALSE)))</f>
        <v>16.589360753775555</v>
      </c>
      <c r="L566" s="12">
        <v>0.38194444444444398</v>
      </c>
      <c r="M566" s="12" t="s">
        <v>60</v>
      </c>
      <c r="N566" s="12">
        <f t="shared" si="27"/>
        <v>-0.25347222222222265</v>
      </c>
      <c r="O566" s="65">
        <v>30</v>
      </c>
      <c r="S566" t="s">
        <v>148</v>
      </c>
    </row>
    <row r="567" spans="1:20" x14ac:dyDescent="0.2">
      <c r="A567" s="18">
        <v>39648</v>
      </c>
      <c r="B567" s="17">
        <v>2012</v>
      </c>
      <c r="C567" s="18" t="str">
        <f t="shared" si="26"/>
        <v>Elkhorn Slough_39648_Area 4_0.3819</v>
      </c>
      <c r="D567" s="4" t="s">
        <v>45</v>
      </c>
      <c r="E567" t="s">
        <v>3</v>
      </c>
      <c r="F567" s="70" t="s">
        <v>288</v>
      </c>
      <c r="G567" s="70">
        <v>1</v>
      </c>
      <c r="H567" s="79" t="s">
        <v>275</v>
      </c>
      <c r="I567">
        <v>65</v>
      </c>
      <c r="J567" s="70" t="s">
        <v>289</v>
      </c>
      <c r="K567" s="2">
        <f>(VLOOKUP(H567,'functions and szcl estimates'!$A$14:$I$23,4, FALSE))*(('raw data'!I204)^(VLOOKUP('raw data'!H204,'functions and szcl estimates'!$A$14:$I$23, 7, FALSE)))</f>
        <v>17.072967560250436</v>
      </c>
      <c r="L567" s="12">
        <v>0.38194444444444398</v>
      </c>
      <c r="M567" s="12" t="s">
        <v>60</v>
      </c>
      <c r="N567" s="12">
        <f t="shared" ref="N567:N598" si="28">L567-M567</f>
        <v>-0.25347222222222265</v>
      </c>
      <c r="O567" s="65">
        <v>30</v>
      </c>
      <c r="S567" t="s">
        <v>148</v>
      </c>
    </row>
    <row r="568" spans="1:20" x14ac:dyDescent="0.2">
      <c r="A568" s="18">
        <v>39648</v>
      </c>
      <c r="B568" s="17">
        <v>2012</v>
      </c>
      <c r="C568" s="18" t="str">
        <f t="shared" si="26"/>
        <v>Elkhorn Slough_39648_Area 4_0.3819</v>
      </c>
      <c r="D568" s="4" t="s">
        <v>45</v>
      </c>
      <c r="E568" t="s">
        <v>3</v>
      </c>
      <c r="F568" s="70" t="s">
        <v>288</v>
      </c>
      <c r="G568" s="70">
        <v>1</v>
      </c>
      <c r="H568" s="79" t="s">
        <v>275</v>
      </c>
      <c r="I568">
        <v>69</v>
      </c>
      <c r="J568" s="70" t="s">
        <v>289</v>
      </c>
      <c r="K568" s="2">
        <f>(VLOOKUP(H568,'functions and szcl estimates'!$A$14:$I$23,4, FALSE))*(('raw data'!I205)^(VLOOKUP('raw data'!H205,'functions and szcl estimates'!$A$14:$I$23, 7, FALSE)))</f>
        <v>19.082551278438132</v>
      </c>
      <c r="L568" s="12">
        <v>0.38194444444444398</v>
      </c>
      <c r="M568" s="12" t="s">
        <v>60</v>
      </c>
      <c r="N568" s="12">
        <f t="shared" si="28"/>
        <v>-0.25347222222222265</v>
      </c>
      <c r="O568" s="65">
        <v>30</v>
      </c>
      <c r="S568" t="s">
        <v>148</v>
      </c>
    </row>
    <row r="569" spans="1:20" x14ac:dyDescent="0.2">
      <c r="A569" s="18">
        <v>39648</v>
      </c>
      <c r="B569" s="17">
        <v>2012</v>
      </c>
      <c r="C569" s="18" t="str">
        <f t="shared" si="26"/>
        <v>Elkhorn Slough_39648_Area 4_0.3819</v>
      </c>
      <c r="D569" s="4" t="s">
        <v>45</v>
      </c>
      <c r="E569" t="s">
        <v>3</v>
      </c>
      <c r="F569" s="70" t="s">
        <v>288</v>
      </c>
      <c r="G569" s="70">
        <v>1</v>
      </c>
      <c r="H569" s="79" t="s">
        <v>275</v>
      </c>
      <c r="I569">
        <v>73</v>
      </c>
      <c r="J569" s="70" t="s">
        <v>289</v>
      </c>
      <c r="K569" s="2">
        <f>(VLOOKUP(H569,'functions and szcl estimates'!$A$14:$I$23,4, FALSE))*(('raw data'!I206)^(VLOOKUP('raw data'!H206,'functions and szcl estimates'!$A$14:$I$23, 7, FALSE)))</f>
        <v>18.515669599540516</v>
      </c>
      <c r="L569" s="12">
        <v>0.38194444444444398</v>
      </c>
      <c r="M569" s="12" t="s">
        <v>60</v>
      </c>
      <c r="N569" s="12">
        <f t="shared" si="28"/>
        <v>-0.25347222222222265</v>
      </c>
      <c r="O569" s="65">
        <v>30</v>
      </c>
      <c r="S569" t="s">
        <v>148</v>
      </c>
    </row>
    <row r="570" spans="1:20" x14ac:dyDescent="0.2">
      <c r="A570" s="18">
        <v>39648</v>
      </c>
      <c r="B570" s="17">
        <v>2012</v>
      </c>
      <c r="C570" s="18" t="str">
        <f t="shared" si="26"/>
        <v>Elkhorn Slough_39648_Area 4_0.3819</v>
      </c>
      <c r="D570" s="4" t="s">
        <v>45</v>
      </c>
      <c r="E570" t="s">
        <v>3</v>
      </c>
      <c r="F570" s="70" t="s">
        <v>288</v>
      </c>
      <c r="G570" s="70">
        <v>1</v>
      </c>
      <c r="H570" s="79" t="s">
        <v>275</v>
      </c>
      <c r="I570">
        <v>84</v>
      </c>
      <c r="J570" s="70" t="s">
        <v>289</v>
      </c>
      <c r="K570" s="2">
        <f>(VLOOKUP(H570,'functions and szcl estimates'!$A$14:$I$23,4, FALSE))*(('raw data'!I207)^(VLOOKUP('raw data'!H207,'functions and szcl estimates'!$A$14:$I$23, 7, FALSE)))</f>
        <v>19.616694641138171</v>
      </c>
      <c r="L570" s="12">
        <v>0.38194444444444398</v>
      </c>
      <c r="M570" s="12" t="s">
        <v>60</v>
      </c>
      <c r="N570" s="12">
        <f t="shared" si="28"/>
        <v>-0.25347222222222265</v>
      </c>
      <c r="O570" s="65">
        <v>30</v>
      </c>
      <c r="S570" t="s">
        <v>148</v>
      </c>
    </row>
    <row r="571" spans="1:20" x14ac:dyDescent="0.2">
      <c r="A571" s="18">
        <v>39648</v>
      </c>
      <c r="B571" s="17">
        <v>2012</v>
      </c>
      <c r="C571" s="18" t="str">
        <f t="shared" si="26"/>
        <v>Elkhorn Slough_39648_Area 4_0.3819</v>
      </c>
      <c r="D571" s="4" t="s">
        <v>45</v>
      </c>
      <c r="E571" t="s">
        <v>3</v>
      </c>
      <c r="F571" s="70" t="s">
        <v>288</v>
      </c>
      <c r="G571" s="70">
        <v>1</v>
      </c>
      <c r="H571" s="79" t="s">
        <v>275</v>
      </c>
      <c r="I571">
        <v>91</v>
      </c>
      <c r="J571" s="70" t="s">
        <v>289</v>
      </c>
      <c r="K571" s="2">
        <f>(VLOOKUP(H571,'functions and szcl estimates'!$A$14:$I$23,4, FALSE))*(('raw data'!I208)^(VLOOKUP('raw data'!H208,'functions and szcl estimates'!$A$14:$I$23, 7, FALSE)))</f>
        <v>19.616694641138171</v>
      </c>
      <c r="L571" s="12">
        <v>0.38194444444444398</v>
      </c>
      <c r="M571" s="12" t="s">
        <v>60</v>
      </c>
      <c r="N571" s="12">
        <f t="shared" si="28"/>
        <v>-0.25347222222222265</v>
      </c>
      <c r="O571" s="65">
        <v>30</v>
      </c>
      <c r="S571" t="s">
        <v>148</v>
      </c>
    </row>
    <row r="572" spans="1:20" x14ac:dyDescent="0.2">
      <c r="A572" s="18">
        <v>39648</v>
      </c>
      <c r="B572" s="17">
        <v>2012</v>
      </c>
      <c r="C572" s="18" t="str">
        <f t="shared" si="26"/>
        <v>Elkhorn Slough_39648_Area 4_0.3819</v>
      </c>
      <c r="D572" s="4" t="s">
        <v>45</v>
      </c>
      <c r="E572" t="s">
        <v>3</v>
      </c>
      <c r="F572" s="70" t="s">
        <v>288</v>
      </c>
      <c r="G572" s="70">
        <v>1</v>
      </c>
      <c r="H572" s="79" t="s">
        <v>275</v>
      </c>
      <c r="I572">
        <v>92</v>
      </c>
      <c r="J572" s="70" t="s">
        <v>289</v>
      </c>
      <c r="K572" s="2">
        <f>(VLOOKUP(H572,'functions and szcl estimates'!$A$14:$I$23,4, FALSE))*(('raw data'!I209)^(VLOOKUP('raw data'!H209,'functions and szcl estimates'!$A$14:$I$23, 7, FALSE)))</f>
        <v>17.978117578595537</v>
      </c>
      <c r="L572" s="12">
        <v>0.38194444444444398</v>
      </c>
      <c r="M572" s="12" t="s">
        <v>60</v>
      </c>
      <c r="N572" s="12">
        <f t="shared" si="28"/>
        <v>-0.25347222222222265</v>
      </c>
      <c r="O572" s="65">
        <v>30</v>
      </c>
      <c r="S572" t="s">
        <v>148</v>
      </c>
    </row>
    <row r="573" spans="1:20" x14ac:dyDescent="0.2">
      <c r="A573" s="18">
        <v>39648</v>
      </c>
      <c r="B573" s="17">
        <v>2012</v>
      </c>
      <c r="C573" s="18" t="str">
        <f t="shared" si="26"/>
        <v>Elkhorn Slough_39648_Area 4_0.3819</v>
      </c>
      <c r="D573" s="4" t="s">
        <v>45</v>
      </c>
      <c r="E573" t="s">
        <v>3</v>
      </c>
      <c r="F573" s="70" t="s">
        <v>288</v>
      </c>
      <c r="G573" s="70">
        <v>1</v>
      </c>
      <c r="H573" s="79" t="s">
        <v>275</v>
      </c>
      <c r="I573">
        <v>105</v>
      </c>
      <c r="J573" s="70" t="s">
        <v>289</v>
      </c>
      <c r="K573" s="2">
        <f>(VLOOKUP(H573,'functions and szcl estimates'!$A$14:$I$23,4, FALSE))*(('raw data'!I210)^(VLOOKUP('raw data'!H210,'functions and szcl estimates'!$A$14:$I$23, 7, FALSE)))</f>
        <v>14.932815562769452</v>
      </c>
      <c r="L573" s="12">
        <v>0.38194444444444398</v>
      </c>
      <c r="M573" s="12" t="s">
        <v>60</v>
      </c>
      <c r="N573" s="12">
        <f t="shared" si="28"/>
        <v>-0.25347222222222265</v>
      </c>
      <c r="O573" s="65">
        <v>30</v>
      </c>
      <c r="S573" t="s">
        <v>148</v>
      </c>
    </row>
    <row r="574" spans="1:20" x14ac:dyDescent="0.2">
      <c r="A574" s="18">
        <v>39648</v>
      </c>
      <c r="B574" s="17">
        <v>2012</v>
      </c>
      <c r="C574" s="18" t="str">
        <f t="shared" si="26"/>
        <v>Elkhorn Slough_39648_Outfall_0.3958</v>
      </c>
      <c r="D574" s="4" t="s">
        <v>45</v>
      </c>
      <c r="E574" t="s">
        <v>279</v>
      </c>
      <c r="F574" s="70" t="s">
        <v>288</v>
      </c>
      <c r="G574" s="70">
        <v>1</v>
      </c>
      <c r="H574" s="79" t="s">
        <v>275</v>
      </c>
      <c r="I574">
        <v>82</v>
      </c>
      <c r="J574" s="70" t="s">
        <v>289</v>
      </c>
      <c r="K574" s="2">
        <f>(VLOOKUP(H574,'functions and szcl estimates'!$A$14:$I$23,4, FALSE))*(('raw data'!I212)^(VLOOKUP('raw data'!H212,'functions and szcl estimates'!$A$14:$I$23, 7, FALSE)))</f>
        <v>17.978117578595537</v>
      </c>
      <c r="L574" s="12">
        <v>0.39583333333333331</v>
      </c>
      <c r="M574" s="12" t="s">
        <v>61</v>
      </c>
      <c r="N574" s="12">
        <f t="shared" si="28"/>
        <v>-0.2326388888888889</v>
      </c>
      <c r="O574" s="65">
        <v>29.5</v>
      </c>
      <c r="S574" t="s">
        <v>148</v>
      </c>
    </row>
    <row r="575" spans="1:20" x14ac:dyDescent="0.2">
      <c r="A575" s="18">
        <v>39648</v>
      </c>
      <c r="B575" s="17">
        <v>2012</v>
      </c>
      <c r="C575" s="18" t="str">
        <f t="shared" si="26"/>
        <v>Elkhorn Slough_39648_Outfall_0.3958</v>
      </c>
      <c r="D575" s="4" t="s">
        <v>45</v>
      </c>
      <c r="E575" t="s">
        <v>279</v>
      </c>
      <c r="F575" s="70" t="s">
        <v>288</v>
      </c>
      <c r="G575" s="70">
        <v>1</v>
      </c>
      <c r="H575" s="79" t="s">
        <v>275</v>
      </c>
      <c r="I575">
        <v>85</v>
      </c>
      <c r="J575" s="70" t="s">
        <v>289</v>
      </c>
      <c r="K575" s="2">
        <f>(VLOOKUP(H575,'functions and szcl estimates'!$A$14:$I$23,4, FALSE))*(('raw data'!I213)^(VLOOKUP('raw data'!H213,'functions and szcl estimates'!$A$14:$I$23, 7, FALSE)))</f>
        <v>6.0340077020474912</v>
      </c>
      <c r="L575" s="12">
        <v>0.39583333333333331</v>
      </c>
      <c r="M575" s="12" t="s">
        <v>61</v>
      </c>
      <c r="N575" s="12">
        <f t="shared" si="28"/>
        <v>-0.2326388888888889</v>
      </c>
      <c r="O575" s="14">
        <v>29.5</v>
      </c>
      <c r="S575" t="s">
        <v>148</v>
      </c>
    </row>
    <row r="576" spans="1:20" x14ac:dyDescent="0.2">
      <c r="A576" s="18">
        <v>39648</v>
      </c>
      <c r="B576" s="17">
        <v>2012</v>
      </c>
      <c r="C576" s="18" t="str">
        <f t="shared" si="26"/>
        <v>Elkhorn Slough_39648_Seal Bend_0.5278</v>
      </c>
      <c r="D576" s="4" t="s">
        <v>45</v>
      </c>
      <c r="E576" t="s">
        <v>157</v>
      </c>
      <c r="F576" s="70" t="s">
        <v>288</v>
      </c>
      <c r="G576" s="70">
        <v>1</v>
      </c>
      <c r="H576" s="79" t="s">
        <v>275</v>
      </c>
      <c r="I576">
        <v>42</v>
      </c>
      <c r="J576" s="70" t="s">
        <v>289</v>
      </c>
      <c r="K576" s="2">
        <f>(VLOOKUP(H576,'functions and szcl estimates'!$A$14:$I$23,4, FALSE))*(('raw data'!I215)^(VLOOKUP('raw data'!H215,'functions and szcl estimates'!$A$14:$I$23, 7, FALSE)))</f>
        <v>0.80755365275041457</v>
      </c>
      <c r="L576" s="12">
        <v>0.52777777777777779</v>
      </c>
      <c r="M576" s="12" t="s">
        <v>63</v>
      </c>
      <c r="N576" s="12">
        <f t="shared" si="28"/>
        <v>-0.13194444444444442</v>
      </c>
      <c r="O576" s="14">
        <v>27.25</v>
      </c>
      <c r="P576">
        <v>1</v>
      </c>
      <c r="Q576" s="65">
        <f>K576</f>
        <v>0.80755365275041457</v>
      </c>
      <c r="R576" s="15">
        <f>P576/O576</f>
        <v>3.669724770642202E-2</v>
      </c>
      <c r="S576" t="s">
        <v>148</v>
      </c>
      <c r="T576" t="s">
        <v>9</v>
      </c>
    </row>
    <row r="577" spans="1:20" x14ac:dyDescent="0.2">
      <c r="A577" s="18">
        <v>39649</v>
      </c>
      <c r="B577" s="17">
        <v>2012</v>
      </c>
      <c r="C577" s="18" t="str">
        <f t="shared" si="26"/>
        <v>Elkhorn Slough_39649_Area 4_0.6354</v>
      </c>
      <c r="D577" s="4" t="s">
        <v>45</v>
      </c>
      <c r="E577" t="s">
        <v>3</v>
      </c>
      <c r="F577" s="70" t="s">
        <v>288</v>
      </c>
      <c r="G577" s="70">
        <v>1</v>
      </c>
      <c r="H577" s="79" t="s">
        <v>275</v>
      </c>
      <c r="I577">
        <v>47</v>
      </c>
      <c r="J577" s="70" t="s">
        <v>289</v>
      </c>
      <c r="K577" s="2">
        <f>(VLOOKUP(H577,'functions and szcl estimates'!$A$14:$I$23,4, FALSE))*(('raw data'!I221)^(VLOOKUP('raw data'!H221,'functions and szcl estimates'!$A$14:$I$23, 7, FALSE)))</f>
        <v>8.2875242745713358</v>
      </c>
      <c r="L577" s="12">
        <v>0.63541666666666696</v>
      </c>
      <c r="M577" s="12" t="s">
        <v>126</v>
      </c>
      <c r="N577" s="12">
        <f t="shared" si="28"/>
        <v>-6.9444444444444198E-2</v>
      </c>
      <c r="O577" s="14">
        <v>25.75</v>
      </c>
      <c r="S577" t="s">
        <v>148</v>
      </c>
    </row>
    <row r="578" spans="1:20" x14ac:dyDescent="0.2">
      <c r="A578" s="18">
        <v>39649</v>
      </c>
      <c r="B578" s="17">
        <v>2012</v>
      </c>
      <c r="C578" s="18" t="str">
        <f t="shared" si="26"/>
        <v>Elkhorn Slough_39649_Outfall_0.3958</v>
      </c>
      <c r="D578" s="4" t="s">
        <v>45</v>
      </c>
      <c r="E578" t="s">
        <v>279</v>
      </c>
      <c r="F578" s="70" t="s">
        <v>288</v>
      </c>
      <c r="G578" s="70">
        <v>1</v>
      </c>
      <c r="H578" s="79" t="s">
        <v>275</v>
      </c>
      <c r="I578">
        <v>59</v>
      </c>
      <c r="J578" s="70" t="s">
        <v>289</v>
      </c>
      <c r="K578" s="2">
        <f>(VLOOKUP(H578,'functions and szcl estimates'!$A$14:$I$23,4, FALSE))*(('raw data'!I224)^(VLOOKUP('raw data'!H224,'functions and szcl estimates'!$A$14:$I$23, 7, FALSE)))</f>
        <v>9.0032637121841432</v>
      </c>
      <c r="L578" s="12">
        <v>0.39583333333333331</v>
      </c>
      <c r="M578" s="12" t="s">
        <v>127</v>
      </c>
      <c r="N578" s="12">
        <f t="shared" si="28"/>
        <v>-0.31944444444444448</v>
      </c>
      <c r="O578" s="14">
        <v>31.75</v>
      </c>
      <c r="S578" t="s">
        <v>148</v>
      </c>
    </row>
    <row r="579" spans="1:20" x14ac:dyDescent="0.2">
      <c r="A579" s="18">
        <v>39649</v>
      </c>
      <c r="B579" s="17">
        <v>2012</v>
      </c>
      <c r="C579" s="18" t="str">
        <f t="shared" ref="C579:C642" si="29">CONCATENATE(D579,"_",A579,"_",E579,"_",ROUND(L579,4))</f>
        <v>Elkhorn Slough_39649_Outfall_0.3958</v>
      </c>
      <c r="D579" s="4" t="s">
        <v>45</v>
      </c>
      <c r="E579" t="s">
        <v>279</v>
      </c>
      <c r="F579" s="70" t="s">
        <v>288</v>
      </c>
      <c r="G579" s="70">
        <v>1</v>
      </c>
      <c r="H579" s="79" t="s">
        <v>275</v>
      </c>
      <c r="I579">
        <v>76</v>
      </c>
      <c r="J579" s="70" t="s">
        <v>289</v>
      </c>
      <c r="K579" s="2">
        <f>(VLOOKUP(H579,'functions and szcl estimates'!$A$14:$I$23,4, FALSE))*(('raw data'!I225)^(VLOOKUP('raw data'!H225,'functions and szcl estimates'!$A$14:$I$23, 7, FALSE)))</f>
        <v>10.93481894606589</v>
      </c>
      <c r="L579" s="12">
        <v>0.39583333333333331</v>
      </c>
      <c r="M579" s="12" t="s">
        <v>127</v>
      </c>
      <c r="N579" s="12">
        <f t="shared" si="28"/>
        <v>-0.31944444444444448</v>
      </c>
      <c r="O579" s="14">
        <v>31.75</v>
      </c>
      <c r="S579" t="s">
        <v>148</v>
      </c>
    </row>
    <row r="580" spans="1:20" x14ac:dyDescent="0.2">
      <c r="A580" s="18">
        <v>39650</v>
      </c>
      <c r="B580" s="17">
        <v>2012</v>
      </c>
      <c r="C580" s="18" t="str">
        <f t="shared" si="29"/>
        <v>Elkhorn Slough_39650_Outfall_0.7153</v>
      </c>
      <c r="D580" s="4" t="s">
        <v>45</v>
      </c>
      <c r="E580" t="s">
        <v>279</v>
      </c>
      <c r="F580" s="70" t="s">
        <v>288</v>
      </c>
      <c r="G580" s="70">
        <v>1</v>
      </c>
      <c r="H580" s="79" t="s">
        <v>275</v>
      </c>
      <c r="I580">
        <v>63</v>
      </c>
      <c r="J580" s="70" t="s">
        <v>289</v>
      </c>
      <c r="K580" s="2">
        <f>(VLOOKUP(H580,'functions and szcl estimates'!$A$14:$I$23,4, FALSE))*(('raw data'!I232)^(VLOOKUP('raw data'!H232,'functions and szcl estimates'!$A$14:$I$23, 7, FALSE)))</f>
        <v>9.3732649616326107</v>
      </c>
      <c r="L580" s="12">
        <v>0.71527777777777779</v>
      </c>
      <c r="M580" s="12" t="s">
        <v>130</v>
      </c>
      <c r="N580" s="12">
        <f t="shared" si="28"/>
        <v>-7.638888888888884E-2</v>
      </c>
      <c r="O580" s="14">
        <v>25.75</v>
      </c>
      <c r="P580">
        <v>2</v>
      </c>
      <c r="Q580" s="65">
        <f>SUM(K580:K581)</f>
        <v>20.718999589839562</v>
      </c>
      <c r="R580" s="15">
        <f>P580/O580</f>
        <v>7.7669902912621352E-2</v>
      </c>
      <c r="S580" t="s">
        <v>148</v>
      </c>
      <c r="T580" t="s">
        <v>284</v>
      </c>
    </row>
    <row r="581" spans="1:20" x14ac:dyDescent="0.2">
      <c r="A581" s="18">
        <v>39650</v>
      </c>
      <c r="B581" s="17">
        <v>2012</v>
      </c>
      <c r="C581" s="18" t="str">
        <f t="shared" si="29"/>
        <v>Elkhorn Slough_39650_Outfall_0.7153</v>
      </c>
      <c r="D581" s="4" t="s">
        <v>45</v>
      </c>
      <c r="E581" t="s">
        <v>279</v>
      </c>
      <c r="F581" s="70" t="s">
        <v>288</v>
      </c>
      <c r="G581" s="70">
        <v>1</v>
      </c>
      <c r="H581" s="79" t="s">
        <v>275</v>
      </c>
      <c r="I581">
        <v>71</v>
      </c>
      <c r="J581" s="70" t="s">
        <v>289</v>
      </c>
      <c r="K581" s="2">
        <f>(VLOOKUP(H581,'functions and szcl estimates'!$A$14:$I$23,4, FALSE))*(('raw data'!I233)^(VLOOKUP('raw data'!H233,'functions and szcl estimates'!$A$14:$I$23, 7, FALSE)))</f>
        <v>11.345734628206953</v>
      </c>
      <c r="L581" s="12">
        <v>0.71527777777777779</v>
      </c>
      <c r="M581" s="8" t="s">
        <v>130</v>
      </c>
      <c r="N581" s="8">
        <f t="shared" si="28"/>
        <v>-7.638888888888884E-2</v>
      </c>
      <c r="O581" s="14">
        <v>25.75</v>
      </c>
      <c r="S581" t="s">
        <v>148</v>
      </c>
    </row>
    <row r="582" spans="1:20" x14ac:dyDescent="0.2">
      <c r="A582" s="18">
        <v>39652</v>
      </c>
      <c r="B582" s="17">
        <v>2012</v>
      </c>
      <c r="C582" s="18" t="str">
        <f t="shared" si="29"/>
        <v>Elkhorn Slough_39652_Outfall_0.7153</v>
      </c>
      <c r="D582" s="4" t="s">
        <v>45</v>
      </c>
      <c r="E582" t="s">
        <v>17</v>
      </c>
      <c r="F582" s="70" t="s">
        <v>288</v>
      </c>
      <c r="G582" s="70">
        <v>1</v>
      </c>
      <c r="H582" s="79" t="s">
        <v>275</v>
      </c>
      <c r="I582">
        <v>65</v>
      </c>
      <c r="J582" s="70" t="s">
        <v>289</v>
      </c>
      <c r="K582" s="2">
        <f>(VLOOKUP(H582,'functions and szcl estimates'!$A$14:$I$23,4, FALSE))*(('raw data'!I245)^(VLOOKUP('raw data'!H245,'functions and szcl estimates'!$A$14:$I$23, 7, FALSE)))</f>
        <v>9.3732649616326107</v>
      </c>
      <c r="L582" s="12">
        <v>0.71527777777777801</v>
      </c>
      <c r="M582" s="12" t="s">
        <v>133</v>
      </c>
      <c r="N582" s="12">
        <f t="shared" si="28"/>
        <v>0.17708333333333359</v>
      </c>
      <c r="O582" s="65">
        <v>43.75</v>
      </c>
      <c r="S582" t="s">
        <v>148</v>
      </c>
    </row>
    <row r="583" spans="1:20" x14ac:dyDescent="0.2">
      <c r="A583" s="18">
        <v>39652</v>
      </c>
      <c r="B583" s="17">
        <v>2012</v>
      </c>
      <c r="C583" s="18" t="str">
        <f t="shared" si="29"/>
        <v>Elkhorn Slough_39652_Outfall_0.7153</v>
      </c>
      <c r="D583" s="4" t="s">
        <v>45</v>
      </c>
      <c r="E583" t="s">
        <v>17</v>
      </c>
      <c r="F583" s="70" t="s">
        <v>288</v>
      </c>
      <c r="G583" s="70">
        <v>1</v>
      </c>
      <c r="H583" s="79" t="s">
        <v>275</v>
      </c>
      <c r="I583">
        <v>65</v>
      </c>
      <c r="J583" s="70" t="s">
        <v>289</v>
      </c>
      <c r="K583" s="2">
        <f>(VLOOKUP(H583,'functions and szcl estimates'!$A$14:$I$23,4, FALSE))*(('raw data'!I246)^(VLOOKUP('raw data'!H246,'functions and szcl estimates'!$A$14:$I$23, 7, FALSE)))</f>
        <v>9.7513927238703904</v>
      </c>
      <c r="L583" s="12">
        <v>0.71527777777777801</v>
      </c>
      <c r="M583" s="12" t="s">
        <v>133</v>
      </c>
      <c r="N583" s="12">
        <f t="shared" si="28"/>
        <v>0.17708333333333359</v>
      </c>
      <c r="O583" s="65">
        <v>43.75</v>
      </c>
      <c r="S583" t="s">
        <v>148</v>
      </c>
    </row>
    <row r="584" spans="1:20" x14ac:dyDescent="0.2">
      <c r="A584" s="18">
        <v>39652</v>
      </c>
      <c r="B584" s="17">
        <v>2012</v>
      </c>
      <c r="C584" s="18" t="str">
        <f t="shared" si="29"/>
        <v>Elkhorn Slough_39652_Outfall_0.7153</v>
      </c>
      <c r="D584" s="4" t="s">
        <v>45</v>
      </c>
      <c r="E584" t="s">
        <v>17</v>
      </c>
      <c r="F584" s="70" t="s">
        <v>288</v>
      </c>
      <c r="G584" s="70">
        <v>1</v>
      </c>
      <c r="H584" s="79" t="s">
        <v>275</v>
      </c>
      <c r="I584">
        <v>66</v>
      </c>
      <c r="J584" s="70" t="s">
        <v>289</v>
      </c>
      <c r="K584" s="2">
        <f>(VLOOKUP(H584,'functions and szcl estimates'!$A$14:$I$23,4, FALSE))*(('raw data'!I247)^(VLOOKUP('raw data'!H247,'functions and szcl estimates'!$A$14:$I$23, 7, FALSE)))</f>
        <v>11.345734628206953</v>
      </c>
      <c r="L584" s="12">
        <v>0.71527777777777801</v>
      </c>
      <c r="M584" s="12" t="s">
        <v>133</v>
      </c>
      <c r="N584" s="12">
        <f t="shared" si="28"/>
        <v>0.17708333333333359</v>
      </c>
      <c r="O584" s="65">
        <v>43.75</v>
      </c>
      <c r="S584" t="s">
        <v>148</v>
      </c>
    </row>
    <row r="585" spans="1:20" x14ac:dyDescent="0.2">
      <c r="A585" s="18">
        <v>39652</v>
      </c>
      <c r="B585" s="17">
        <v>2012</v>
      </c>
      <c r="C585" s="18" t="str">
        <f t="shared" si="29"/>
        <v>Elkhorn Slough_39652_Outfall_0.7153</v>
      </c>
      <c r="D585" s="4" t="s">
        <v>45</v>
      </c>
      <c r="E585" t="s">
        <v>17</v>
      </c>
      <c r="F585" s="70" t="s">
        <v>288</v>
      </c>
      <c r="G585" s="70">
        <v>1</v>
      </c>
      <c r="H585" s="79" t="s">
        <v>275</v>
      </c>
      <c r="I585">
        <v>67</v>
      </c>
      <c r="J585" s="70" t="s">
        <v>289</v>
      </c>
      <c r="K585" s="2">
        <f>(VLOOKUP(H585,'functions and szcl estimates'!$A$14:$I$23,4, FALSE))*(('raw data'!I248)^(VLOOKUP('raw data'!H248,'functions and szcl estimates'!$A$14:$I$23, 7, FALSE)))</f>
        <v>8.6413599652161981</v>
      </c>
      <c r="L585" s="12">
        <v>0.71527777777777801</v>
      </c>
      <c r="M585" s="12" t="s">
        <v>133</v>
      </c>
      <c r="N585" s="12">
        <f t="shared" si="28"/>
        <v>0.17708333333333359</v>
      </c>
      <c r="O585" s="65">
        <v>43.75</v>
      </c>
      <c r="S585" t="s">
        <v>148</v>
      </c>
    </row>
    <row r="586" spans="1:20" x14ac:dyDescent="0.2">
      <c r="A586" s="18">
        <v>39652</v>
      </c>
      <c r="B586" s="17">
        <v>2012</v>
      </c>
      <c r="C586" s="18" t="str">
        <f t="shared" si="29"/>
        <v>Elkhorn Slough_39652_Outfall_0.7153</v>
      </c>
      <c r="D586" s="4" t="s">
        <v>45</v>
      </c>
      <c r="E586" t="s">
        <v>17</v>
      </c>
      <c r="F586" s="70" t="s">
        <v>288</v>
      </c>
      <c r="G586" s="70">
        <v>1</v>
      </c>
      <c r="H586" s="79" t="s">
        <v>275</v>
      </c>
      <c r="I586">
        <v>72</v>
      </c>
      <c r="J586" s="70" t="s">
        <v>289</v>
      </c>
      <c r="K586" s="2">
        <f>(VLOOKUP(H586,'functions and szcl estimates'!$A$14:$I$23,4, FALSE))*(('raw data'!I249)^(VLOOKUP('raw data'!H249,'functions and szcl estimates'!$A$14:$I$23, 7, FALSE)))</f>
        <v>11.345734628206953</v>
      </c>
      <c r="L586" s="12">
        <v>0.71527777777777801</v>
      </c>
      <c r="M586" s="12" t="s">
        <v>133</v>
      </c>
      <c r="N586" s="12">
        <f t="shared" si="28"/>
        <v>0.17708333333333359</v>
      </c>
      <c r="O586" s="65">
        <v>43.75</v>
      </c>
      <c r="S586" t="s">
        <v>148</v>
      </c>
    </row>
    <row r="587" spans="1:20" x14ac:dyDescent="0.2">
      <c r="A587" s="18">
        <v>39652</v>
      </c>
      <c r="B587" s="17">
        <v>2012</v>
      </c>
      <c r="C587" s="18" t="str">
        <f t="shared" si="29"/>
        <v>Elkhorn Slough_39652_Outfall_0.7153</v>
      </c>
      <c r="D587" s="4" t="s">
        <v>45</v>
      </c>
      <c r="E587" t="s">
        <v>17</v>
      </c>
      <c r="F587" s="70" t="s">
        <v>288</v>
      </c>
      <c r="G587" s="70">
        <v>1</v>
      </c>
      <c r="H587" s="79" t="s">
        <v>275</v>
      </c>
      <c r="I587">
        <v>76</v>
      </c>
      <c r="J587" s="70" t="s">
        <v>289</v>
      </c>
      <c r="K587" s="2">
        <f>(VLOOKUP(H587,'functions and szcl estimates'!$A$14:$I$23,4, FALSE))*(('raw data'!I250)^(VLOOKUP('raw data'!H250,'functions and szcl estimates'!$A$14:$I$23, 7, FALSE)))</f>
        <v>9.3732649616326107</v>
      </c>
      <c r="L587" s="12">
        <v>0.71527777777777801</v>
      </c>
      <c r="M587" s="8" t="s">
        <v>133</v>
      </c>
      <c r="N587" s="8">
        <f t="shared" si="28"/>
        <v>0.17708333333333359</v>
      </c>
      <c r="O587" s="14">
        <v>43.75</v>
      </c>
      <c r="S587" t="s">
        <v>148</v>
      </c>
    </row>
    <row r="588" spans="1:20" x14ac:dyDescent="0.2">
      <c r="A588" s="18">
        <v>39652</v>
      </c>
      <c r="B588" s="17">
        <v>2012</v>
      </c>
      <c r="C588" s="18" t="str">
        <f t="shared" si="29"/>
        <v>Elkhorn Slough_39652_Outfall_0.7153</v>
      </c>
      <c r="D588" s="4" t="s">
        <v>45</v>
      </c>
      <c r="E588" t="s">
        <v>17</v>
      </c>
      <c r="F588" s="70" t="s">
        <v>288</v>
      </c>
      <c r="G588" s="70">
        <v>1</v>
      </c>
      <c r="H588" s="79" t="s">
        <v>275</v>
      </c>
      <c r="I588">
        <v>83</v>
      </c>
      <c r="J588" s="70" t="s">
        <v>289</v>
      </c>
      <c r="K588" s="2">
        <f>(VLOOKUP(H588,'functions and szcl estimates'!$A$14:$I$23,4, FALSE))*(('raw data'!I251)^(VLOOKUP('raw data'!H251,'functions and szcl estimates'!$A$14:$I$23, 7, FALSE)))</f>
        <v>10.13767558756177</v>
      </c>
      <c r="L588" s="12">
        <v>0.71527777777777801</v>
      </c>
      <c r="M588" s="12" t="s">
        <v>133</v>
      </c>
      <c r="N588" s="12">
        <f t="shared" si="28"/>
        <v>0.17708333333333359</v>
      </c>
      <c r="O588" s="65">
        <v>43.75</v>
      </c>
      <c r="S588" t="s">
        <v>148</v>
      </c>
    </row>
    <row r="589" spans="1:20" x14ac:dyDescent="0.2">
      <c r="A589" s="18">
        <v>39652</v>
      </c>
      <c r="B589" s="17">
        <v>2012</v>
      </c>
      <c r="C589" s="18" t="str">
        <f t="shared" si="29"/>
        <v>Elkhorn Slough_39652_Outfall_0.7153</v>
      </c>
      <c r="D589" s="4" t="s">
        <v>45</v>
      </c>
      <c r="E589" t="s">
        <v>17</v>
      </c>
      <c r="F589" s="70" t="s">
        <v>288</v>
      </c>
      <c r="G589" s="70">
        <v>1</v>
      </c>
      <c r="H589" s="79" t="s">
        <v>275</v>
      </c>
      <c r="I589">
        <v>83</v>
      </c>
      <c r="J589" s="70" t="s">
        <v>289</v>
      </c>
      <c r="K589" s="2">
        <f>(VLOOKUP(H589,'functions and szcl estimates'!$A$14:$I$23,4, FALSE))*(('raw data'!I252)^(VLOOKUP('raw data'!H252,'functions and szcl estimates'!$A$14:$I$23, 7, FALSE)))</f>
        <v>13.072317321247196</v>
      </c>
      <c r="L589" s="12">
        <v>0.71527777777777801</v>
      </c>
      <c r="M589" s="12" t="s">
        <v>133</v>
      </c>
      <c r="N589" s="12">
        <f t="shared" si="28"/>
        <v>0.17708333333333359</v>
      </c>
      <c r="O589" s="65">
        <v>43.75</v>
      </c>
      <c r="S589" t="s">
        <v>148</v>
      </c>
    </row>
    <row r="590" spans="1:20" x14ac:dyDescent="0.2">
      <c r="A590" s="18">
        <v>39652</v>
      </c>
      <c r="B590" s="17">
        <v>2012</v>
      </c>
      <c r="C590" s="18" t="str">
        <f t="shared" si="29"/>
        <v>Elkhorn Slough_39652_Outfall_0.7153</v>
      </c>
      <c r="D590" s="4" t="s">
        <v>45</v>
      </c>
      <c r="E590" t="s">
        <v>17</v>
      </c>
      <c r="F590" s="70" t="s">
        <v>288</v>
      </c>
      <c r="G590" s="70">
        <v>1</v>
      </c>
      <c r="H590" s="79" t="s">
        <v>275</v>
      </c>
      <c r="I590">
        <v>83</v>
      </c>
      <c r="J590" s="70" t="s">
        <v>289</v>
      </c>
      <c r="K590" s="2">
        <f>(VLOOKUP(H590,'functions and szcl estimates'!$A$14:$I$23,4, FALSE))*(('raw data'!I253)^(VLOOKUP('raw data'!H253,'functions and szcl estimates'!$A$14:$I$23, 7, FALSE)))</f>
        <v>13.985725650485696</v>
      </c>
      <c r="L590" s="12">
        <v>0.71527777777777801</v>
      </c>
      <c r="M590" s="12" t="s">
        <v>133</v>
      </c>
      <c r="N590" s="12">
        <f t="shared" si="28"/>
        <v>0.17708333333333359</v>
      </c>
      <c r="O590" s="65">
        <v>43.75</v>
      </c>
      <c r="S590" t="s">
        <v>148</v>
      </c>
    </row>
    <row r="591" spans="1:20" x14ac:dyDescent="0.2">
      <c r="A591" s="18">
        <v>39652</v>
      </c>
      <c r="B591" s="17">
        <v>2012</v>
      </c>
      <c r="C591" s="18" t="str">
        <f t="shared" si="29"/>
        <v>Elkhorn Slough_39652_Outfall_0.7153</v>
      </c>
      <c r="D591" s="4" t="s">
        <v>45</v>
      </c>
      <c r="E591" t="s">
        <v>17</v>
      </c>
      <c r="F591" s="70" t="s">
        <v>288</v>
      </c>
      <c r="G591" s="70">
        <v>1</v>
      </c>
      <c r="H591" s="79" t="s">
        <v>275</v>
      </c>
      <c r="I591">
        <v>92</v>
      </c>
      <c r="J591" s="70" t="s">
        <v>289</v>
      </c>
      <c r="K591" s="2">
        <f>(VLOOKUP(H591,'functions and szcl estimates'!$A$14:$I$23,4, FALSE))*(('raw data'!I254)^(VLOOKUP('raw data'!H254,'functions and szcl estimates'!$A$14:$I$23, 7, FALSE)))</f>
        <v>14.455048013289559</v>
      </c>
      <c r="L591" s="12">
        <v>0.71527777777777801</v>
      </c>
      <c r="M591" s="12" t="s">
        <v>133</v>
      </c>
      <c r="N591" s="12">
        <f t="shared" si="28"/>
        <v>0.17708333333333359</v>
      </c>
      <c r="O591" s="65">
        <v>43.75</v>
      </c>
      <c r="S591" t="s">
        <v>148</v>
      </c>
    </row>
    <row r="592" spans="1:20" x14ac:dyDescent="0.2">
      <c r="A592" s="18">
        <v>39653</v>
      </c>
      <c r="B592" s="17">
        <v>2012</v>
      </c>
      <c r="C592" s="18" t="str">
        <f t="shared" si="29"/>
        <v>Elkhorn Slough_39653_Outfall_0.5382</v>
      </c>
      <c r="D592" s="4" t="s">
        <v>45</v>
      </c>
      <c r="E592" t="s">
        <v>17</v>
      </c>
      <c r="F592" s="70" t="s">
        <v>288</v>
      </c>
      <c r="G592" s="70">
        <v>1</v>
      </c>
      <c r="H592" s="82" t="s">
        <v>275</v>
      </c>
      <c r="I592" s="6">
        <v>65</v>
      </c>
      <c r="J592" s="70" t="s">
        <v>289</v>
      </c>
      <c r="K592" s="2">
        <f>(VLOOKUP(H592,'functions and szcl estimates'!$A$14:$I$23,4, FALSE))*(('raw data'!I265)^(VLOOKUP('raw data'!H265,'functions and szcl estimates'!$A$14:$I$23, 7, FALSE)))</f>
        <v>6.3322314628089993</v>
      </c>
      <c r="L592" s="12">
        <v>0.53819444444444442</v>
      </c>
      <c r="M592" s="12" t="s">
        <v>133</v>
      </c>
      <c r="N592" s="12">
        <f t="shared" si="28"/>
        <v>0</v>
      </c>
      <c r="O592" s="65">
        <v>24</v>
      </c>
      <c r="P592">
        <f>COUNT(O592:O603)</f>
        <v>12</v>
      </c>
      <c r="Q592" s="65">
        <f>SUM(K592:K603)</f>
        <v>107.57587459959993</v>
      </c>
      <c r="R592" s="15">
        <f>P592/O592</f>
        <v>0.5</v>
      </c>
      <c r="S592" t="s">
        <v>148</v>
      </c>
      <c r="T592" s="6" t="s">
        <v>164</v>
      </c>
    </row>
    <row r="593" spans="1:20" x14ac:dyDescent="0.2">
      <c r="A593" s="18">
        <v>39653</v>
      </c>
      <c r="B593" s="17">
        <v>2012</v>
      </c>
      <c r="C593" s="18" t="str">
        <f t="shared" si="29"/>
        <v>Elkhorn Slough_39653_Outfall_0.5382</v>
      </c>
      <c r="D593" s="4" t="s">
        <v>45</v>
      </c>
      <c r="E593" t="s">
        <v>17</v>
      </c>
      <c r="F593" s="70" t="s">
        <v>288</v>
      </c>
      <c r="G593" s="70">
        <v>1</v>
      </c>
      <c r="H593" s="82" t="s">
        <v>275</v>
      </c>
      <c r="I593" s="6">
        <v>79</v>
      </c>
      <c r="J593" s="70" t="s">
        <v>289</v>
      </c>
      <c r="K593" s="2">
        <f>(VLOOKUP(H593,'functions and szcl estimates'!$A$14:$I$23,4, FALSE))*(('raw data'!I266)^(VLOOKUP('raw data'!H266,'functions and szcl estimates'!$A$14:$I$23, 7, FALSE)))</f>
        <v>7.2741242213113573</v>
      </c>
      <c r="L593" s="12">
        <v>0.53819444444444442</v>
      </c>
      <c r="M593" s="12" t="s">
        <v>133</v>
      </c>
      <c r="N593" s="12">
        <f t="shared" si="28"/>
        <v>0</v>
      </c>
      <c r="O593" s="65">
        <v>24</v>
      </c>
      <c r="S593" t="s">
        <v>148</v>
      </c>
    </row>
    <row r="594" spans="1:20" x14ac:dyDescent="0.2">
      <c r="A594" s="18">
        <v>39654</v>
      </c>
      <c r="B594" s="17">
        <v>2012</v>
      </c>
      <c r="C594" s="18" t="str">
        <f t="shared" si="29"/>
        <v>Elkhorn Slough_39654_Outfall_0.5382</v>
      </c>
      <c r="D594" s="4" t="s">
        <v>45</v>
      </c>
      <c r="E594" t="s">
        <v>17</v>
      </c>
      <c r="F594" s="70" t="s">
        <v>288</v>
      </c>
      <c r="G594" s="70">
        <v>1</v>
      </c>
      <c r="H594" s="82" t="s">
        <v>275</v>
      </c>
      <c r="I594" s="6">
        <v>75</v>
      </c>
      <c r="J594" s="70" t="s">
        <v>289</v>
      </c>
      <c r="K594" s="2">
        <f>(VLOOKUP(H594,'functions and szcl estimates'!$A$14:$I$23,4, FALSE))*(('raw data'!I269)^(VLOOKUP('raw data'!H269,'functions and szcl estimates'!$A$14:$I$23, 7, FALSE)))</f>
        <v>9.0032637121841432</v>
      </c>
      <c r="L594" s="12">
        <v>0.53819444444444398</v>
      </c>
      <c r="M594" s="12" t="s">
        <v>138</v>
      </c>
      <c r="N594" s="12">
        <f t="shared" si="28"/>
        <v>3.4722222222217658E-3</v>
      </c>
      <c r="O594" s="65">
        <v>24</v>
      </c>
      <c r="S594" t="s">
        <v>148</v>
      </c>
    </row>
    <row r="595" spans="1:20" x14ac:dyDescent="0.2">
      <c r="A595" s="18">
        <v>39654</v>
      </c>
      <c r="B595" s="17">
        <v>2012</v>
      </c>
      <c r="C595" s="18" t="str">
        <f t="shared" si="29"/>
        <v>Elkhorn Slough_39654_Outfall_0.5382</v>
      </c>
      <c r="D595" s="4" t="s">
        <v>45</v>
      </c>
      <c r="E595" t="s">
        <v>17</v>
      </c>
      <c r="F595" s="70" t="s">
        <v>288</v>
      </c>
      <c r="G595" s="70">
        <v>1</v>
      </c>
      <c r="H595" s="82" t="s">
        <v>275</v>
      </c>
      <c r="I595" s="6">
        <v>78</v>
      </c>
      <c r="J595" s="70" t="s">
        <v>289</v>
      </c>
      <c r="K595" s="2">
        <f>(VLOOKUP(H595,'functions and szcl estimates'!$A$14:$I$23,4, FALSE))*(('raw data'!I270)^(VLOOKUP('raw data'!H270,'functions and szcl estimates'!$A$14:$I$23, 7, FALSE)))</f>
        <v>9.3732649616326107</v>
      </c>
      <c r="L595" s="12">
        <v>0.53819444444444398</v>
      </c>
      <c r="M595" s="12" t="s">
        <v>138</v>
      </c>
      <c r="N595" s="12">
        <f t="shared" si="28"/>
        <v>3.4722222222217658E-3</v>
      </c>
      <c r="O595" s="65">
        <v>24</v>
      </c>
      <c r="S595" t="s">
        <v>148</v>
      </c>
    </row>
    <row r="596" spans="1:20" x14ac:dyDescent="0.2">
      <c r="A596" s="18">
        <v>39654</v>
      </c>
      <c r="B596" s="17">
        <v>2012</v>
      </c>
      <c r="C596" s="18" t="str">
        <f t="shared" si="29"/>
        <v>Elkhorn Slough_39654_Outfall_0.5382</v>
      </c>
      <c r="D596" s="4" t="s">
        <v>45</v>
      </c>
      <c r="E596" t="s">
        <v>17</v>
      </c>
      <c r="F596" s="70" t="s">
        <v>288</v>
      </c>
      <c r="G596" s="70">
        <v>1</v>
      </c>
      <c r="H596" s="82" t="s">
        <v>275</v>
      </c>
      <c r="I596" s="6">
        <v>81</v>
      </c>
      <c r="J596" s="70" t="s">
        <v>289</v>
      </c>
      <c r="K596" s="2">
        <f>(VLOOKUP(H596,'functions and szcl estimates'!$A$14:$I$23,4, FALSE))*(('raw data'!I271)^(VLOOKUP('raw data'!H271,'functions and szcl estimates'!$A$14:$I$23, 7, FALSE)))</f>
        <v>10.13767558756177</v>
      </c>
      <c r="L596" s="12">
        <v>0.53819444444444398</v>
      </c>
      <c r="M596" s="12" t="s">
        <v>138</v>
      </c>
      <c r="N596" s="12">
        <f t="shared" si="28"/>
        <v>3.4722222222217658E-3</v>
      </c>
      <c r="O596" s="65">
        <v>24</v>
      </c>
      <c r="S596" t="s">
        <v>148</v>
      </c>
    </row>
    <row r="597" spans="1:20" x14ac:dyDescent="0.2">
      <c r="A597" s="18">
        <v>39654</v>
      </c>
      <c r="B597" s="17">
        <v>2012</v>
      </c>
      <c r="C597" s="18" t="str">
        <f t="shared" si="29"/>
        <v>Elkhorn Slough_39654_Outfall_0.5382</v>
      </c>
      <c r="D597" s="4" t="s">
        <v>45</v>
      </c>
      <c r="E597" t="s">
        <v>17</v>
      </c>
      <c r="F597" s="70" t="s">
        <v>288</v>
      </c>
      <c r="G597" s="70">
        <v>1</v>
      </c>
      <c r="H597" s="82" t="s">
        <v>275</v>
      </c>
      <c r="I597" s="6">
        <v>82</v>
      </c>
      <c r="J597" s="70" t="s">
        <v>289</v>
      </c>
      <c r="K597" s="2">
        <f>(VLOOKUP(H597,'functions and szcl estimates'!$A$14:$I$23,4, FALSE))*(('raw data'!I272)^(VLOOKUP('raw data'!H272,'functions and szcl estimates'!$A$14:$I$23, 7, FALSE)))</f>
        <v>6.6383035854520545</v>
      </c>
      <c r="L597" s="12">
        <v>0.53819444444444398</v>
      </c>
      <c r="M597" s="8" t="s">
        <v>138</v>
      </c>
      <c r="N597" s="8">
        <f t="shared" si="28"/>
        <v>3.4722222222217658E-3</v>
      </c>
      <c r="O597" s="14">
        <v>24</v>
      </c>
      <c r="S597" t="s">
        <v>148</v>
      </c>
    </row>
    <row r="598" spans="1:20" x14ac:dyDescent="0.2">
      <c r="A598" s="18">
        <v>39654</v>
      </c>
      <c r="B598" s="17">
        <v>2012</v>
      </c>
      <c r="C598" s="18" t="str">
        <f t="shared" si="29"/>
        <v>Elkhorn Slough_39654_Outfall_0.5382</v>
      </c>
      <c r="D598" s="4" t="s">
        <v>45</v>
      </c>
      <c r="E598" t="s">
        <v>17</v>
      </c>
      <c r="F598" s="70" t="s">
        <v>288</v>
      </c>
      <c r="G598" s="70">
        <v>1</v>
      </c>
      <c r="H598" s="82" t="s">
        <v>275</v>
      </c>
      <c r="I598" s="6">
        <v>83</v>
      </c>
      <c r="J598" s="70" t="s">
        <v>289</v>
      </c>
      <c r="K598" s="2">
        <f>(VLOOKUP(H598,'functions and szcl estimates'!$A$14:$I$23,4, FALSE))*(('raw data'!I273)^(VLOOKUP('raw data'!H273,'functions and szcl estimates'!$A$14:$I$23, 7, FALSE)))</f>
        <v>7.2741242213113573</v>
      </c>
      <c r="L598" s="12">
        <v>0.53819444444444398</v>
      </c>
      <c r="M598" s="12" t="s">
        <v>138</v>
      </c>
      <c r="N598" s="12">
        <f t="shared" si="28"/>
        <v>3.4722222222217658E-3</v>
      </c>
      <c r="O598" s="65">
        <v>24</v>
      </c>
      <c r="S598" t="s">
        <v>148</v>
      </c>
    </row>
    <row r="599" spans="1:20" x14ac:dyDescent="0.2">
      <c r="A599" s="18">
        <v>39654</v>
      </c>
      <c r="B599" s="17">
        <v>2012</v>
      </c>
      <c r="C599" s="18" t="str">
        <f t="shared" si="29"/>
        <v>Elkhorn Slough_39654_Outfall_0.5382</v>
      </c>
      <c r="D599" s="4" t="s">
        <v>45</v>
      </c>
      <c r="E599" t="s">
        <v>17</v>
      </c>
      <c r="F599" s="70" t="s">
        <v>288</v>
      </c>
      <c r="G599" s="70">
        <v>1</v>
      </c>
      <c r="H599" s="82" t="s">
        <v>275</v>
      </c>
      <c r="I599" s="6">
        <v>91</v>
      </c>
      <c r="J599" s="70" t="s">
        <v>289</v>
      </c>
      <c r="K599" s="2">
        <f>(VLOOKUP(H599,'functions and szcl estimates'!$A$14:$I$23,4, FALSE))*(('raw data'!I274)^(VLOOKUP('raw data'!H274,'functions and szcl estimates'!$A$14:$I$23, 7, FALSE)))</f>
        <v>9.7513927238703904</v>
      </c>
      <c r="L599" s="12">
        <v>0.53819444444444398</v>
      </c>
      <c r="M599" s="12" t="s">
        <v>138</v>
      </c>
      <c r="N599" s="12">
        <f t="shared" ref="N599:N630" si="30">L599-M599</f>
        <v>3.4722222222217658E-3</v>
      </c>
      <c r="O599" s="65">
        <v>24</v>
      </c>
      <c r="S599" t="s">
        <v>148</v>
      </c>
    </row>
    <row r="600" spans="1:20" x14ac:dyDescent="0.2">
      <c r="A600" s="18">
        <v>39654</v>
      </c>
      <c r="B600" s="17">
        <v>2012</v>
      </c>
      <c r="C600" s="18" t="str">
        <f t="shared" si="29"/>
        <v>Elkhorn Slough_39654_Outfall_0.5382</v>
      </c>
      <c r="D600" s="4" t="s">
        <v>45</v>
      </c>
      <c r="E600" t="s">
        <v>17</v>
      </c>
      <c r="F600" s="70" t="s">
        <v>288</v>
      </c>
      <c r="G600" s="70">
        <v>1</v>
      </c>
      <c r="H600" s="82" t="s">
        <v>275</v>
      </c>
      <c r="I600" s="6">
        <v>100</v>
      </c>
      <c r="J600" s="70" t="s">
        <v>289</v>
      </c>
      <c r="K600" s="2">
        <f>(VLOOKUP(H600,'functions and szcl estimates'!$A$14:$I$23,4, FALSE))*(('raw data'!I275)^(VLOOKUP('raw data'!H275,'functions and szcl estimates'!$A$14:$I$23, 7, FALSE)))</f>
        <v>10.13767558756177</v>
      </c>
      <c r="L600" s="12">
        <v>0.53819444444444398</v>
      </c>
      <c r="M600" s="12" t="s">
        <v>138</v>
      </c>
      <c r="N600" s="12">
        <f t="shared" si="30"/>
        <v>3.4722222222217658E-3</v>
      </c>
      <c r="O600" s="65">
        <v>24</v>
      </c>
      <c r="S600" t="s">
        <v>148</v>
      </c>
    </row>
    <row r="601" spans="1:20" x14ac:dyDescent="0.2">
      <c r="A601" s="5">
        <v>39654</v>
      </c>
      <c r="B601" s="17">
        <v>2012</v>
      </c>
      <c r="C601" s="18" t="str">
        <f t="shared" si="29"/>
        <v>Elkhorn Slough_39654_Outfall_0.5382</v>
      </c>
      <c r="D601" s="4" t="s">
        <v>45</v>
      </c>
      <c r="E601" t="s">
        <v>17</v>
      </c>
      <c r="F601" s="70" t="s">
        <v>288</v>
      </c>
      <c r="G601" s="70">
        <v>1</v>
      </c>
      <c r="H601" s="82" t="s">
        <v>275</v>
      </c>
      <c r="I601" s="6">
        <v>75</v>
      </c>
      <c r="J601" s="70" t="s">
        <v>289</v>
      </c>
      <c r="K601" s="2">
        <f>(VLOOKUP(H601,'functions and szcl estimates'!$A$14:$I$23,4, FALSE))*(('raw data'!I276)^(VLOOKUP('raw data'!H276,'functions and szcl estimates'!$A$14:$I$23, 7, FALSE)))</f>
        <v>11.345734628206953</v>
      </c>
      <c r="L601" s="12">
        <v>0.53819444444444398</v>
      </c>
      <c r="M601" s="8" t="s">
        <v>138</v>
      </c>
      <c r="N601" s="8">
        <f t="shared" si="30"/>
        <v>3.4722222222217658E-3</v>
      </c>
      <c r="O601" s="14">
        <v>24</v>
      </c>
      <c r="S601" t="s">
        <v>148</v>
      </c>
    </row>
    <row r="602" spans="1:20" x14ac:dyDescent="0.2">
      <c r="A602" s="18">
        <v>39654</v>
      </c>
      <c r="B602" s="17">
        <v>2012</v>
      </c>
      <c r="C602" s="18" t="str">
        <f t="shared" si="29"/>
        <v>Elkhorn Slough_39654_Seal Bend_0.5069</v>
      </c>
      <c r="D602" s="4" t="s">
        <v>45</v>
      </c>
      <c r="E602" s="6" t="s">
        <v>157</v>
      </c>
      <c r="F602" s="70" t="s">
        <v>288</v>
      </c>
      <c r="G602" s="70">
        <v>1</v>
      </c>
      <c r="H602" s="82" t="s">
        <v>275</v>
      </c>
      <c r="I602" s="6">
        <v>57</v>
      </c>
      <c r="J602" s="70" t="s">
        <v>289</v>
      </c>
      <c r="K602" s="2">
        <f>(VLOOKUP(H602,'functions and szcl estimates'!$A$14:$I$23,4, FALSE))*(('raw data'!I277)^(VLOOKUP('raw data'!H277,'functions and szcl estimates'!$A$14:$I$23, 7, FALSE)))</f>
        <v>9.3732649616326107</v>
      </c>
      <c r="L602" s="12">
        <v>0.50694444444444442</v>
      </c>
      <c r="M602" s="12" t="s">
        <v>139</v>
      </c>
      <c r="N602" s="12">
        <f t="shared" si="30"/>
        <v>-0.13888888888888895</v>
      </c>
      <c r="O602" s="65">
        <v>27.25</v>
      </c>
      <c r="P602">
        <v>1</v>
      </c>
      <c r="Q602" s="65">
        <f>K602</f>
        <v>9.3732649616326107</v>
      </c>
      <c r="R602" s="15">
        <f>P602/O602</f>
        <v>3.669724770642202E-2</v>
      </c>
      <c r="S602" t="s">
        <v>148</v>
      </c>
      <c r="T602" s="6" t="s">
        <v>164</v>
      </c>
    </row>
    <row r="603" spans="1:20" x14ac:dyDescent="0.2">
      <c r="A603" s="5">
        <v>39654</v>
      </c>
      <c r="B603" s="17">
        <v>2012</v>
      </c>
      <c r="C603" s="18" t="str">
        <f t="shared" si="29"/>
        <v>Elkhorn Slough_39654_Crop Circles_0.5174</v>
      </c>
      <c r="D603" s="4" t="s">
        <v>45</v>
      </c>
      <c r="E603" s="6" t="s">
        <v>277</v>
      </c>
      <c r="F603" s="70" t="s">
        <v>288</v>
      </c>
      <c r="G603" s="70">
        <v>1</v>
      </c>
      <c r="H603" s="82" t="s">
        <v>275</v>
      </c>
      <c r="I603" s="6">
        <v>45</v>
      </c>
      <c r="J603" s="70" t="s">
        <v>289</v>
      </c>
      <c r="K603" s="2">
        <f>(VLOOKUP(H603,'functions and szcl estimates'!$A$14:$I$23,4, FALSE))*(('raw data'!I279)^(VLOOKUP('raw data'!H279,'functions and szcl estimates'!$A$14:$I$23, 7, FALSE)))</f>
        <v>10.93481894606589</v>
      </c>
      <c r="L603" s="12">
        <v>0.51736111111111105</v>
      </c>
      <c r="M603" s="8" t="s">
        <v>140</v>
      </c>
      <c r="N603" s="8">
        <f t="shared" si="30"/>
        <v>-0.13333333333333341</v>
      </c>
      <c r="O603" s="14">
        <v>27.25</v>
      </c>
      <c r="S603" t="s">
        <v>148</v>
      </c>
    </row>
    <row r="604" spans="1:20" x14ac:dyDescent="0.2">
      <c r="A604" s="18">
        <v>39654</v>
      </c>
      <c r="B604" s="17">
        <v>2012</v>
      </c>
      <c r="C604" s="18" t="str">
        <f t="shared" si="29"/>
        <v>Elkhorn Slough_39654_Crop Circles_0.5174</v>
      </c>
      <c r="D604" s="4" t="s">
        <v>45</v>
      </c>
      <c r="E604" s="6" t="s">
        <v>277</v>
      </c>
      <c r="F604" s="70" t="s">
        <v>288</v>
      </c>
      <c r="G604" s="70">
        <v>1</v>
      </c>
      <c r="H604" s="82" t="s">
        <v>275</v>
      </c>
      <c r="I604" s="6">
        <v>47</v>
      </c>
      <c r="J604" s="70" t="s">
        <v>289</v>
      </c>
      <c r="K604" s="2">
        <f>(VLOOKUP(H604,'functions and szcl estimates'!$A$14:$I$23,4, FALSE))*(('raw data'!I280)^(VLOOKUP('raw data'!H280,'functions and szcl estimates'!$A$14:$I$23, 7, FALSE)))</f>
        <v>5.1860880524422068</v>
      </c>
      <c r="L604" s="12">
        <v>0.51736111111111105</v>
      </c>
      <c r="M604" s="12" t="s">
        <v>140</v>
      </c>
      <c r="N604" s="12">
        <f t="shared" si="30"/>
        <v>-0.13333333333333341</v>
      </c>
      <c r="O604" s="65">
        <v>27.25</v>
      </c>
      <c r="S604" t="s">
        <v>148</v>
      </c>
    </row>
    <row r="605" spans="1:20" x14ac:dyDescent="0.2">
      <c r="A605" s="18">
        <v>39654</v>
      </c>
      <c r="B605" s="17">
        <v>2012</v>
      </c>
      <c r="C605" s="18" t="str">
        <f t="shared" si="29"/>
        <v>Elkhorn Slough_39654_Crop Circles_0.5174</v>
      </c>
      <c r="D605" s="4" t="s">
        <v>45</v>
      </c>
      <c r="E605" s="6" t="s">
        <v>277</v>
      </c>
      <c r="F605" s="70" t="s">
        <v>288</v>
      </c>
      <c r="G605" s="70">
        <v>1</v>
      </c>
      <c r="H605" s="82" t="s">
        <v>275</v>
      </c>
      <c r="I605" s="6">
        <v>50</v>
      </c>
      <c r="J605" s="70" t="s">
        <v>289</v>
      </c>
      <c r="K605" s="2">
        <f>(VLOOKUP(H605,'functions and szcl estimates'!$A$14:$I$23,4, FALSE))*(('raw data'!I281)^(VLOOKUP('raw data'!H281,'functions and szcl estimates'!$A$14:$I$23, 7, FALSE)))</f>
        <v>6.0340077020474912</v>
      </c>
      <c r="L605" s="12">
        <v>0.51736111111111105</v>
      </c>
      <c r="M605" s="12" t="s">
        <v>140</v>
      </c>
      <c r="N605" s="12">
        <f t="shared" si="30"/>
        <v>-0.13333333333333341</v>
      </c>
      <c r="O605" s="65">
        <v>27.25</v>
      </c>
      <c r="S605" t="s">
        <v>148</v>
      </c>
    </row>
    <row r="606" spans="1:20" x14ac:dyDescent="0.2">
      <c r="A606" s="18">
        <v>39654</v>
      </c>
      <c r="B606" s="17">
        <v>2012</v>
      </c>
      <c r="C606" s="18" t="str">
        <f t="shared" si="29"/>
        <v>Elkhorn Slough_39654_Crop Circles_0.5174</v>
      </c>
      <c r="D606" s="4" t="s">
        <v>45</v>
      </c>
      <c r="E606" s="6" t="s">
        <v>277</v>
      </c>
      <c r="F606" s="70" t="s">
        <v>288</v>
      </c>
      <c r="G606" s="70">
        <v>1</v>
      </c>
      <c r="H606" s="82" t="s">
        <v>275</v>
      </c>
      <c r="I606" s="6">
        <v>51</v>
      </c>
      <c r="J606" s="70" t="s">
        <v>289</v>
      </c>
      <c r="K606" s="2">
        <f>(VLOOKUP(H606,'functions and szcl estimates'!$A$14:$I$23,4, FALSE))*(('raw data'!I282)^(VLOOKUP('raw data'!H282,'functions and szcl estimates'!$A$14:$I$23, 7, FALSE)))</f>
        <v>6.9522570362180476</v>
      </c>
      <c r="L606" s="12">
        <v>0.51736111111111105</v>
      </c>
      <c r="M606" s="12" t="s">
        <v>140</v>
      </c>
      <c r="N606" s="12">
        <f t="shared" si="30"/>
        <v>-0.13333333333333341</v>
      </c>
      <c r="O606" s="65">
        <v>27.25</v>
      </c>
      <c r="S606" t="s">
        <v>148</v>
      </c>
    </row>
    <row r="607" spans="1:20" x14ac:dyDescent="0.2">
      <c r="A607" s="18">
        <v>39655</v>
      </c>
      <c r="B607" s="17">
        <v>2012</v>
      </c>
      <c r="C607" s="18" t="str">
        <f t="shared" si="29"/>
        <v>Elkhorn Slough_39655_Outfall_0.5347</v>
      </c>
      <c r="D607" s="4" t="s">
        <v>45</v>
      </c>
      <c r="E607" s="6" t="s">
        <v>279</v>
      </c>
      <c r="F607" s="70" t="s">
        <v>288</v>
      </c>
      <c r="G607" s="70">
        <v>1</v>
      </c>
      <c r="H607" s="82" t="s">
        <v>275</v>
      </c>
      <c r="I607" s="6">
        <v>60</v>
      </c>
      <c r="J607" s="70" t="s">
        <v>289</v>
      </c>
      <c r="K607" s="2">
        <f>(VLOOKUP(H607,'functions and szcl estimates'!$A$14:$I$23,4, FALSE))*(('raw data'!I301)^(VLOOKUP('raw data'!H301,'functions and szcl estimates'!$A$14:$I$23, 7, FALSE)))</f>
        <v>6.3322314628089993</v>
      </c>
      <c r="L607" s="12">
        <v>0.53472222222222199</v>
      </c>
      <c r="M607" s="12" t="s">
        <v>225</v>
      </c>
      <c r="N607" s="12">
        <f t="shared" si="30"/>
        <v>1.3888888888888618E-2</v>
      </c>
      <c r="O607" s="65">
        <v>24.25</v>
      </c>
      <c r="S607" t="s">
        <v>148</v>
      </c>
    </row>
    <row r="608" spans="1:20" x14ac:dyDescent="0.2">
      <c r="A608" s="18">
        <v>39655</v>
      </c>
      <c r="B608" s="17">
        <v>2012</v>
      </c>
      <c r="C608" s="18" t="str">
        <f t="shared" si="29"/>
        <v>Elkhorn Slough_39655_Outfall_0.5347</v>
      </c>
      <c r="D608" s="4" t="s">
        <v>45</v>
      </c>
      <c r="E608" s="6" t="s">
        <v>279</v>
      </c>
      <c r="F608" s="70" t="s">
        <v>288</v>
      </c>
      <c r="G608" s="70">
        <v>1</v>
      </c>
      <c r="H608" s="82" t="s">
        <v>275</v>
      </c>
      <c r="I608" s="6">
        <v>62</v>
      </c>
      <c r="J608" s="70" t="s">
        <v>289</v>
      </c>
      <c r="K608" s="2">
        <f>(VLOOKUP(H608,'functions and szcl estimates'!$A$14:$I$23,4, FALSE))*(('raw data'!I302)^(VLOOKUP('raw data'!H302,'functions and szcl estimates'!$A$14:$I$23, 7, FALSE)))</f>
        <v>6.6383035854520545</v>
      </c>
      <c r="L608" s="12">
        <v>0.53472222222222199</v>
      </c>
      <c r="M608" s="12" t="s">
        <v>225</v>
      </c>
      <c r="N608" s="12">
        <f t="shared" si="30"/>
        <v>1.3888888888888618E-2</v>
      </c>
      <c r="O608" s="65">
        <v>24.25</v>
      </c>
      <c r="S608" t="s">
        <v>148</v>
      </c>
    </row>
    <row r="609" spans="1:19" x14ac:dyDescent="0.2">
      <c r="A609" s="18">
        <v>39655</v>
      </c>
      <c r="B609" s="17">
        <v>2012</v>
      </c>
      <c r="C609" s="18" t="str">
        <f t="shared" si="29"/>
        <v>Elkhorn Slough_39655_Outfall_0.5347</v>
      </c>
      <c r="D609" s="4" t="s">
        <v>45</v>
      </c>
      <c r="E609" s="6" t="s">
        <v>279</v>
      </c>
      <c r="F609" s="70" t="s">
        <v>288</v>
      </c>
      <c r="G609" s="70">
        <v>1</v>
      </c>
      <c r="H609" s="82" t="s">
        <v>275</v>
      </c>
      <c r="I609" s="6">
        <v>63</v>
      </c>
      <c r="J609" s="70" t="s">
        <v>289</v>
      </c>
      <c r="K609" s="2">
        <f>(VLOOKUP(H609,'functions and szcl estimates'!$A$14:$I$23,4, FALSE))*(('raw data'!I303)^(VLOOKUP('raw data'!H303,'functions and szcl estimates'!$A$14:$I$23, 7, FALSE)))</f>
        <v>6.6383035854520545</v>
      </c>
      <c r="L609" s="12">
        <v>0.53472222222222199</v>
      </c>
      <c r="M609" s="12" t="s">
        <v>225</v>
      </c>
      <c r="N609" s="12">
        <f t="shared" si="30"/>
        <v>1.3888888888888618E-2</v>
      </c>
      <c r="O609" s="65">
        <v>24.25</v>
      </c>
      <c r="S609" t="s">
        <v>148</v>
      </c>
    </row>
    <row r="610" spans="1:19" x14ac:dyDescent="0.2">
      <c r="A610" s="18">
        <v>39655</v>
      </c>
      <c r="B610" s="17">
        <v>2012</v>
      </c>
      <c r="C610" s="18" t="str">
        <f t="shared" si="29"/>
        <v>Elkhorn Slough_39655_Outfall_0.5347</v>
      </c>
      <c r="D610" s="4" t="s">
        <v>45</v>
      </c>
      <c r="E610" s="6" t="s">
        <v>279</v>
      </c>
      <c r="F610" s="70" t="s">
        <v>288</v>
      </c>
      <c r="G610" s="70">
        <v>1</v>
      </c>
      <c r="H610" s="82" t="s">
        <v>275</v>
      </c>
      <c r="I610" s="6">
        <v>66</v>
      </c>
      <c r="J610" s="70" t="s">
        <v>289</v>
      </c>
      <c r="K610" s="2">
        <f>(VLOOKUP(H610,'functions and szcl estimates'!$A$14:$I$23,4, FALSE))*(('raw data'!I304)^(VLOOKUP('raw data'!H304,'functions and szcl estimates'!$A$14:$I$23, 7, FALSE)))</f>
        <v>6.6383035854520545</v>
      </c>
      <c r="L610" s="12">
        <v>0.53472222222222199</v>
      </c>
      <c r="M610" s="12" t="s">
        <v>225</v>
      </c>
      <c r="N610" s="12">
        <f t="shared" si="30"/>
        <v>1.3888888888888618E-2</v>
      </c>
      <c r="O610" s="65">
        <v>24.25</v>
      </c>
      <c r="S610" t="s">
        <v>148</v>
      </c>
    </row>
    <row r="611" spans="1:19" x14ac:dyDescent="0.2">
      <c r="A611" s="18">
        <v>39655</v>
      </c>
      <c r="B611" s="17">
        <v>2012</v>
      </c>
      <c r="C611" s="18" t="str">
        <f t="shared" si="29"/>
        <v>Elkhorn Slough_39655_Outfall_0.5347</v>
      </c>
      <c r="D611" s="4" t="s">
        <v>45</v>
      </c>
      <c r="E611" s="6" t="s">
        <v>279</v>
      </c>
      <c r="F611" s="70" t="s">
        <v>288</v>
      </c>
      <c r="G611" s="70">
        <v>1</v>
      </c>
      <c r="H611" s="82" t="s">
        <v>275</v>
      </c>
      <c r="I611" s="6">
        <v>68</v>
      </c>
      <c r="J611" s="70" t="s">
        <v>289</v>
      </c>
      <c r="K611" s="2">
        <f>(VLOOKUP(H611,'functions and szcl estimates'!$A$14:$I$23,4, FALSE))*(('raw data'!I305)^(VLOOKUP('raw data'!H305,'functions and szcl estimates'!$A$14:$I$23, 7, FALSE)))</f>
        <v>6.6383035854520545</v>
      </c>
      <c r="L611" s="12">
        <v>0.53472222222222199</v>
      </c>
      <c r="M611" s="8" t="s">
        <v>225</v>
      </c>
      <c r="N611" s="8">
        <f t="shared" si="30"/>
        <v>1.3888888888888618E-2</v>
      </c>
      <c r="O611" s="65">
        <v>24.25</v>
      </c>
      <c r="S611" t="s">
        <v>148</v>
      </c>
    </row>
    <row r="612" spans="1:19" x14ac:dyDescent="0.2">
      <c r="A612" s="18">
        <v>39655</v>
      </c>
      <c r="B612" s="17">
        <v>2012</v>
      </c>
      <c r="C612" s="18" t="str">
        <f t="shared" si="29"/>
        <v>Elkhorn Slough_39655_Outfall_0.5347</v>
      </c>
      <c r="D612" s="4" t="s">
        <v>45</v>
      </c>
      <c r="E612" s="6" t="s">
        <v>279</v>
      </c>
      <c r="F612" s="70" t="s">
        <v>288</v>
      </c>
      <c r="G612" s="70">
        <v>1</v>
      </c>
      <c r="H612" s="82" t="s">
        <v>275</v>
      </c>
      <c r="I612" s="6">
        <v>72</v>
      </c>
      <c r="J612" s="70" t="s">
        <v>289</v>
      </c>
      <c r="K612" s="2">
        <f>(VLOOKUP(H612,'functions and szcl estimates'!$A$14:$I$23,4, FALSE))*(('raw data'!I306)^(VLOOKUP('raw data'!H306,'functions and szcl estimates'!$A$14:$I$23, 7, FALSE)))</f>
        <v>6.9522570362180476</v>
      </c>
      <c r="L612" s="12">
        <v>0.53472222222222199</v>
      </c>
      <c r="M612" s="12" t="s">
        <v>225</v>
      </c>
      <c r="N612" s="12">
        <f t="shared" si="30"/>
        <v>1.3888888888888618E-2</v>
      </c>
      <c r="O612" s="65">
        <v>24.25</v>
      </c>
      <c r="S612" t="s">
        <v>148</v>
      </c>
    </row>
    <row r="613" spans="1:19" x14ac:dyDescent="0.2">
      <c r="A613" s="18">
        <v>39655</v>
      </c>
      <c r="B613" s="17">
        <v>2012</v>
      </c>
      <c r="C613" s="18" t="str">
        <f t="shared" si="29"/>
        <v>Elkhorn Slough_39655_Outfall_0.5347</v>
      </c>
      <c r="D613" s="4" t="s">
        <v>45</v>
      </c>
      <c r="E613" s="6" t="s">
        <v>279</v>
      </c>
      <c r="F613" s="70" t="s">
        <v>288</v>
      </c>
      <c r="G613" s="70">
        <v>1</v>
      </c>
      <c r="H613" s="82" t="s">
        <v>275</v>
      </c>
      <c r="I613" s="6">
        <v>74</v>
      </c>
      <c r="J613" s="70" t="s">
        <v>289</v>
      </c>
      <c r="K613" s="2">
        <f>(VLOOKUP(H613,'functions and szcl estimates'!$A$14:$I$23,4, FALSE))*(('raw data'!I307)^(VLOOKUP('raw data'!H307,'functions and szcl estimates'!$A$14:$I$23, 7, FALSE)))</f>
        <v>7.603937007792001</v>
      </c>
      <c r="L613" s="12">
        <v>0.53472222222222199</v>
      </c>
      <c r="M613" s="8" t="s">
        <v>225</v>
      </c>
      <c r="N613" s="8">
        <f t="shared" si="30"/>
        <v>1.3888888888888618E-2</v>
      </c>
      <c r="O613" s="14">
        <v>24.25</v>
      </c>
      <c r="S613" t="s">
        <v>148</v>
      </c>
    </row>
    <row r="614" spans="1:19" x14ac:dyDescent="0.2">
      <c r="A614" s="18">
        <v>39655</v>
      </c>
      <c r="B614" s="17">
        <v>2012</v>
      </c>
      <c r="C614" s="18" t="str">
        <f t="shared" si="29"/>
        <v>Elkhorn Slough_39655_Outfall_0.5347</v>
      </c>
      <c r="D614" s="4" t="s">
        <v>45</v>
      </c>
      <c r="E614" s="6" t="s">
        <v>279</v>
      </c>
      <c r="F614" s="70" t="s">
        <v>288</v>
      </c>
      <c r="G614" s="70">
        <v>1</v>
      </c>
      <c r="H614" s="82" t="s">
        <v>275</v>
      </c>
      <c r="I614" s="6">
        <v>77</v>
      </c>
      <c r="J614" s="70" t="s">
        <v>289</v>
      </c>
      <c r="K614" s="2">
        <f>(VLOOKUP(H614,'functions and szcl estimates'!$A$14:$I$23,4, FALSE))*(('raw data'!I308)^(VLOOKUP('raw data'!H308,'functions and szcl estimates'!$A$14:$I$23, 7, FALSE)))</f>
        <v>7.9417267432814427</v>
      </c>
      <c r="L614" s="12">
        <v>0.53472222222222199</v>
      </c>
      <c r="M614" s="12" t="s">
        <v>225</v>
      </c>
      <c r="N614" s="12">
        <f t="shared" si="30"/>
        <v>1.3888888888888618E-2</v>
      </c>
      <c r="O614" s="65">
        <v>24.25</v>
      </c>
      <c r="S614" t="s">
        <v>148</v>
      </c>
    </row>
    <row r="615" spans="1:19" x14ac:dyDescent="0.2">
      <c r="A615" s="18">
        <v>39655</v>
      </c>
      <c r="B615" s="17">
        <v>2012</v>
      </c>
      <c r="C615" s="18" t="str">
        <f t="shared" si="29"/>
        <v>Elkhorn Slough_39655_Outfall_0.5347</v>
      </c>
      <c r="D615" s="4" t="s">
        <v>45</v>
      </c>
      <c r="E615" s="6" t="s">
        <v>279</v>
      </c>
      <c r="F615" s="70" t="s">
        <v>288</v>
      </c>
      <c r="G615" s="70">
        <v>1</v>
      </c>
      <c r="H615" s="82" t="s">
        <v>275</v>
      </c>
      <c r="I615" s="6">
        <v>78</v>
      </c>
      <c r="J615" s="70" t="s">
        <v>289</v>
      </c>
      <c r="K615" s="2">
        <f>(VLOOKUP(H615,'functions and szcl estimates'!$A$14:$I$23,4, FALSE))*(('raw data'!I309)^(VLOOKUP('raw data'!H309,'functions and szcl estimates'!$A$14:$I$23, 7, FALSE)))</f>
        <v>7.9417267432814427</v>
      </c>
      <c r="L615" s="12">
        <v>0.53472222222222199</v>
      </c>
      <c r="M615" s="12" t="s">
        <v>225</v>
      </c>
      <c r="N615" s="12">
        <f t="shared" si="30"/>
        <v>1.3888888888888618E-2</v>
      </c>
      <c r="O615" s="65">
        <v>24.25</v>
      </c>
      <c r="S615" t="s">
        <v>148</v>
      </c>
    </row>
    <row r="616" spans="1:19" x14ac:dyDescent="0.2">
      <c r="A616" s="18">
        <v>39655</v>
      </c>
      <c r="B616" s="17">
        <v>2012</v>
      </c>
      <c r="C616" s="18" t="str">
        <f t="shared" si="29"/>
        <v>Elkhorn Slough_39655_Outfall_0.5347</v>
      </c>
      <c r="D616" s="4" t="s">
        <v>45</v>
      </c>
      <c r="E616" s="6" t="s">
        <v>279</v>
      </c>
      <c r="F616" s="70" t="s">
        <v>288</v>
      </c>
      <c r="G616" s="70">
        <v>1</v>
      </c>
      <c r="H616" s="82" t="s">
        <v>275</v>
      </c>
      <c r="I616" s="6">
        <v>81</v>
      </c>
      <c r="J616" s="70" t="s">
        <v>289</v>
      </c>
      <c r="K616" s="2">
        <f>(VLOOKUP(H616,'functions and szcl estimates'!$A$14:$I$23,4, FALSE))*(('raw data'!I310)^(VLOOKUP('raw data'!H310,'functions and szcl estimates'!$A$14:$I$23, 7, FALSE)))</f>
        <v>8.2875242745713358</v>
      </c>
      <c r="L616" s="12">
        <v>0.53472222222222199</v>
      </c>
      <c r="M616" s="12" t="s">
        <v>225</v>
      </c>
      <c r="N616" s="12">
        <f t="shared" si="30"/>
        <v>1.3888888888888618E-2</v>
      </c>
      <c r="O616" s="65">
        <v>24.25</v>
      </c>
      <c r="S616" t="s">
        <v>148</v>
      </c>
    </row>
    <row r="617" spans="1:19" x14ac:dyDescent="0.2">
      <c r="A617" s="18">
        <v>39655</v>
      </c>
      <c r="B617" s="17">
        <v>2012</v>
      </c>
      <c r="C617" s="18" t="str">
        <f t="shared" si="29"/>
        <v>Elkhorn Slough_39655_Outfall_0.5347</v>
      </c>
      <c r="D617" s="4" t="s">
        <v>45</v>
      </c>
      <c r="E617" s="6" t="s">
        <v>279</v>
      </c>
      <c r="F617" s="70" t="s">
        <v>288</v>
      </c>
      <c r="G617" s="70">
        <v>1</v>
      </c>
      <c r="H617" s="82" t="s">
        <v>275</v>
      </c>
      <c r="I617" s="6">
        <v>81</v>
      </c>
      <c r="J617" s="70" t="s">
        <v>289</v>
      </c>
      <c r="K617" s="2">
        <f>(VLOOKUP(H617,'functions and szcl estimates'!$A$14:$I$23,4, FALSE))*(('raw data'!I311)^(VLOOKUP('raw data'!H311,'functions and szcl estimates'!$A$14:$I$23, 7, FALSE)))</f>
        <v>8.6413599652161981</v>
      </c>
      <c r="L617" s="12">
        <v>0.53472222222222199</v>
      </c>
      <c r="M617" s="12" t="s">
        <v>225</v>
      </c>
      <c r="N617" s="12">
        <f t="shared" si="30"/>
        <v>1.3888888888888618E-2</v>
      </c>
      <c r="O617" s="65">
        <v>24.25</v>
      </c>
      <c r="S617" t="s">
        <v>148</v>
      </c>
    </row>
    <row r="618" spans="1:19" x14ac:dyDescent="0.2">
      <c r="A618" s="18">
        <v>39655</v>
      </c>
      <c r="B618" s="17">
        <v>2012</v>
      </c>
      <c r="C618" s="18" t="str">
        <f t="shared" si="29"/>
        <v>Elkhorn Slough_39655_Outfall_0.5347</v>
      </c>
      <c r="D618" s="4" t="s">
        <v>45</v>
      </c>
      <c r="E618" s="6" t="s">
        <v>279</v>
      </c>
      <c r="F618" s="70" t="s">
        <v>288</v>
      </c>
      <c r="G618" s="70">
        <v>1</v>
      </c>
      <c r="H618" s="82" t="s">
        <v>275</v>
      </c>
      <c r="I618" s="6">
        <v>112</v>
      </c>
      <c r="J618" s="70" t="s">
        <v>289</v>
      </c>
      <c r="K618" s="2">
        <f>(VLOOKUP(H618,'functions and szcl estimates'!$A$14:$I$23,4, FALSE))*(('raw data'!I312)^(VLOOKUP('raw data'!H312,'functions and szcl estimates'!$A$14:$I$23, 7, FALSE)))</f>
        <v>8.6413599652161981</v>
      </c>
      <c r="L618" s="12">
        <v>0.53472222222222199</v>
      </c>
      <c r="M618" s="12" t="s">
        <v>225</v>
      </c>
      <c r="N618" s="12">
        <f t="shared" si="30"/>
        <v>1.3888888888888618E-2</v>
      </c>
      <c r="O618" s="65">
        <v>24.25</v>
      </c>
      <c r="S618" t="s">
        <v>148</v>
      </c>
    </row>
    <row r="619" spans="1:19" x14ac:dyDescent="0.2">
      <c r="A619" s="18">
        <v>39657</v>
      </c>
      <c r="B619" s="17">
        <v>2012</v>
      </c>
      <c r="C619" s="18" t="str">
        <f t="shared" si="29"/>
        <v>Elkhorn Slough_39657_Crop Circles_0.3646</v>
      </c>
      <c r="D619" s="4" t="s">
        <v>45</v>
      </c>
      <c r="E619" s="6" t="s">
        <v>277</v>
      </c>
      <c r="F619" s="70" t="s">
        <v>288</v>
      </c>
      <c r="G619" s="70">
        <v>1</v>
      </c>
      <c r="H619" s="82" t="s">
        <v>275</v>
      </c>
      <c r="I619" s="6">
        <v>66</v>
      </c>
      <c r="J619" s="70" t="s">
        <v>289</v>
      </c>
      <c r="K619" s="2">
        <f>(VLOOKUP(H619,'functions and szcl estimates'!$A$14:$I$23,4, FALSE))*(('raw data'!I346)^(VLOOKUP('raw data'!H346,'functions and szcl estimates'!$A$14:$I$23, 7, FALSE)))</f>
        <v>12.19238916274778</v>
      </c>
      <c r="L619" s="12">
        <v>0.36458333333333298</v>
      </c>
      <c r="M619" s="12" t="s">
        <v>34</v>
      </c>
      <c r="N619" s="12">
        <f t="shared" si="30"/>
        <v>-7.9861111111111438E-2</v>
      </c>
      <c r="O619" s="65">
        <v>50</v>
      </c>
      <c r="S619" t="s">
        <v>148</v>
      </c>
    </row>
    <row r="620" spans="1:19" x14ac:dyDescent="0.2">
      <c r="A620" s="18">
        <v>39657</v>
      </c>
      <c r="B620" s="17">
        <v>2012</v>
      </c>
      <c r="C620" s="18" t="str">
        <f t="shared" si="29"/>
        <v>Elkhorn Slough_39657_Crop Circles_0.3646</v>
      </c>
      <c r="D620" s="4" t="s">
        <v>45</v>
      </c>
      <c r="E620" s="6" t="s">
        <v>277</v>
      </c>
      <c r="F620" s="70" t="s">
        <v>288</v>
      </c>
      <c r="G620" s="70">
        <v>1</v>
      </c>
      <c r="H620" s="82" t="s">
        <v>275</v>
      </c>
      <c r="I620" s="6">
        <v>80</v>
      </c>
      <c r="J620" s="70" t="s">
        <v>289</v>
      </c>
      <c r="K620" s="2">
        <f>(VLOOKUP(H620,'functions and szcl estimates'!$A$14:$I$23,4, FALSE))*(('raw data'!I347)^(VLOOKUP('raw data'!H347,'functions and szcl estimates'!$A$14:$I$23, 7, FALSE)))</f>
        <v>6.6383035854520545</v>
      </c>
      <c r="L620" s="12">
        <v>0.36458333333333298</v>
      </c>
      <c r="M620" s="12" t="s">
        <v>34</v>
      </c>
      <c r="N620" s="12">
        <f t="shared" si="30"/>
        <v>-7.9861111111111438E-2</v>
      </c>
      <c r="O620" s="65">
        <v>50</v>
      </c>
      <c r="S620" t="s">
        <v>148</v>
      </c>
    </row>
    <row r="621" spans="1:19" x14ac:dyDescent="0.2">
      <c r="A621" s="18">
        <v>39657</v>
      </c>
      <c r="B621" s="17">
        <v>2012</v>
      </c>
      <c r="C621" s="18" t="str">
        <f t="shared" si="29"/>
        <v>Elkhorn Slough_39657_Crop Circles_0.3646</v>
      </c>
      <c r="D621" s="4" t="s">
        <v>45</v>
      </c>
      <c r="E621" s="6" t="s">
        <v>277</v>
      </c>
      <c r="F621" s="70" t="s">
        <v>288</v>
      </c>
      <c r="G621" s="70">
        <v>1</v>
      </c>
      <c r="H621" s="82" t="s">
        <v>275</v>
      </c>
      <c r="I621" s="6">
        <v>87</v>
      </c>
      <c r="J621" s="70" t="s">
        <v>289</v>
      </c>
      <c r="K621" s="2">
        <f>(VLOOKUP(H621,'functions and szcl estimates'!$A$14:$I$23,4, FALSE))*(('raw data'!I348)^(VLOOKUP('raw data'!H348,'functions and szcl estimates'!$A$14:$I$23, 7, FALSE)))</f>
        <v>9.3732649616326107</v>
      </c>
      <c r="L621" s="12">
        <v>0.36458333333333298</v>
      </c>
      <c r="M621" s="12" t="s">
        <v>34</v>
      </c>
      <c r="N621" s="12">
        <f t="shared" si="30"/>
        <v>-7.9861111111111438E-2</v>
      </c>
      <c r="O621" s="65">
        <v>50</v>
      </c>
      <c r="S621" t="s">
        <v>148</v>
      </c>
    </row>
    <row r="622" spans="1:19" x14ac:dyDescent="0.2">
      <c r="A622" s="18">
        <v>39657</v>
      </c>
      <c r="B622" s="17">
        <v>2012</v>
      </c>
      <c r="C622" s="18" t="str">
        <f t="shared" si="29"/>
        <v>Elkhorn Slough_39657_Crop Circles_0.3646</v>
      </c>
      <c r="D622" s="4" t="s">
        <v>45</v>
      </c>
      <c r="E622" s="6" t="s">
        <v>277</v>
      </c>
      <c r="F622" s="70" t="s">
        <v>288</v>
      </c>
      <c r="G622" s="70">
        <v>1</v>
      </c>
      <c r="H622" s="82" t="s">
        <v>275</v>
      </c>
      <c r="I622" s="6">
        <v>92</v>
      </c>
      <c r="J622" s="70" t="s">
        <v>289</v>
      </c>
      <c r="K622" s="2">
        <f>(VLOOKUP(H622,'functions and szcl estimates'!$A$14:$I$23,4, FALSE))*(('raw data'!I349)^(VLOOKUP('raw data'!H349,'functions and szcl estimates'!$A$14:$I$23, 7, FALSE)))</f>
        <v>7.2741242213113573</v>
      </c>
      <c r="L622" s="12">
        <v>0.36458333333333298</v>
      </c>
      <c r="M622" s="12" t="s">
        <v>34</v>
      </c>
      <c r="N622" s="12">
        <f t="shared" si="30"/>
        <v>-7.9861111111111438E-2</v>
      </c>
      <c r="O622" s="65">
        <v>50</v>
      </c>
      <c r="S622" t="s">
        <v>148</v>
      </c>
    </row>
    <row r="623" spans="1:19" x14ac:dyDescent="0.2">
      <c r="A623" s="18">
        <v>39658</v>
      </c>
      <c r="B623" s="17">
        <v>2012</v>
      </c>
      <c r="C623" s="18" t="str">
        <f t="shared" si="29"/>
        <v>Elkhorn Slough_39658_Outfall_0.5208</v>
      </c>
      <c r="D623" s="4" t="s">
        <v>45</v>
      </c>
      <c r="E623" s="6" t="s">
        <v>17</v>
      </c>
      <c r="F623" s="70" t="s">
        <v>288</v>
      </c>
      <c r="G623" s="70">
        <v>1</v>
      </c>
      <c r="H623" s="82" t="s">
        <v>275</v>
      </c>
      <c r="I623" s="6">
        <v>69</v>
      </c>
      <c r="J623" s="70" t="s">
        <v>289</v>
      </c>
      <c r="K623" s="2">
        <f>(VLOOKUP(H623,'functions and szcl estimates'!$A$14:$I$23,4, FALSE))*(('raw data'!I355)^(VLOOKUP('raw data'!H355,'functions and szcl estimates'!$A$14:$I$23, 7, FALSE)))</f>
        <v>7.2741242213113573</v>
      </c>
      <c r="L623" s="12">
        <v>0.52083333333333304</v>
      </c>
      <c r="M623" s="12" t="s">
        <v>216</v>
      </c>
      <c r="N623" s="12">
        <f t="shared" si="30"/>
        <v>5.2083333333333037E-2</v>
      </c>
      <c r="O623" s="65">
        <v>22.75</v>
      </c>
      <c r="S623" t="s">
        <v>148</v>
      </c>
    </row>
    <row r="624" spans="1:19" x14ac:dyDescent="0.2">
      <c r="A624" s="18">
        <v>39658</v>
      </c>
      <c r="B624" s="17">
        <v>2012</v>
      </c>
      <c r="C624" s="18" t="str">
        <f t="shared" si="29"/>
        <v>Elkhorn Slough_39658_Outfall_0.5208</v>
      </c>
      <c r="D624" s="4" t="s">
        <v>45</v>
      </c>
      <c r="E624" s="6" t="s">
        <v>17</v>
      </c>
      <c r="F624" s="70" t="s">
        <v>288</v>
      </c>
      <c r="G624" s="70">
        <v>1</v>
      </c>
      <c r="H624" s="82" t="s">
        <v>275</v>
      </c>
      <c r="I624" s="6">
        <v>71</v>
      </c>
      <c r="J624" s="70" t="s">
        <v>289</v>
      </c>
      <c r="K624" s="2">
        <f>(VLOOKUP(H624,'functions and szcl estimates'!$A$14:$I$23,4, FALSE))*(('raw data'!I356)^(VLOOKUP('raw data'!H356,'functions and szcl estimates'!$A$14:$I$23, 7, FALSE)))</f>
        <v>7.603937007792001</v>
      </c>
      <c r="L624" s="12">
        <v>0.52083333333333304</v>
      </c>
      <c r="M624" s="8" t="s">
        <v>216</v>
      </c>
      <c r="N624" s="8">
        <f t="shared" si="30"/>
        <v>5.2083333333333037E-2</v>
      </c>
      <c r="O624" s="14">
        <v>22.75</v>
      </c>
      <c r="S624" t="s">
        <v>148</v>
      </c>
    </row>
    <row r="625" spans="1:19" x14ac:dyDescent="0.2">
      <c r="A625" s="18">
        <v>39658</v>
      </c>
      <c r="B625" s="17">
        <v>2012</v>
      </c>
      <c r="C625" s="18" t="str">
        <f t="shared" si="29"/>
        <v>Elkhorn Slough_39658_Outfall_0.5208</v>
      </c>
      <c r="D625" s="4" t="s">
        <v>45</v>
      </c>
      <c r="E625" s="6" t="s">
        <v>17</v>
      </c>
      <c r="F625" s="70" t="s">
        <v>288</v>
      </c>
      <c r="G625" s="70">
        <v>1</v>
      </c>
      <c r="H625" s="82" t="s">
        <v>275</v>
      </c>
      <c r="I625" s="6">
        <v>80</v>
      </c>
      <c r="J625" s="70" t="s">
        <v>289</v>
      </c>
      <c r="K625" s="2">
        <f>(VLOOKUP(H625,'functions and szcl estimates'!$A$14:$I$23,4, FALSE))*(('raw data'!I357)^(VLOOKUP('raw data'!H357,'functions and szcl estimates'!$A$14:$I$23, 7, FALSE)))</f>
        <v>7.603937007792001</v>
      </c>
      <c r="L625" s="12">
        <v>0.52083333333333304</v>
      </c>
      <c r="M625" s="12" t="s">
        <v>216</v>
      </c>
      <c r="N625" s="12">
        <f t="shared" si="30"/>
        <v>5.2083333333333037E-2</v>
      </c>
      <c r="O625" s="65">
        <v>22.75</v>
      </c>
      <c r="S625" t="s">
        <v>148</v>
      </c>
    </row>
    <row r="626" spans="1:19" x14ac:dyDescent="0.2">
      <c r="A626" s="18">
        <v>39658</v>
      </c>
      <c r="B626" s="17">
        <v>2012</v>
      </c>
      <c r="C626" s="18" t="str">
        <f t="shared" si="29"/>
        <v>Elkhorn Slough_39658_Outfall_0.5208</v>
      </c>
      <c r="D626" s="4" t="s">
        <v>45</v>
      </c>
      <c r="E626" s="6" t="s">
        <v>17</v>
      </c>
      <c r="F626" s="70" t="s">
        <v>288</v>
      </c>
      <c r="G626" s="70">
        <v>1</v>
      </c>
      <c r="H626" s="82" t="s">
        <v>275</v>
      </c>
      <c r="I626" s="6">
        <v>81</v>
      </c>
      <c r="J626" s="70" t="s">
        <v>289</v>
      </c>
      <c r="K626" s="2">
        <f>(VLOOKUP(H626,'functions and szcl estimates'!$A$14:$I$23,4, FALSE))*(('raw data'!I358)^(VLOOKUP('raw data'!H358,'functions and szcl estimates'!$A$14:$I$23, 7, FALSE)))</f>
        <v>7.603937007792001</v>
      </c>
      <c r="L626" s="12">
        <v>0.52083333333333304</v>
      </c>
      <c r="M626" s="12" t="s">
        <v>216</v>
      </c>
      <c r="N626" s="12">
        <f t="shared" si="30"/>
        <v>5.2083333333333037E-2</v>
      </c>
      <c r="O626" s="65">
        <v>22.75</v>
      </c>
      <c r="S626" t="s">
        <v>148</v>
      </c>
    </row>
    <row r="627" spans="1:19" x14ac:dyDescent="0.2">
      <c r="A627" s="18">
        <v>39658</v>
      </c>
      <c r="B627" s="17">
        <v>2012</v>
      </c>
      <c r="C627" s="18" t="str">
        <f t="shared" si="29"/>
        <v>Elkhorn Slough_39658_Outfall_0.5208</v>
      </c>
      <c r="D627" s="4" t="s">
        <v>45</v>
      </c>
      <c r="E627" s="6" t="s">
        <v>17</v>
      </c>
      <c r="F627" s="70" t="s">
        <v>288</v>
      </c>
      <c r="G627" s="70">
        <v>1</v>
      </c>
      <c r="H627" s="82" t="s">
        <v>275</v>
      </c>
      <c r="I627" s="6">
        <v>81</v>
      </c>
      <c r="J627" s="70" t="s">
        <v>289</v>
      </c>
      <c r="K627" s="2">
        <f>(VLOOKUP(H627,'functions and szcl estimates'!$A$14:$I$23,4, FALSE))*(('raw data'!I359)^(VLOOKUP('raw data'!H359,'functions and szcl estimates'!$A$14:$I$23, 7, FALSE)))</f>
        <v>7.9417267432814427</v>
      </c>
      <c r="L627" s="12">
        <v>0.52083333333333304</v>
      </c>
      <c r="M627" s="12" t="s">
        <v>216</v>
      </c>
      <c r="N627" s="12">
        <f t="shared" si="30"/>
        <v>5.2083333333333037E-2</v>
      </c>
      <c r="O627" s="65">
        <v>22.75</v>
      </c>
      <c r="S627" t="s">
        <v>148</v>
      </c>
    </row>
    <row r="628" spans="1:19" x14ac:dyDescent="0.2">
      <c r="A628" s="5">
        <v>39658</v>
      </c>
      <c r="B628" s="17">
        <v>2012</v>
      </c>
      <c r="C628" s="18" t="str">
        <f t="shared" si="29"/>
        <v>Elkhorn Slough_39658_Outfall_0.5208</v>
      </c>
      <c r="D628" s="4" t="s">
        <v>45</v>
      </c>
      <c r="E628" s="6" t="s">
        <v>17</v>
      </c>
      <c r="F628" s="70" t="s">
        <v>288</v>
      </c>
      <c r="G628" s="70">
        <v>1</v>
      </c>
      <c r="H628" s="82" t="s">
        <v>275</v>
      </c>
      <c r="I628" s="6">
        <v>84</v>
      </c>
      <c r="J628" s="70" t="s">
        <v>289</v>
      </c>
      <c r="K628" s="2">
        <f>(VLOOKUP(H628,'functions and szcl estimates'!$A$14:$I$23,4, FALSE))*(('raw data'!I360)^(VLOOKUP('raw data'!H360,'functions and szcl estimates'!$A$14:$I$23, 7, FALSE)))</f>
        <v>7.9417267432814427</v>
      </c>
      <c r="L628" s="12">
        <v>0.52083333333333304</v>
      </c>
      <c r="M628" s="8" t="s">
        <v>216</v>
      </c>
      <c r="N628" s="8">
        <f t="shared" si="30"/>
        <v>5.2083333333333037E-2</v>
      </c>
      <c r="O628" s="14">
        <v>22.75</v>
      </c>
      <c r="S628" t="s">
        <v>148</v>
      </c>
    </row>
    <row r="629" spans="1:19" x14ac:dyDescent="0.2">
      <c r="A629" s="18">
        <v>39658</v>
      </c>
      <c r="B629" s="17">
        <v>2012</v>
      </c>
      <c r="C629" s="18" t="str">
        <f t="shared" si="29"/>
        <v>Elkhorn Slough_39658_Outfall_0.5208</v>
      </c>
      <c r="D629" s="4" t="s">
        <v>45</v>
      </c>
      <c r="E629" s="6" t="s">
        <v>17</v>
      </c>
      <c r="F629" s="70" t="s">
        <v>288</v>
      </c>
      <c r="G629" s="70">
        <v>1</v>
      </c>
      <c r="H629" s="82" t="s">
        <v>275</v>
      </c>
      <c r="I629" s="6">
        <v>85</v>
      </c>
      <c r="J629" s="70" t="s">
        <v>289</v>
      </c>
      <c r="K629" s="2">
        <f>(VLOOKUP(H629,'functions and szcl estimates'!$A$14:$I$23,4, FALSE))*(('raw data'!I361)^(VLOOKUP('raw data'!H361,'functions and szcl estimates'!$A$14:$I$23, 7, FALSE)))</f>
        <v>7.9417267432814427</v>
      </c>
      <c r="L629" s="12">
        <v>0.52083333333333304</v>
      </c>
      <c r="M629" s="12" t="s">
        <v>216</v>
      </c>
      <c r="N629" s="12">
        <f t="shared" si="30"/>
        <v>5.2083333333333037E-2</v>
      </c>
      <c r="O629" s="65">
        <v>22.75</v>
      </c>
      <c r="S629" t="s">
        <v>148</v>
      </c>
    </row>
    <row r="630" spans="1:19" x14ac:dyDescent="0.2">
      <c r="A630" s="18">
        <v>39658</v>
      </c>
      <c r="B630" s="17">
        <v>2012</v>
      </c>
      <c r="C630" s="18" t="str">
        <f t="shared" si="29"/>
        <v>Elkhorn Slough_39658_Outfall_0.5208</v>
      </c>
      <c r="D630" s="4" t="s">
        <v>45</v>
      </c>
      <c r="E630" s="6" t="s">
        <v>17</v>
      </c>
      <c r="F630" s="70" t="s">
        <v>288</v>
      </c>
      <c r="G630" s="70">
        <v>1</v>
      </c>
      <c r="H630" s="82" t="s">
        <v>275</v>
      </c>
      <c r="I630" s="6">
        <v>94</v>
      </c>
      <c r="J630" s="70" t="s">
        <v>289</v>
      </c>
      <c r="K630" s="2">
        <f>(VLOOKUP(H630,'functions and szcl estimates'!$A$14:$I$23,4, FALSE))*(('raw data'!I362)^(VLOOKUP('raw data'!H362,'functions and szcl estimates'!$A$14:$I$23, 7, FALSE)))</f>
        <v>8.2875242745713358</v>
      </c>
      <c r="L630" s="12">
        <v>0.52083333333333304</v>
      </c>
      <c r="M630" s="12" t="s">
        <v>216</v>
      </c>
      <c r="N630" s="12">
        <f t="shared" si="30"/>
        <v>5.2083333333333037E-2</v>
      </c>
      <c r="O630" s="65">
        <v>22.75</v>
      </c>
      <c r="S630" t="s">
        <v>148</v>
      </c>
    </row>
    <row r="631" spans="1:19" x14ac:dyDescent="0.2">
      <c r="A631" s="18">
        <v>39658</v>
      </c>
      <c r="B631" s="17">
        <v>2012</v>
      </c>
      <c r="C631" s="18" t="str">
        <f t="shared" si="29"/>
        <v>Elkhorn Slough_39658_Outfall_0.5208</v>
      </c>
      <c r="D631" s="4" t="s">
        <v>45</v>
      </c>
      <c r="E631" s="6" t="s">
        <v>17</v>
      </c>
      <c r="F631" s="70" t="s">
        <v>288</v>
      </c>
      <c r="G631" s="70">
        <v>1</v>
      </c>
      <c r="H631" s="82" t="s">
        <v>275</v>
      </c>
      <c r="I631" s="6">
        <v>95</v>
      </c>
      <c r="J631" s="70" t="s">
        <v>289</v>
      </c>
      <c r="K631" s="2">
        <f>(VLOOKUP(H631,'functions and szcl estimates'!$A$14:$I$23,4, FALSE))*(('raw data'!I363)^(VLOOKUP('raw data'!H363,'functions and szcl estimates'!$A$14:$I$23, 7, FALSE)))</f>
        <v>8.2875242745713358</v>
      </c>
      <c r="L631" s="12">
        <v>0.52083333333333304</v>
      </c>
      <c r="M631" s="12" t="s">
        <v>216</v>
      </c>
      <c r="N631" s="12">
        <f t="shared" ref="N631:N661" si="31">L631-M631</f>
        <v>5.2083333333333037E-2</v>
      </c>
      <c r="O631" s="65">
        <v>22.75</v>
      </c>
      <c r="S631" t="s">
        <v>148</v>
      </c>
    </row>
    <row r="632" spans="1:19" x14ac:dyDescent="0.2">
      <c r="A632" s="18">
        <v>39658</v>
      </c>
      <c r="B632" s="17">
        <v>2012</v>
      </c>
      <c r="C632" s="18" t="str">
        <f t="shared" si="29"/>
        <v>Elkhorn Slough_39658_Outfall_0.5208</v>
      </c>
      <c r="D632" s="4" t="s">
        <v>45</v>
      </c>
      <c r="E632" s="6" t="s">
        <v>17</v>
      </c>
      <c r="F632" s="70" t="s">
        <v>288</v>
      </c>
      <c r="G632" s="70">
        <v>1</v>
      </c>
      <c r="H632" s="82" t="s">
        <v>275</v>
      </c>
      <c r="I632" s="6">
        <v>99</v>
      </c>
      <c r="J632" s="70" t="s">
        <v>289</v>
      </c>
      <c r="K632" s="2">
        <f>(VLOOKUP(H632,'functions and szcl estimates'!$A$14:$I$23,4, FALSE))*(('raw data'!I364)^(VLOOKUP('raw data'!H364,'functions and szcl estimates'!$A$14:$I$23, 7, FALSE)))</f>
        <v>8.2875242745713358</v>
      </c>
      <c r="L632" s="12">
        <v>0.52083333333333304</v>
      </c>
      <c r="M632" s="12" t="s">
        <v>216</v>
      </c>
      <c r="N632" s="12">
        <f t="shared" si="31"/>
        <v>5.2083333333333037E-2</v>
      </c>
      <c r="O632" s="65">
        <v>22.75</v>
      </c>
      <c r="S632" t="s">
        <v>148</v>
      </c>
    </row>
    <row r="633" spans="1:19" x14ac:dyDescent="0.2">
      <c r="A633" s="18">
        <v>39658</v>
      </c>
      <c r="B633" s="17">
        <v>2012</v>
      </c>
      <c r="C633" s="18" t="str">
        <f t="shared" si="29"/>
        <v>Elkhorn Slough_39658_Outfall_0.5208</v>
      </c>
      <c r="D633" s="4" t="s">
        <v>45</v>
      </c>
      <c r="E633" s="6" t="s">
        <v>17</v>
      </c>
      <c r="F633" s="70" t="s">
        <v>288</v>
      </c>
      <c r="G633" s="70">
        <v>1</v>
      </c>
      <c r="H633" s="82" t="s">
        <v>275</v>
      </c>
      <c r="I633" s="6">
        <v>103</v>
      </c>
      <c r="J633" s="70" t="s">
        <v>289</v>
      </c>
      <c r="K633" s="2">
        <f>(VLOOKUP(H633,'functions and szcl estimates'!$A$14:$I$23,4, FALSE))*(('raw data'!I365)^(VLOOKUP('raw data'!H365,'functions and szcl estimates'!$A$14:$I$23, 7, FALSE)))</f>
        <v>8.6413599652161981</v>
      </c>
      <c r="L633" s="12">
        <v>0.52083333333333304</v>
      </c>
      <c r="M633" s="12" t="s">
        <v>216</v>
      </c>
      <c r="N633" s="12">
        <f t="shared" si="31"/>
        <v>5.2083333333333037E-2</v>
      </c>
      <c r="O633" s="65">
        <v>22.75</v>
      </c>
      <c r="S633" t="s">
        <v>148</v>
      </c>
    </row>
    <row r="634" spans="1:19" x14ac:dyDescent="0.2">
      <c r="A634" s="18">
        <v>39658</v>
      </c>
      <c r="B634" s="17">
        <v>2012</v>
      </c>
      <c r="C634" s="18" t="str">
        <f t="shared" si="29"/>
        <v>Elkhorn Slough_39658_Outfall_0.5208</v>
      </c>
      <c r="D634" s="4" t="s">
        <v>45</v>
      </c>
      <c r="E634" s="6" t="s">
        <v>17</v>
      </c>
      <c r="F634" s="70" t="s">
        <v>288</v>
      </c>
      <c r="G634" s="70">
        <v>1</v>
      </c>
      <c r="H634" s="82" t="s">
        <v>275</v>
      </c>
      <c r="I634" s="6">
        <v>113</v>
      </c>
      <c r="J634" s="70" t="s">
        <v>289</v>
      </c>
      <c r="K634" s="2">
        <f>(VLOOKUP(H634,'functions and szcl estimates'!$A$14:$I$23,4, FALSE))*(('raw data'!I366)^(VLOOKUP('raw data'!H366,'functions and szcl estimates'!$A$14:$I$23, 7, FALSE)))</f>
        <v>8.6413599652161981</v>
      </c>
      <c r="L634" s="12">
        <v>0.52083333333333304</v>
      </c>
      <c r="M634" s="12" t="s">
        <v>216</v>
      </c>
      <c r="N634" s="12">
        <f t="shared" si="31"/>
        <v>5.2083333333333037E-2</v>
      </c>
      <c r="O634" s="65">
        <v>22.75</v>
      </c>
      <c r="S634" t="s">
        <v>148</v>
      </c>
    </row>
    <row r="635" spans="1:19" x14ac:dyDescent="0.2">
      <c r="A635" s="18">
        <v>39658</v>
      </c>
      <c r="B635" s="17">
        <v>2012</v>
      </c>
      <c r="C635" s="18" t="str">
        <f t="shared" si="29"/>
        <v>Elkhorn Slough_39658_Outfall_0.5208</v>
      </c>
      <c r="D635" s="4" t="s">
        <v>45</v>
      </c>
      <c r="E635" s="6" t="s">
        <v>17</v>
      </c>
      <c r="F635" s="70" t="s">
        <v>288</v>
      </c>
      <c r="G635" s="70">
        <v>1</v>
      </c>
      <c r="H635" s="82" t="s">
        <v>275</v>
      </c>
      <c r="I635" s="6">
        <v>120</v>
      </c>
      <c r="J635" s="70" t="s">
        <v>289</v>
      </c>
      <c r="K635" s="2">
        <f>(VLOOKUP(H635,'functions and szcl estimates'!$A$14:$I$23,4, FALSE))*(('raw data'!I367)^(VLOOKUP('raw data'!H367,'functions and szcl estimates'!$A$14:$I$23, 7, FALSE)))</f>
        <v>8.6413599652161981</v>
      </c>
      <c r="L635" s="12">
        <v>0.52083333333333304</v>
      </c>
      <c r="M635" s="12" t="s">
        <v>216</v>
      </c>
      <c r="N635" s="12">
        <f t="shared" si="31"/>
        <v>5.2083333333333037E-2</v>
      </c>
      <c r="O635" s="65">
        <v>22.75</v>
      </c>
      <c r="S635" t="s">
        <v>148</v>
      </c>
    </row>
    <row r="636" spans="1:19" x14ac:dyDescent="0.2">
      <c r="A636" s="18">
        <v>39658</v>
      </c>
      <c r="B636" s="17">
        <v>2012</v>
      </c>
      <c r="C636" s="18" t="str">
        <f t="shared" si="29"/>
        <v>Elkhorn Slough_39658_Outfall_0.4688</v>
      </c>
      <c r="D636" s="4" t="s">
        <v>45</v>
      </c>
      <c r="E636" s="6" t="s">
        <v>17</v>
      </c>
      <c r="F636" s="70" t="s">
        <v>288</v>
      </c>
      <c r="G636" s="70">
        <v>1</v>
      </c>
      <c r="H636" s="82" t="s">
        <v>275</v>
      </c>
      <c r="I636" s="6">
        <v>55</v>
      </c>
      <c r="J636" s="70" t="s">
        <v>289</v>
      </c>
      <c r="K636" s="2">
        <f>(VLOOKUP(H636,'functions and szcl estimates'!$A$14:$I$23,4, FALSE))*(('raw data'!I373)^(VLOOKUP('raw data'!H373,'functions and szcl estimates'!$A$14:$I$23, 7, FALSE)))</f>
        <v>9.3732649616326107</v>
      </c>
      <c r="L636" s="12">
        <v>0.46875</v>
      </c>
      <c r="M636" s="12" t="s">
        <v>35</v>
      </c>
      <c r="N636" s="12">
        <f t="shared" si="31"/>
        <v>-0.25347222222222221</v>
      </c>
      <c r="O636" s="65">
        <v>6</v>
      </c>
      <c r="S636" t="s">
        <v>148</v>
      </c>
    </row>
    <row r="637" spans="1:19" x14ac:dyDescent="0.2">
      <c r="A637" s="18">
        <v>39658</v>
      </c>
      <c r="B637" s="17">
        <v>2012</v>
      </c>
      <c r="C637" s="18" t="str">
        <f t="shared" si="29"/>
        <v>Elkhorn Slough_39658_Outfall_0.4688</v>
      </c>
      <c r="D637" s="4" t="s">
        <v>45</v>
      </c>
      <c r="E637" s="6" t="s">
        <v>17</v>
      </c>
      <c r="F637" s="70" t="s">
        <v>288</v>
      </c>
      <c r="G637" s="70">
        <v>1</v>
      </c>
      <c r="H637" s="82" t="s">
        <v>275</v>
      </c>
      <c r="I637" s="6">
        <v>60</v>
      </c>
      <c r="J637" s="70" t="s">
        <v>289</v>
      </c>
      <c r="K637" s="2">
        <f>(VLOOKUP(H637,'functions and szcl estimates'!$A$14:$I$23,4, FALSE))*(('raw data'!I374)^(VLOOKUP('raw data'!H374,'functions and szcl estimates'!$A$14:$I$23, 7, FALSE)))</f>
        <v>9.3732649616326107</v>
      </c>
      <c r="L637" s="12">
        <v>0.46875</v>
      </c>
      <c r="M637" s="12" t="s">
        <v>35</v>
      </c>
      <c r="N637" s="12">
        <f t="shared" si="31"/>
        <v>-0.25347222222222221</v>
      </c>
      <c r="O637" s="65">
        <v>6</v>
      </c>
      <c r="S637" t="s">
        <v>148</v>
      </c>
    </row>
    <row r="638" spans="1:19" x14ac:dyDescent="0.2">
      <c r="A638" s="18">
        <v>39658</v>
      </c>
      <c r="B638" s="17">
        <v>2012</v>
      </c>
      <c r="C638" s="18" t="str">
        <f t="shared" si="29"/>
        <v>Elkhorn Slough_39658_Outfall_0.4688</v>
      </c>
      <c r="D638" s="4" t="s">
        <v>45</v>
      </c>
      <c r="E638" s="6" t="s">
        <v>17</v>
      </c>
      <c r="F638" s="70" t="s">
        <v>288</v>
      </c>
      <c r="G638" s="70">
        <v>1</v>
      </c>
      <c r="H638" s="82" t="s">
        <v>275</v>
      </c>
      <c r="I638" s="6">
        <v>61</v>
      </c>
      <c r="J638" s="70" t="s">
        <v>289</v>
      </c>
      <c r="K638" s="2">
        <f>(VLOOKUP(H638,'functions and szcl estimates'!$A$14:$I$23,4, FALSE))*(('raw data'!I375)^(VLOOKUP('raw data'!H375,'functions and szcl estimates'!$A$14:$I$23, 7, FALSE)))</f>
        <v>9.3732649616326107</v>
      </c>
      <c r="L638" s="12">
        <v>0.46875</v>
      </c>
      <c r="M638" s="12" t="s">
        <v>35</v>
      </c>
      <c r="N638" s="12">
        <f t="shared" si="31"/>
        <v>-0.25347222222222221</v>
      </c>
      <c r="O638" s="65">
        <v>6</v>
      </c>
      <c r="S638" t="s">
        <v>148</v>
      </c>
    </row>
    <row r="639" spans="1:19" x14ac:dyDescent="0.2">
      <c r="A639" s="18">
        <v>39658</v>
      </c>
      <c r="B639" s="17">
        <v>2012</v>
      </c>
      <c r="C639" s="18" t="str">
        <f t="shared" si="29"/>
        <v>Elkhorn Slough_39658_Outfall_0.4688</v>
      </c>
      <c r="D639" s="4" t="s">
        <v>45</v>
      </c>
      <c r="E639" s="6" t="s">
        <v>17</v>
      </c>
      <c r="F639" s="70" t="s">
        <v>288</v>
      </c>
      <c r="G639" s="70">
        <v>1</v>
      </c>
      <c r="H639" s="82" t="s">
        <v>275</v>
      </c>
      <c r="I639" s="6">
        <v>72</v>
      </c>
      <c r="J639" s="70" t="s">
        <v>289</v>
      </c>
      <c r="K639" s="2">
        <f>(VLOOKUP(H639,'functions and szcl estimates'!$A$14:$I$23,4, FALSE))*(('raw data'!I376)^(VLOOKUP('raw data'!H376,'functions and szcl estimates'!$A$14:$I$23, 7, FALSE)))</f>
        <v>9.3732649616326107</v>
      </c>
      <c r="L639" s="12">
        <v>0.46875</v>
      </c>
      <c r="M639" s="12" t="s">
        <v>35</v>
      </c>
      <c r="N639" s="12">
        <f t="shared" si="31"/>
        <v>-0.25347222222222221</v>
      </c>
      <c r="O639" s="65">
        <v>6</v>
      </c>
      <c r="S639" t="s">
        <v>148</v>
      </c>
    </row>
    <row r="640" spans="1:19" x14ac:dyDescent="0.2">
      <c r="A640" s="18">
        <v>39658</v>
      </c>
      <c r="B640" s="17">
        <v>2012</v>
      </c>
      <c r="C640" s="18" t="str">
        <f t="shared" si="29"/>
        <v>Elkhorn Slough_39658_Outfall_0.4688</v>
      </c>
      <c r="D640" s="4" t="s">
        <v>45</v>
      </c>
      <c r="E640" s="6" t="s">
        <v>17</v>
      </c>
      <c r="F640" s="70" t="s">
        <v>288</v>
      </c>
      <c r="G640" s="70">
        <v>1</v>
      </c>
      <c r="H640" s="82" t="s">
        <v>275</v>
      </c>
      <c r="I640" s="6">
        <v>73</v>
      </c>
      <c r="J640" s="70" t="s">
        <v>289</v>
      </c>
      <c r="K640" s="2">
        <f>(VLOOKUP(H640,'functions and szcl estimates'!$A$14:$I$23,4, FALSE))*(('raw data'!I377)^(VLOOKUP('raw data'!H377,'functions and szcl estimates'!$A$14:$I$23, 7, FALSE)))</f>
        <v>9.7513927238703904</v>
      </c>
      <c r="L640" s="12">
        <v>0.46875</v>
      </c>
      <c r="M640" s="12" t="s">
        <v>35</v>
      </c>
      <c r="N640" s="12">
        <f t="shared" si="31"/>
        <v>-0.25347222222222221</v>
      </c>
      <c r="O640" s="65">
        <v>6</v>
      </c>
      <c r="S640" t="s">
        <v>148</v>
      </c>
    </row>
    <row r="641" spans="1:19" x14ac:dyDescent="0.2">
      <c r="A641" s="18">
        <v>39658</v>
      </c>
      <c r="B641" s="17">
        <v>2012</v>
      </c>
      <c r="C641" s="18" t="str">
        <f t="shared" si="29"/>
        <v>Elkhorn Slough_39658_Outfall_0.4688</v>
      </c>
      <c r="D641" s="4" t="s">
        <v>45</v>
      </c>
      <c r="E641" s="6" t="s">
        <v>17</v>
      </c>
      <c r="F641" s="70" t="s">
        <v>288</v>
      </c>
      <c r="G641" s="70">
        <v>1</v>
      </c>
      <c r="H641" s="82" t="s">
        <v>275</v>
      </c>
      <c r="I641" s="6">
        <v>88</v>
      </c>
      <c r="J641" s="70" t="s">
        <v>289</v>
      </c>
      <c r="K641" s="2">
        <f>(VLOOKUP(H641,'functions and szcl estimates'!$A$14:$I$23,4, FALSE))*(('raw data'!I378)^(VLOOKUP('raw data'!H378,'functions and szcl estimates'!$A$14:$I$23, 7, FALSE)))</f>
        <v>9.7513927238703904</v>
      </c>
      <c r="L641" s="12">
        <v>0.46875</v>
      </c>
      <c r="M641" s="12" t="s">
        <v>35</v>
      </c>
      <c r="N641" s="12">
        <f t="shared" si="31"/>
        <v>-0.25347222222222221</v>
      </c>
      <c r="O641" s="65">
        <v>6</v>
      </c>
      <c r="S641" t="s">
        <v>148</v>
      </c>
    </row>
    <row r="642" spans="1:19" x14ac:dyDescent="0.2">
      <c r="A642" s="18">
        <v>39658</v>
      </c>
      <c r="B642" s="17">
        <v>2012</v>
      </c>
      <c r="C642" s="18" t="str">
        <f t="shared" si="29"/>
        <v>Elkhorn Slough_39658_Area 4_0.4306</v>
      </c>
      <c r="D642" s="4" t="s">
        <v>45</v>
      </c>
      <c r="E642" s="6" t="s">
        <v>3</v>
      </c>
      <c r="F642" s="70" t="s">
        <v>288</v>
      </c>
      <c r="G642" s="70">
        <v>1</v>
      </c>
      <c r="H642" s="82" t="s">
        <v>275</v>
      </c>
      <c r="I642" s="6">
        <v>42</v>
      </c>
      <c r="J642" s="70" t="s">
        <v>289</v>
      </c>
      <c r="K642" s="2">
        <f>(VLOOKUP(H642,'functions and szcl estimates'!$A$14:$I$23,4, FALSE))*(('raw data'!I384)^(VLOOKUP('raw data'!H384,'functions and szcl estimates'!$A$14:$I$23, 7, FALSE)))</f>
        <v>16.92882175664856</v>
      </c>
      <c r="L642" s="12">
        <v>0.43055555555555602</v>
      </c>
      <c r="M642" s="12" t="s">
        <v>38</v>
      </c>
      <c r="N642" s="12">
        <f t="shared" si="31"/>
        <v>-0.26736111111111061</v>
      </c>
      <c r="O642" s="65">
        <v>30.5</v>
      </c>
      <c r="S642" t="s">
        <v>148</v>
      </c>
    </row>
    <row r="643" spans="1:19" x14ac:dyDescent="0.2">
      <c r="A643" s="18">
        <v>39658</v>
      </c>
      <c r="B643" s="17">
        <v>2012</v>
      </c>
      <c r="C643" s="18" t="str">
        <f t="shared" ref="C643:C706" si="32">CONCATENATE(D643,"_",A643,"_",E643,"_",ROUND(L643,4))</f>
        <v>Elkhorn Slough_39658_Area 4_0.4306</v>
      </c>
      <c r="D643" s="4" t="s">
        <v>45</v>
      </c>
      <c r="E643" s="6" t="s">
        <v>3</v>
      </c>
      <c r="F643" s="70" t="s">
        <v>288</v>
      </c>
      <c r="G643" s="70">
        <v>1</v>
      </c>
      <c r="H643" s="82" t="s">
        <v>275</v>
      </c>
      <c r="I643" s="6">
        <v>44</v>
      </c>
      <c r="J643" s="70" t="s">
        <v>289</v>
      </c>
      <c r="K643" s="2">
        <f>(VLOOKUP(H643,'functions and szcl estimates'!$A$14:$I$23,4, FALSE))*(('raw data'!I385)^(VLOOKUP('raw data'!H385,'functions and szcl estimates'!$A$14:$I$23, 7, FALSE)))</f>
        <v>5.7435987547106011</v>
      </c>
      <c r="L643" s="12">
        <v>0.43055555555555602</v>
      </c>
      <c r="M643" s="12" t="s">
        <v>38</v>
      </c>
      <c r="N643" s="12">
        <f t="shared" si="31"/>
        <v>-0.26736111111111061</v>
      </c>
      <c r="O643" s="65">
        <v>30.5</v>
      </c>
      <c r="S643" t="s">
        <v>148</v>
      </c>
    </row>
    <row r="644" spans="1:19" x14ac:dyDescent="0.2">
      <c r="A644" s="18">
        <v>39658</v>
      </c>
      <c r="B644" s="17">
        <v>2012</v>
      </c>
      <c r="C644" s="18" t="str">
        <f t="shared" si="32"/>
        <v>Elkhorn Slough_39658_Area 4_0.4306</v>
      </c>
      <c r="D644" s="4" t="s">
        <v>45</v>
      </c>
      <c r="E644" s="6" t="s">
        <v>3</v>
      </c>
      <c r="F644" s="70" t="s">
        <v>288</v>
      </c>
      <c r="G644" s="70">
        <v>1</v>
      </c>
      <c r="H644" s="82" t="s">
        <v>275</v>
      </c>
      <c r="I644" s="6">
        <v>44</v>
      </c>
      <c r="J644" s="70" t="s">
        <v>289</v>
      </c>
      <c r="K644" s="2">
        <f>(VLOOKUP(H644,'functions and szcl estimates'!$A$14:$I$23,4, FALSE))*(('raw data'!I386)^(VLOOKUP('raw data'!H386,'functions and szcl estimates'!$A$14:$I$23, 7, FALSE)))</f>
        <v>8.2875242745713358</v>
      </c>
      <c r="L644" s="12">
        <v>0.43055555555555602</v>
      </c>
      <c r="M644" s="12" t="s">
        <v>38</v>
      </c>
      <c r="N644" s="12">
        <f t="shared" si="31"/>
        <v>-0.26736111111111061</v>
      </c>
      <c r="O644" s="65">
        <v>30.5</v>
      </c>
      <c r="S644" t="s">
        <v>148</v>
      </c>
    </row>
    <row r="645" spans="1:19" x14ac:dyDescent="0.2">
      <c r="A645" s="18">
        <v>39658</v>
      </c>
      <c r="B645" s="17">
        <v>2012</v>
      </c>
      <c r="C645" s="18" t="str">
        <f t="shared" si="32"/>
        <v>Elkhorn Slough_39658_Area 4_0.4306</v>
      </c>
      <c r="D645" s="4" t="s">
        <v>45</v>
      </c>
      <c r="E645" s="6" t="s">
        <v>3</v>
      </c>
      <c r="F645" s="70" t="s">
        <v>288</v>
      </c>
      <c r="G645" s="70">
        <v>1</v>
      </c>
      <c r="H645" s="82" t="s">
        <v>275</v>
      </c>
      <c r="I645" s="6">
        <v>45</v>
      </c>
      <c r="J645" s="70" t="s">
        <v>289</v>
      </c>
      <c r="K645" s="2">
        <f>(VLOOKUP(H645,'functions and szcl estimates'!$A$14:$I$23,4, FALSE))*(('raw data'!I387)^(VLOOKUP('raw data'!H387,'functions and szcl estimates'!$A$14:$I$23, 7, FALSE)))</f>
        <v>8.2875242745713358</v>
      </c>
      <c r="L645" s="12">
        <v>0.43055555555555602</v>
      </c>
      <c r="M645" s="12" t="s">
        <v>38</v>
      </c>
      <c r="N645" s="12">
        <f t="shared" si="31"/>
        <v>-0.26736111111111061</v>
      </c>
      <c r="O645" s="65">
        <v>30.5</v>
      </c>
      <c r="S645" t="s">
        <v>148</v>
      </c>
    </row>
    <row r="646" spans="1:19" x14ac:dyDescent="0.2">
      <c r="A646" s="18">
        <v>39658</v>
      </c>
      <c r="B646" s="17">
        <v>2012</v>
      </c>
      <c r="C646" s="18" t="str">
        <f t="shared" si="32"/>
        <v>Elkhorn Slough_39658_Area 4_0.4306</v>
      </c>
      <c r="D646" s="4" t="s">
        <v>45</v>
      </c>
      <c r="E646" s="6" t="s">
        <v>3</v>
      </c>
      <c r="F646" s="70" t="s">
        <v>288</v>
      </c>
      <c r="G646" s="70">
        <v>1</v>
      </c>
      <c r="H646" s="82" t="s">
        <v>275</v>
      </c>
      <c r="I646" s="6">
        <v>46</v>
      </c>
      <c r="J646" s="70" t="s">
        <v>289</v>
      </c>
      <c r="K646" s="2">
        <f>(VLOOKUP(H646,'functions and szcl estimates'!$A$14:$I$23,4, FALSE))*(('raw data'!I388)^(VLOOKUP('raw data'!H388,'functions and szcl estimates'!$A$14:$I$23, 7, FALSE)))</f>
        <v>9.7513927238703904</v>
      </c>
      <c r="L646" s="12">
        <v>0.43055555555555602</v>
      </c>
      <c r="M646" s="12" t="s">
        <v>38</v>
      </c>
      <c r="N646" s="12">
        <f t="shared" si="31"/>
        <v>-0.26736111111111061</v>
      </c>
      <c r="O646" s="65">
        <v>30.5</v>
      </c>
      <c r="S646" t="s">
        <v>148</v>
      </c>
    </row>
    <row r="647" spans="1:19" x14ac:dyDescent="0.2">
      <c r="A647" s="18">
        <v>39658</v>
      </c>
      <c r="B647" s="17">
        <v>2012</v>
      </c>
      <c r="C647" s="18" t="str">
        <f t="shared" si="32"/>
        <v>Elkhorn Slough_39658_Area 4_0.4306</v>
      </c>
      <c r="D647" s="4" t="s">
        <v>45</v>
      </c>
      <c r="E647" s="6" t="s">
        <v>3</v>
      </c>
      <c r="F647" s="70" t="s">
        <v>288</v>
      </c>
      <c r="G647" s="70">
        <v>1</v>
      </c>
      <c r="H647" s="82" t="s">
        <v>275</v>
      </c>
      <c r="I647" s="6">
        <v>46</v>
      </c>
      <c r="J647" s="70" t="s">
        <v>289</v>
      </c>
      <c r="K647" s="2">
        <f>(VLOOKUP(H647,'functions and szcl estimates'!$A$14:$I$23,4, FALSE))*(('raw data'!I389)^(VLOOKUP('raw data'!H389,'functions and szcl estimates'!$A$14:$I$23, 7, FALSE)))</f>
        <v>10.13767558756177</v>
      </c>
      <c r="L647" s="12">
        <v>0.43055555555555602</v>
      </c>
      <c r="M647" s="12" t="s">
        <v>38</v>
      </c>
      <c r="N647" s="12">
        <f t="shared" si="31"/>
        <v>-0.26736111111111061</v>
      </c>
      <c r="O647" s="65">
        <v>30.5</v>
      </c>
      <c r="S647" t="s">
        <v>148</v>
      </c>
    </row>
    <row r="648" spans="1:19" x14ac:dyDescent="0.2">
      <c r="A648" s="18">
        <v>39658</v>
      </c>
      <c r="B648" s="17">
        <v>2012</v>
      </c>
      <c r="C648" s="18" t="str">
        <f t="shared" si="32"/>
        <v>Elkhorn Slough_39658_Area 4_0.4306</v>
      </c>
      <c r="D648" s="4" t="s">
        <v>45</v>
      </c>
      <c r="E648" s="6" t="s">
        <v>3</v>
      </c>
      <c r="F648" s="70" t="s">
        <v>288</v>
      </c>
      <c r="G648" s="70">
        <v>1</v>
      </c>
      <c r="H648" s="82" t="s">
        <v>275</v>
      </c>
      <c r="I648" s="6">
        <v>47</v>
      </c>
      <c r="J648" s="70" t="s">
        <v>289</v>
      </c>
      <c r="K648" s="2">
        <f>(VLOOKUP(H648,'functions and szcl estimates'!$A$14:$I$23,4, FALSE))*(('raw data'!I390)^(VLOOKUP('raw data'!H390,'functions and szcl estimates'!$A$14:$I$23, 7, FALSE)))</f>
        <v>10.13767558756177</v>
      </c>
      <c r="L648" s="12">
        <v>0.43055555555555602</v>
      </c>
      <c r="M648" s="12" t="s">
        <v>38</v>
      </c>
      <c r="N648" s="12">
        <f t="shared" si="31"/>
        <v>-0.26736111111111061</v>
      </c>
      <c r="O648" s="65">
        <v>30.5</v>
      </c>
      <c r="S648" t="s">
        <v>148</v>
      </c>
    </row>
    <row r="649" spans="1:19" x14ac:dyDescent="0.2">
      <c r="A649" s="18">
        <v>39658</v>
      </c>
      <c r="B649" s="17">
        <v>2012</v>
      </c>
      <c r="C649" s="18" t="str">
        <f t="shared" si="32"/>
        <v>Elkhorn Slough_39658_Area 4_0.4306</v>
      </c>
      <c r="D649" s="4" t="s">
        <v>45</v>
      </c>
      <c r="E649" s="6" t="s">
        <v>3</v>
      </c>
      <c r="F649" s="70" t="s">
        <v>288</v>
      </c>
      <c r="G649" s="70">
        <v>1</v>
      </c>
      <c r="H649" s="82" t="s">
        <v>275</v>
      </c>
      <c r="I649" s="6">
        <v>48</v>
      </c>
      <c r="J649" s="70" t="s">
        <v>289</v>
      </c>
      <c r="K649" s="2">
        <f>(VLOOKUP(H649,'functions and szcl estimates'!$A$14:$I$23,4, FALSE))*(('raw data'!I391)^(VLOOKUP('raw data'!H391,'functions and szcl estimates'!$A$14:$I$23, 7, FALSE)))</f>
        <v>12.19238916274778</v>
      </c>
      <c r="L649" s="12">
        <v>0.43055555555555602</v>
      </c>
      <c r="M649" s="12" t="s">
        <v>38</v>
      </c>
      <c r="N649" s="12">
        <f t="shared" si="31"/>
        <v>-0.26736111111111061</v>
      </c>
      <c r="O649" s="65">
        <v>30.5</v>
      </c>
      <c r="S649" t="s">
        <v>148</v>
      </c>
    </row>
    <row r="650" spans="1:19" x14ac:dyDescent="0.2">
      <c r="A650" s="18">
        <v>39658</v>
      </c>
      <c r="B650" s="17">
        <v>2012</v>
      </c>
      <c r="C650" s="18" t="str">
        <f t="shared" si="32"/>
        <v>Elkhorn Slough_39658_Area 4_0.4306</v>
      </c>
      <c r="D650" s="4" t="s">
        <v>45</v>
      </c>
      <c r="E650" s="6" t="s">
        <v>3</v>
      </c>
      <c r="F650" s="70" t="s">
        <v>288</v>
      </c>
      <c r="G650" s="70">
        <v>1</v>
      </c>
      <c r="H650" s="82" t="s">
        <v>275</v>
      </c>
      <c r="I650" s="6">
        <v>50</v>
      </c>
      <c r="J650" s="70" t="s">
        <v>289</v>
      </c>
      <c r="K650" s="2">
        <f>(VLOOKUP(H650,'functions and szcl estimates'!$A$14:$I$23,4, FALSE))*(('raw data'!I392)^(VLOOKUP('raw data'!H392,'functions and szcl estimates'!$A$14:$I$23, 7, FALSE)))</f>
        <v>13.524823759286637</v>
      </c>
      <c r="L650" s="12">
        <v>0.43055555555555602</v>
      </c>
      <c r="M650" s="12" t="s">
        <v>38</v>
      </c>
      <c r="N650" s="12">
        <f t="shared" si="31"/>
        <v>-0.26736111111111061</v>
      </c>
      <c r="O650" s="65">
        <v>30.5</v>
      </c>
      <c r="S650" t="s">
        <v>148</v>
      </c>
    </row>
    <row r="651" spans="1:19" x14ac:dyDescent="0.2">
      <c r="A651" s="18">
        <v>39658</v>
      </c>
      <c r="B651" s="17">
        <v>2012</v>
      </c>
      <c r="C651" s="18" t="str">
        <f t="shared" si="32"/>
        <v>Elkhorn Slough_39658_Area 4_0.4306</v>
      </c>
      <c r="D651" s="4" t="s">
        <v>45</v>
      </c>
      <c r="E651" s="6" t="s">
        <v>3</v>
      </c>
      <c r="F651" s="70" t="s">
        <v>288</v>
      </c>
      <c r="G651" s="70">
        <v>1</v>
      </c>
      <c r="H651" s="82" t="s">
        <v>275</v>
      </c>
      <c r="I651" s="6">
        <v>51</v>
      </c>
      <c r="J651" s="70" t="s">
        <v>289</v>
      </c>
      <c r="K651" s="2">
        <f>(VLOOKUP(H651,'functions and szcl estimates'!$A$14:$I$23,4, FALSE))*(('raw data'!I393)^(VLOOKUP('raw data'!H393,'functions and szcl estimates'!$A$14:$I$23, 7, FALSE)))</f>
        <v>19.616694641138171</v>
      </c>
      <c r="L651" s="12">
        <v>0.43055555555555602</v>
      </c>
      <c r="M651" s="12" t="s">
        <v>38</v>
      </c>
      <c r="N651" s="12">
        <f t="shared" si="31"/>
        <v>-0.26736111111111061</v>
      </c>
      <c r="O651" s="65">
        <v>30.5</v>
      </c>
      <c r="S651" t="s">
        <v>148</v>
      </c>
    </row>
    <row r="652" spans="1:19" x14ac:dyDescent="0.2">
      <c r="A652" s="18">
        <v>39658</v>
      </c>
      <c r="B652" s="17">
        <v>2012</v>
      </c>
      <c r="C652" s="18" t="str">
        <f t="shared" si="32"/>
        <v>Elkhorn Slough_39658_Area 4_0.4306</v>
      </c>
      <c r="D652" s="4" t="s">
        <v>45</v>
      </c>
      <c r="E652" s="6" t="s">
        <v>3</v>
      </c>
      <c r="F652" s="70" t="s">
        <v>288</v>
      </c>
      <c r="G652" s="70">
        <v>1</v>
      </c>
      <c r="H652" s="82" t="s">
        <v>275</v>
      </c>
      <c r="I652" s="6">
        <v>51</v>
      </c>
      <c r="J652" s="70" t="s">
        <v>289</v>
      </c>
      <c r="K652" s="2">
        <f>(VLOOKUP(H652,'functions and szcl estimates'!$A$14:$I$23,4, FALSE))*(('raw data'!I394)^(VLOOKUP('raw data'!H394,'functions and szcl estimates'!$A$14:$I$23, 7, FALSE)))</f>
        <v>18.515669599540516</v>
      </c>
      <c r="L652" s="12">
        <v>0.43055555555555602</v>
      </c>
      <c r="M652" s="12" t="s">
        <v>38</v>
      </c>
      <c r="N652" s="12">
        <f t="shared" si="31"/>
        <v>-0.26736111111111061</v>
      </c>
      <c r="O652" s="65">
        <v>30.5</v>
      </c>
      <c r="S652" t="s">
        <v>148</v>
      </c>
    </row>
    <row r="653" spans="1:19" x14ac:dyDescent="0.2">
      <c r="A653" s="18">
        <v>39658</v>
      </c>
      <c r="B653" s="17">
        <v>2012</v>
      </c>
      <c r="C653" s="18" t="str">
        <f t="shared" si="32"/>
        <v>Elkhorn Slough_39658_Area 4_0.4306</v>
      </c>
      <c r="D653" s="4" t="s">
        <v>45</v>
      </c>
      <c r="E653" s="6" t="s">
        <v>3</v>
      </c>
      <c r="F653" s="70" t="s">
        <v>288</v>
      </c>
      <c r="G653" s="70">
        <v>1</v>
      </c>
      <c r="H653" s="82" t="s">
        <v>275</v>
      </c>
      <c r="I653" s="6">
        <v>53</v>
      </c>
      <c r="J653" s="70" t="s">
        <v>289</v>
      </c>
      <c r="K653" s="2">
        <f>(VLOOKUP(H653,'functions and szcl estimates'!$A$14:$I$23,4, FALSE))*(('raw data'!I395)^(VLOOKUP('raw data'!H395,'functions and szcl estimates'!$A$14:$I$23, 7, FALSE)))</f>
        <v>21.923045396287499</v>
      </c>
      <c r="L653" s="12">
        <v>0.43055555555555602</v>
      </c>
      <c r="M653" s="12" t="s">
        <v>38</v>
      </c>
      <c r="N653" s="12">
        <f t="shared" si="31"/>
        <v>-0.26736111111111061</v>
      </c>
      <c r="O653" s="65">
        <v>30.5</v>
      </c>
      <c r="S653" t="s">
        <v>148</v>
      </c>
    </row>
    <row r="654" spans="1:19" x14ac:dyDescent="0.2">
      <c r="A654" s="18">
        <v>39658</v>
      </c>
      <c r="B654" s="17">
        <v>2012</v>
      </c>
      <c r="C654" s="18" t="str">
        <f t="shared" si="32"/>
        <v>Elkhorn Slough_39658_Area 4_0.4306</v>
      </c>
      <c r="D654" s="4" t="s">
        <v>45</v>
      </c>
      <c r="E654" s="6" t="s">
        <v>3</v>
      </c>
      <c r="F654" s="70" t="s">
        <v>288</v>
      </c>
      <c r="G654" s="70">
        <v>1</v>
      </c>
      <c r="H654" s="82" t="s">
        <v>275</v>
      </c>
      <c r="I654" s="6">
        <v>53</v>
      </c>
      <c r="J654" s="70" t="s">
        <v>289</v>
      </c>
      <c r="K654" s="2">
        <f>(VLOOKUP(H654,'functions and szcl estimates'!$A$14:$I$23,4, FALSE))*(('raw data'!I396)^(VLOOKUP('raw data'!H396,'functions and szcl estimates'!$A$14:$I$23, 7, FALSE)))</f>
        <v>9.3732649616326107</v>
      </c>
      <c r="L654" s="12">
        <v>0.43055555555555602</v>
      </c>
      <c r="M654" s="12" t="s">
        <v>38</v>
      </c>
      <c r="N654" s="12">
        <f t="shared" si="31"/>
        <v>-0.26736111111111061</v>
      </c>
      <c r="O654" s="65">
        <v>30.5</v>
      </c>
      <c r="S654" t="s">
        <v>148</v>
      </c>
    </row>
    <row r="655" spans="1:19" x14ac:dyDescent="0.2">
      <c r="A655" s="18">
        <v>39658</v>
      </c>
      <c r="B655" s="17">
        <v>2012</v>
      </c>
      <c r="C655" s="18" t="str">
        <f t="shared" si="32"/>
        <v>Elkhorn Slough_39658_Area 4_0.4306</v>
      </c>
      <c r="D655" s="4" t="s">
        <v>45</v>
      </c>
      <c r="E655" s="6" t="s">
        <v>3</v>
      </c>
      <c r="F655" s="70" t="s">
        <v>288</v>
      </c>
      <c r="G655" s="70">
        <v>1</v>
      </c>
      <c r="H655" s="82" t="s">
        <v>275</v>
      </c>
      <c r="I655" s="6">
        <v>53</v>
      </c>
      <c r="J655" s="70" t="s">
        <v>289</v>
      </c>
      <c r="K655" s="2">
        <f>(VLOOKUP(H655,'functions and szcl estimates'!$A$14:$I$23,4, FALSE))*(('raw data'!I397)^(VLOOKUP('raw data'!H397,'functions and szcl estimates'!$A$14:$I$23, 7, FALSE)))</f>
        <v>16.417032099696847</v>
      </c>
      <c r="L655" s="12">
        <v>0.43055555555555602</v>
      </c>
      <c r="M655" s="12" t="s">
        <v>38</v>
      </c>
      <c r="N655" s="12">
        <f t="shared" si="31"/>
        <v>-0.26736111111111061</v>
      </c>
      <c r="O655" s="65">
        <v>30.5</v>
      </c>
      <c r="S655" t="s">
        <v>148</v>
      </c>
    </row>
    <row r="656" spans="1:19" x14ac:dyDescent="0.2">
      <c r="A656" s="5">
        <v>39658</v>
      </c>
      <c r="B656" s="17">
        <v>2012</v>
      </c>
      <c r="C656" s="18" t="str">
        <f t="shared" si="32"/>
        <v>Elkhorn Slough_39658_Area 4_0.4306</v>
      </c>
      <c r="D656" s="4" t="s">
        <v>45</v>
      </c>
      <c r="E656" s="6" t="s">
        <v>3</v>
      </c>
      <c r="F656" s="70" t="s">
        <v>288</v>
      </c>
      <c r="G656" s="70">
        <v>1</v>
      </c>
      <c r="H656" s="82" t="s">
        <v>275</v>
      </c>
      <c r="I656" s="6">
        <v>54</v>
      </c>
      <c r="J656" s="70" t="s">
        <v>289</v>
      </c>
      <c r="K656" s="2">
        <f>(VLOOKUP(H656,'functions and szcl estimates'!$A$14:$I$23,4, FALSE))*(('raw data'!I398)^(VLOOKUP('raw data'!H398,'functions and szcl estimates'!$A$14:$I$23, 7, FALSE)))</f>
        <v>15.419052718748395</v>
      </c>
      <c r="L656" s="12">
        <v>0.43055555555555602</v>
      </c>
      <c r="M656" s="8" t="s">
        <v>38</v>
      </c>
      <c r="N656" s="8">
        <f t="shared" si="31"/>
        <v>-0.26736111111111061</v>
      </c>
      <c r="O656" s="14">
        <v>30.5</v>
      </c>
      <c r="S656" t="s">
        <v>148</v>
      </c>
    </row>
    <row r="657" spans="1:20" x14ac:dyDescent="0.2">
      <c r="A657" s="18">
        <v>39658</v>
      </c>
      <c r="B657" s="17">
        <v>2012</v>
      </c>
      <c r="C657" s="18" t="str">
        <f t="shared" si="32"/>
        <v>Elkhorn Slough_39658_Area 4_0.4306</v>
      </c>
      <c r="D657" s="4" t="s">
        <v>45</v>
      </c>
      <c r="E657" s="6" t="s">
        <v>3</v>
      </c>
      <c r="F657" s="70" t="s">
        <v>288</v>
      </c>
      <c r="G657" s="70">
        <v>1</v>
      </c>
      <c r="H657" s="82" t="s">
        <v>275</v>
      </c>
      <c r="I657" s="6">
        <v>55</v>
      </c>
      <c r="J657" s="70" t="s">
        <v>289</v>
      </c>
      <c r="K657" s="2">
        <f>(VLOOKUP(H657,'functions and szcl estimates'!$A$14:$I$23,4, FALSE))*(('raw data'!I399)^(VLOOKUP('raw data'!H399,'functions and szcl estimates'!$A$14:$I$23, 7, FALSE)))</f>
        <v>16.92882175664856</v>
      </c>
      <c r="L657" s="12">
        <v>0.43055555555555602</v>
      </c>
      <c r="M657" s="12" t="s">
        <v>38</v>
      </c>
      <c r="N657" s="12">
        <f t="shared" si="31"/>
        <v>-0.26736111111111061</v>
      </c>
      <c r="O657" s="65">
        <v>30.5</v>
      </c>
      <c r="S657" t="s">
        <v>148</v>
      </c>
    </row>
    <row r="658" spans="1:20" x14ac:dyDescent="0.2">
      <c r="A658" s="18">
        <v>39658</v>
      </c>
      <c r="B658" s="17">
        <v>2012</v>
      </c>
      <c r="C658" s="18" t="str">
        <f t="shared" si="32"/>
        <v>Elkhorn Slough_39658_Area 4_0.4306</v>
      </c>
      <c r="D658" s="4" t="s">
        <v>45</v>
      </c>
      <c r="E658" s="6" t="s">
        <v>3</v>
      </c>
      <c r="F658" s="70" t="s">
        <v>288</v>
      </c>
      <c r="G658" s="70">
        <v>1</v>
      </c>
      <c r="H658" s="82" t="s">
        <v>275</v>
      </c>
      <c r="I658" s="6">
        <v>55</v>
      </c>
      <c r="J658" s="70" t="s">
        <v>289</v>
      </c>
      <c r="K658" s="2">
        <f>(VLOOKUP(H658,'functions and szcl estimates'!$A$14:$I$23,4, FALSE))*(('raw data'!I400)^(VLOOKUP('raw data'!H400,'functions and szcl estimates'!$A$14:$I$23, 7, FALSE)))</f>
        <v>19.061854515747282</v>
      </c>
      <c r="L658" s="12">
        <v>0.43055555555555602</v>
      </c>
      <c r="M658" s="12" t="s">
        <v>38</v>
      </c>
      <c r="N658" s="12">
        <f t="shared" si="31"/>
        <v>-0.26736111111111061</v>
      </c>
      <c r="O658" s="65">
        <v>30.5</v>
      </c>
      <c r="S658" t="s">
        <v>148</v>
      </c>
    </row>
    <row r="659" spans="1:20" x14ac:dyDescent="0.2">
      <c r="A659" s="18">
        <v>39658</v>
      </c>
      <c r="B659" s="17">
        <v>2012</v>
      </c>
      <c r="C659" s="18" t="str">
        <f t="shared" si="32"/>
        <v>Elkhorn Slough_39658_Area 4_0.4306</v>
      </c>
      <c r="D659" s="4" t="s">
        <v>45</v>
      </c>
      <c r="E659" s="6" t="s">
        <v>3</v>
      </c>
      <c r="F659" s="70" t="s">
        <v>288</v>
      </c>
      <c r="G659" s="70">
        <v>1</v>
      </c>
      <c r="H659" s="82" t="s">
        <v>275</v>
      </c>
      <c r="I659" s="6">
        <v>56</v>
      </c>
      <c r="J659" s="70" t="s">
        <v>289</v>
      </c>
      <c r="K659" s="2">
        <f>(VLOOKUP(H659,'functions and szcl estimates'!$A$14:$I$23,4, FALSE))*(('raw data'!I401)^(VLOOKUP('raw data'!H401,'functions and szcl estimates'!$A$14:$I$23, 7, FALSE)))</f>
        <v>11.345734628206953</v>
      </c>
      <c r="L659" s="12">
        <v>0.43055555555555602</v>
      </c>
      <c r="M659" s="12" t="s">
        <v>38</v>
      </c>
      <c r="N659" s="12">
        <f t="shared" si="31"/>
        <v>-0.26736111111111061</v>
      </c>
      <c r="O659" s="65">
        <v>30.5</v>
      </c>
      <c r="S659" t="s">
        <v>148</v>
      </c>
    </row>
    <row r="660" spans="1:20" x14ac:dyDescent="0.2">
      <c r="A660" s="18">
        <v>39659</v>
      </c>
      <c r="B660" s="17">
        <v>2012</v>
      </c>
      <c r="C660" s="18" t="str">
        <f t="shared" si="32"/>
        <v>Elkhorn Slough_39659_Outfall_0.7222</v>
      </c>
      <c r="D660" s="4" t="s">
        <v>45</v>
      </c>
      <c r="E660" s="6" t="s">
        <v>17</v>
      </c>
      <c r="F660" s="70" t="s">
        <v>288</v>
      </c>
      <c r="G660" s="70">
        <v>1</v>
      </c>
      <c r="H660" s="82" t="s">
        <v>275</v>
      </c>
      <c r="I660" s="6">
        <v>77</v>
      </c>
      <c r="J660" s="70" t="s">
        <v>289</v>
      </c>
      <c r="K660" s="2">
        <f>(VLOOKUP(H660,'functions and szcl estimates'!$A$14:$I$23,4, FALSE))*(('raw data'!I442)^(VLOOKUP('raw data'!H442,'functions and szcl estimates'!$A$14:$I$23, 7, FALSE)))</f>
        <v>102.54354492108774</v>
      </c>
      <c r="L660" s="12">
        <v>0.72222222222222199</v>
      </c>
      <c r="M660" s="12" t="s">
        <v>136</v>
      </c>
      <c r="N660" s="12">
        <f t="shared" si="31"/>
        <v>0.20486111111111094</v>
      </c>
      <c r="O660" s="65">
        <v>19</v>
      </c>
      <c r="S660" t="s">
        <v>148</v>
      </c>
    </row>
    <row r="661" spans="1:20" x14ac:dyDescent="0.2">
      <c r="A661" s="18">
        <v>39661</v>
      </c>
      <c r="B661" s="17">
        <v>2012</v>
      </c>
      <c r="C661" s="18" t="str">
        <f t="shared" si="32"/>
        <v>Elkhorn Slough_39661_Crop Circles_0.4201</v>
      </c>
      <c r="D661" s="4" t="s">
        <v>45</v>
      </c>
      <c r="E661" s="6" t="s">
        <v>277</v>
      </c>
      <c r="F661" s="70" t="s">
        <v>288</v>
      </c>
      <c r="G661" s="70">
        <v>1</v>
      </c>
      <c r="H661" s="82" t="s">
        <v>275</v>
      </c>
      <c r="I661" s="6">
        <v>74</v>
      </c>
      <c r="J661" s="70" t="s">
        <v>289</v>
      </c>
      <c r="K661" s="2">
        <f>(VLOOKUP(H661,'functions and szcl estimates'!$A$14:$I$23,4, FALSE))*(('raw data'!I471)^(VLOOKUP('raw data'!H471,'functions and szcl estimates'!$A$14:$I$23, 7, FALSE)))</f>
        <v>21.666137765351571</v>
      </c>
      <c r="L661" s="12">
        <v>0.4201388888888889</v>
      </c>
      <c r="M661" s="12" t="s">
        <v>35</v>
      </c>
      <c r="N661" s="12">
        <f t="shared" si="31"/>
        <v>-0.30208333333333331</v>
      </c>
      <c r="O661" s="65">
        <v>7.25</v>
      </c>
      <c r="P661" s="17"/>
      <c r="S661" t="s">
        <v>148</v>
      </c>
    </row>
    <row r="662" spans="1:20" x14ac:dyDescent="0.2">
      <c r="A662" s="18">
        <v>39684</v>
      </c>
      <c r="B662" s="17">
        <v>2012</v>
      </c>
      <c r="C662" s="18" t="str">
        <f t="shared" si="32"/>
        <v>Tomales Bay_39684_TB North_0.5833</v>
      </c>
      <c r="D662" s="18" t="s">
        <v>46</v>
      </c>
      <c r="E662" s="19" t="s">
        <v>47</v>
      </c>
      <c r="F662" s="70" t="s">
        <v>288</v>
      </c>
      <c r="G662" s="70">
        <v>1</v>
      </c>
      <c r="H662" s="84" t="s">
        <v>49</v>
      </c>
      <c r="I662" s="19">
        <v>150</v>
      </c>
      <c r="J662" s="70" t="s">
        <v>289</v>
      </c>
      <c r="K662" s="2">
        <f>(VLOOKUP(H662,'functions and szcl estimates'!$A$14:$I$23,4, FALSE))*(('raw data'!I534)^(VLOOKUP('raw data'!H534,'functions and szcl estimates'!$A$14:$I$23, 7, FALSE)))</f>
        <v>44.543378108562834</v>
      </c>
      <c r="L662" s="12">
        <v>0.58333333333333337</v>
      </c>
      <c r="M662" s="12">
        <v>0.4826388888888889</v>
      </c>
      <c r="N662" s="12">
        <f t="shared" ref="N662:N696" si="33">L662-M662</f>
        <v>0.10069444444444448</v>
      </c>
      <c r="O662" s="65">
        <v>21.5</v>
      </c>
      <c r="P662">
        <f>COUNT(O662:O674)</f>
        <v>13</v>
      </c>
      <c r="Q662" s="65">
        <f>SUM(K662:K674)</f>
        <v>860.40310980211814</v>
      </c>
      <c r="R662" s="15">
        <f>P662/O662</f>
        <v>0.60465116279069764</v>
      </c>
      <c r="S662" t="s">
        <v>148</v>
      </c>
    </row>
    <row r="663" spans="1:20" x14ac:dyDescent="0.2">
      <c r="A663" s="18">
        <v>39684</v>
      </c>
      <c r="B663" s="17">
        <v>2012</v>
      </c>
      <c r="C663" s="18" t="str">
        <f t="shared" si="32"/>
        <v>Tomales Bay_39684_TB North_0.5833</v>
      </c>
      <c r="D663" s="18" t="s">
        <v>46</v>
      </c>
      <c r="E663" s="19" t="s">
        <v>47</v>
      </c>
      <c r="F663" s="70" t="s">
        <v>288</v>
      </c>
      <c r="G663" s="70">
        <v>1</v>
      </c>
      <c r="H663" s="85" t="s">
        <v>48</v>
      </c>
      <c r="I663" s="66">
        <v>77</v>
      </c>
      <c r="J663" s="70" t="s">
        <v>289</v>
      </c>
      <c r="K663" s="2">
        <f>(VLOOKUP(H663,'functions and szcl estimates'!$A$14:$I$23,4, FALSE))*(('raw data'!I535)^(VLOOKUP('raw data'!H535,'functions and szcl estimates'!$A$14:$I$23, 7, FALSE)))</f>
        <v>64.767937560209759</v>
      </c>
      <c r="L663" s="12">
        <v>0.58333333333333337</v>
      </c>
      <c r="M663" s="12">
        <v>0.4826388888888889</v>
      </c>
      <c r="N663" s="12">
        <f t="shared" si="33"/>
        <v>0.10069444444444448</v>
      </c>
      <c r="O663" s="65">
        <v>21.5</v>
      </c>
      <c r="S663" t="s">
        <v>148</v>
      </c>
      <c r="T663" t="s">
        <v>50</v>
      </c>
    </row>
    <row r="664" spans="1:20" x14ac:dyDescent="0.2">
      <c r="A664" s="18">
        <v>39684</v>
      </c>
      <c r="B664" s="17">
        <v>2012</v>
      </c>
      <c r="C664" s="18" t="str">
        <f t="shared" si="32"/>
        <v>Tomales Bay_39684_TB North_0.5833</v>
      </c>
      <c r="D664" s="18" t="s">
        <v>46</v>
      </c>
      <c r="E664" s="19" t="s">
        <v>47</v>
      </c>
      <c r="F664" s="70" t="s">
        <v>288</v>
      </c>
      <c r="G664" s="70">
        <v>1</v>
      </c>
      <c r="H664" s="84" t="s">
        <v>49</v>
      </c>
      <c r="I664" s="19">
        <v>82</v>
      </c>
      <c r="J664" s="70" t="s">
        <v>289</v>
      </c>
      <c r="K664" s="2">
        <f>(VLOOKUP(H664,'functions and szcl estimates'!$A$14:$I$23,4, FALSE))*(('raw data'!I536)^(VLOOKUP('raw data'!H536,'functions and szcl estimates'!$A$14:$I$23, 7, FALSE)))</f>
        <v>73.25626290283563</v>
      </c>
      <c r="L664" s="12">
        <v>0.58333333333333337</v>
      </c>
      <c r="M664" s="12">
        <v>0.4826388888888889</v>
      </c>
      <c r="N664" s="12">
        <f t="shared" si="33"/>
        <v>0.10069444444444448</v>
      </c>
      <c r="O664" s="65">
        <v>21.5</v>
      </c>
      <c r="S664" t="s">
        <v>148</v>
      </c>
    </row>
    <row r="665" spans="1:20" x14ac:dyDescent="0.2">
      <c r="A665" s="18">
        <v>39684</v>
      </c>
      <c r="B665" s="17">
        <v>2012</v>
      </c>
      <c r="C665" s="18" t="str">
        <f t="shared" si="32"/>
        <v>Tomales Bay_39684_TB North_0.5833</v>
      </c>
      <c r="D665" s="18" t="s">
        <v>46</v>
      </c>
      <c r="E665" s="19" t="s">
        <v>47</v>
      </c>
      <c r="F665" s="70" t="s">
        <v>288</v>
      </c>
      <c r="G665" s="70">
        <v>1</v>
      </c>
      <c r="H665" s="84" t="s">
        <v>49</v>
      </c>
      <c r="I665" s="19">
        <v>121</v>
      </c>
      <c r="J665" s="70" t="s">
        <v>289</v>
      </c>
      <c r="K665" s="2">
        <f>(VLOOKUP(H665,'functions and szcl estimates'!$A$14:$I$23,4, FALSE))*(('raw data'!I537)^(VLOOKUP('raw data'!H537,'functions and szcl estimates'!$A$14:$I$23, 7, FALSE)))</f>
        <v>47.889515796895147</v>
      </c>
      <c r="L665" s="12">
        <v>0.58333333333333337</v>
      </c>
      <c r="M665" s="12">
        <v>0.4826388888888889</v>
      </c>
      <c r="N665" s="12">
        <f t="shared" si="33"/>
        <v>0.10069444444444448</v>
      </c>
      <c r="O665" s="65">
        <v>21.5</v>
      </c>
      <c r="S665" t="s">
        <v>148</v>
      </c>
    </row>
    <row r="666" spans="1:20" x14ac:dyDescent="0.2">
      <c r="A666" s="18">
        <v>39684</v>
      </c>
      <c r="B666" s="17">
        <v>2012</v>
      </c>
      <c r="C666" s="18" t="str">
        <f t="shared" si="32"/>
        <v>Tomales Bay_39684_TB North_0.5833</v>
      </c>
      <c r="D666" s="18" t="s">
        <v>46</v>
      </c>
      <c r="E666" s="19" t="s">
        <v>47</v>
      </c>
      <c r="F666" s="70" t="s">
        <v>288</v>
      </c>
      <c r="G666" s="70">
        <v>1</v>
      </c>
      <c r="H666" s="84" t="s">
        <v>49</v>
      </c>
      <c r="I666" s="19">
        <v>81</v>
      </c>
      <c r="J666" s="70" t="s">
        <v>289</v>
      </c>
      <c r="K666" s="2">
        <f>(VLOOKUP(H666,'functions and szcl estimates'!$A$14:$I$23,4, FALSE))*(('raw data'!I539)^(VLOOKUP('raw data'!H539,'functions and szcl estimates'!$A$14:$I$23, 7, FALSE)))</f>
        <v>141.07213292992535</v>
      </c>
      <c r="L666" s="12">
        <v>0.58333333333333337</v>
      </c>
      <c r="M666" s="12">
        <v>0.4826388888888889</v>
      </c>
      <c r="N666" s="12">
        <f t="shared" si="33"/>
        <v>0.10069444444444448</v>
      </c>
      <c r="O666" s="65">
        <v>21.5</v>
      </c>
      <c r="S666" t="s">
        <v>148</v>
      </c>
    </row>
    <row r="667" spans="1:20" x14ac:dyDescent="0.2">
      <c r="A667" s="18">
        <v>39684</v>
      </c>
      <c r="B667" s="17">
        <v>2012</v>
      </c>
      <c r="C667" s="18" t="str">
        <f t="shared" si="32"/>
        <v>Tomales Bay_39684_TB North_0.5833</v>
      </c>
      <c r="D667" s="18" t="s">
        <v>46</v>
      </c>
      <c r="E667" s="19" t="s">
        <v>47</v>
      </c>
      <c r="F667" s="70" t="s">
        <v>288</v>
      </c>
      <c r="G667" s="70">
        <v>1</v>
      </c>
      <c r="H667" s="84" t="s">
        <v>49</v>
      </c>
      <c r="I667" s="19">
        <v>67</v>
      </c>
      <c r="J667" s="70" t="s">
        <v>289</v>
      </c>
      <c r="K667" s="2">
        <f>(VLOOKUP(H667,'functions and szcl estimates'!$A$14:$I$23,4, FALSE))*(('raw data'!I544)^(VLOOKUP('raw data'!H544,'functions and szcl estimates'!$A$14:$I$23, 7, FALSE)))</f>
        <v>44.543378108562834</v>
      </c>
      <c r="L667" s="12">
        <v>0.58333333333333337</v>
      </c>
      <c r="M667" s="12">
        <v>0.4826388888888889</v>
      </c>
      <c r="N667" s="12">
        <f t="shared" si="33"/>
        <v>0.10069444444444448</v>
      </c>
      <c r="O667" s="65">
        <v>21.5</v>
      </c>
      <c r="S667" t="s">
        <v>148</v>
      </c>
    </row>
    <row r="668" spans="1:20" x14ac:dyDescent="0.2">
      <c r="A668" s="18">
        <v>39684</v>
      </c>
      <c r="B668" s="17">
        <v>2012</v>
      </c>
      <c r="C668" s="18" t="str">
        <f t="shared" si="32"/>
        <v>Tomales Bay_39684_TB South_0.6458</v>
      </c>
      <c r="D668" s="18" t="s">
        <v>46</v>
      </c>
      <c r="E668" s="19" t="s">
        <v>51</v>
      </c>
      <c r="F668" s="70" t="s">
        <v>288</v>
      </c>
      <c r="G668" s="70">
        <v>1</v>
      </c>
      <c r="H668" s="84" t="s">
        <v>49</v>
      </c>
      <c r="I668" s="19">
        <v>67</v>
      </c>
      <c r="J668" s="70" t="s">
        <v>289</v>
      </c>
      <c r="K668" s="2">
        <f>(VLOOKUP(H668,'functions and szcl estimates'!$A$14:$I$23,4, FALSE))*(('raw data'!I547)^(VLOOKUP('raw data'!H547,'functions and szcl estimates'!$A$14:$I$23, 7, FALSE)))</f>
        <v>38.277958915839399</v>
      </c>
      <c r="L668" s="12">
        <v>0.64583333333333337</v>
      </c>
      <c r="M668" s="8">
        <v>0.52083333333333337</v>
      </c>
      <c r="N668" s="8">
        <f t="shared" si="33"/>
        <v>0.125</v>
      </c>
      <c r="O668" s="14">
        <v>21</v>
      </c>
      <c r="P668">
        <f>COUNT(O668:O674)</f>
        <v>7</v>
      </c>
      <c r="Q668" s="65">
        <f>SUM(K668:K674)</f>
        <v>444.33050439512664</v>
      </c>
      <c r="R668" s="15">
        <f>P668/O668</f>
        <v>0.33333333333333331</v>
      </c>
      <c r="S668" t="s">
        <v>148</v>
      </c>
    </row>
    <row r="669" spans="1:20" x14ac:dyDescent="0.2">
      <c r="A669" s="18">
        <v>39684</v>
      </c>
      <c r="B669" s="17">
        <v>2012</v>
      </c>
      <c r="C669" s="18" t="str">
        <f t="shared" si="32"/>
        <v>Tomales Bay_39684_TB South_0.6458</v>
      </c>
      <c r="D669" s="18" t="s">
        <v>46</v>
      </c>
      <c r="E669" s="19" t="s">
        <v>51</v>
      </c>
      <c r="F669" s="70" t="s">
        <v>288</v>
      </c>
      <c r="G669" s="70">
        <v>1</v>
      </c>
      <c r="H669" s="84" t="s">
        <v>49</v>
      </c>
      <c r="I669" s="19">
        <v>105</v>
      </c>
      <c r="J669" s="70" t="s">
        <v>289</v>
      </c>
      <c r="K669" s="2">
        <f>(VLOOKUP(H669,'functions and szcl estimates'!$A$14:$I$23,4, FALSE))*(('raw data'!I550)^(VLOOKUP('raw data'!H550,'functions and szcl estimates'!$A$14:$I$23, 7, FALSE)))</f>
        <v>99.878043376289781</v>
      </c>
      <c r="L669" s="12">
        <v>0.64583333333333304</v>
      </c>
      <c r="M669" s="12">
        <v>0.52083333333333304</v>
      </c>
      <c r="N669" s="12">
        <f t="shared" si="33"/>
        <v>0.125</v>
      </c>
      <c r="O669" s="65">
        <v>21</v>
      </c>
      <c r="S669" t="s">
        <v>148</v>
      </c>
    </row>
    <row r="670" spans="1:20" x14ac:dyDescent="0.2">
      <c r="A670" s="18">
        <v>39684</v>
      </c>
      <c r="B670" s="17">
        <v>2012</v>
      </c>
      <c r="C670" s="18" t="str">
        <f t="shared" si="32"/>
        <v>Tomales Bay_39684_TB South_0.6458</v>
      </c>
      <c r="D670" s="18" t="s">
        <v>46</v>
      </c>
      <c r="E670" s="19" t="s">
        <v>51</v>
      </c>
      <c r="F670" s="70" t="s">
        <v>288</v>
      </c>
      <c r="G670" s="70">
        <v>1</v>
      </c>
      <c r="H670" s="84" t="s">
        <v>49</v>
      </c>
      <c r="I670" s="19">
        <v>107</v>
      </c>
      <c r="J670" s="70" t="s">
        <v>289</v>
      </c>
      <c r="K670" s="2">
        <f>(VLOOKUP(H670,'functions and szcl estimates'!$A$14:$I$23,4, FALSE))*(('raw data'!I553)^(VLOOKUP('raw data'!H553,'functions and szcl estimates'!$A$14:$I$23, 7, FALSE)))</f>
        <v>77.73496209883929</v>
      </c>
      <c r="L670" s="12">
        <v>0.64583333333333304</v>
      </c>
      <c r="M670" s="12">
        <v>0.52083333333333304</v>
      </c>
      <c r="N670" s="12">
        <f t="shared" si="33"/>
        <v>0.125</v>
      </c>
      <c r="O670" s="65">
        <v>21</v>
      </c>
      <c r="S670" t="s">
        <v>148</v>
      </c>
    </row>
    <row r="671" spans="1:20" x14ac:dyDescent="0.2">
      <c r="A671" s="18">
        <v>39684</v>
      </c>
      <c r="B671" s="17">
        <v>2012</v>
      </c>
      <c r="C671" s="18" t="str">
        <f t="shared" si="32"/>
        <v>Tomales Bay_39684_TB Central_0.625</v>
      </c>
      <c r="D671" s="18" t="s">
        <v>46</v>
      </c>
      <c r="E671" s="19" t="s">
        <v>52</v>
      </c>
      <c r="F671" s="70" t="s">
        <v>288</v>
      </c>
      <c r="G671" s="70">
        <v>1</v>
      </c>
      <c r="H671" s="84" t="s">
        <v>49</v>
      </c>
      <c r="I671" s="19">
        <v>80</v>
      </c>
      <c r="J671" s="70" t="s">
        <v>289</v>
      </c>
      <c r="K671" s="2">
        <f>(VLOOKUP(H671,'functions and szcl estimates'!$A$14:$I$23,4, FALSE))*(('raw data'!I557)^(VLOOKUP('raw data'!H557,'functions and szcl estimates'!$A$14:$I$23, 7, FALSE)))</f>
        <v>84.751137969571786</v>
      </c>
      <c r="L671" s="12">
        <v>0.625</v>
      </c>
      <c r="M671" s="12">
        <v>0.54166666666666696</v>
      </c>
      <c r="N671" s="12">
        <f t="shared" si="33"/>
        <v>8.3333333333333037E-2</v>
      </c>
      <c r="O671" s="65">
        <v>22</v>
      </c>
      <c r="S671" t="s">
        <v>148</v>
      </c>
    </row>
    <row r="672" spans="1:20" x14ac:dyDescent="0.2">
      <c r="A672" s="18">
        <v>39684</v>
      </c>
      <c r="B672" s="17">
        <v>2012</v>
      </c>
      <c r="C672" s="18" t="str">
        <f t="shared" si="32"/>
        <v>Tomales Bay_39684_TB Central_0.625</v>
      </c>
      <c r="D672" s="18" t="s">
        <v>46</v>
      </c>
      <c r="E672" s="19" t="s">
        <v>52</v>
      </c>
      <c r="F672" s="70" t="s">
        <v>288</v>
      </c>
      <c r="G672" s="70">
        <v>1</v>
      </c>
      <c r="H672" s="85" t="s">
        <v>48</v>
      </c>
      <c r="I672" s="66">
        <v>75</v>
      </c>
      <c r="J672" s="70" t="s">
        <v>289</v>
      </c>
      <c r="K672" s="2">
        <f>(VLOOKUP(H672,'functions and szcl estimates'!$A$14:$I$23,4, FALSE))*(('raw data'!I559)^(VLOOKUP('raw data'!H559,'functions and szcl estimates'!$A$14:$I$23, 7, FALSE)))</f>
        <v>39.791579841873755</v>
      </c>
      <c r="L672" s="12">
        <v>0.625</v>
      </c>
      <c r="M672" s="12">
        <v>0.54166666666666696</v>
      </c>
      <c r="N672" s="12">
        <f t="shared" si="33"/>
        <v>8.3333333333333037E-2</v>
      </c>
      <c r="O672" s="65">
        <v>22</v>
      </c>
      <c r="S672" t="s">
        <v>148</v>
      </c>
      <c r="T672" t="s">
        <v>50</v>
      </c>
    </row>
    <row r="673" spans="1:20" x14ac:dyDescent="0.2">
      <c r="A673" s="18">
        <v>39684</v>
      </c>
      <c r="B673" s="17">
        <v>2012</v>
      </c>
      <c r="C673" s="18" t="str">
        <f t="shared" si="32"/>
        <v>Tomales Bay_39684_TB Central_0.625</v>
      </c>
      <c r="D673" s="18" t="s">
        <v>46</v>
      </c>
      <c r="E673" s="19" t="s">
        <v>52</v>
      </c>
      <c r="F673" s="70" t="s">
        <v>288</v>
      </c>
      <c r="G673" s="70">
        <v>1</v>
      </c>
      <c r="H673" s="84" t="s">
        <v>49</v>
      </c>
      <c r="I673" s="19">
        <v>110</v>
      </c>
      <c r="J673" s="70" t="s">
        <v>289</v>
      </c>
      <c r="K673" s="2">
        <f>(VLOOKUP(H673,'functions and szcl estimates'!$A$14:$I$23,4, FALSE))*(('raw data'!I564)^(VLOOKUP('raw data'!H564,'functions and szcl estimates'!$A$14:$I$23, 7, FALSE)))</f>
        <v>23.863102882132562</v>
      </c>
      <c r="L673" s="12">
        <v>0.625</v>
      </c>
      <c r="M673" s="12">
        <v>0.54166666666666696</v>
      </c>
      <c r="N673" s="12">
        <f t="shared" si="33"/>
        <v>8.3333333333333037E-2</v>
      </c>
      <c r="O673" s="65">
        <v>22</v>
      </c>
      <c r="S673" t="s">
        <v>148</v>
      </c>
    </row>
    <row r="674" spans="1:20" x14ac:dyDescent="0.2">
      <c r="A674" s="18">
        <v>39684</v>
      </c>
      <c r="B674" s="17">
        <v>2012</v>
      </c>
      <c r="C674" s="18" t="str">
        <f t="shared" si="32"/>
        <v>Tomales Bay_39684_TB Nick's Cove_0.5625</v>
      </c>
      <c r="D674" s="18" t="s">
        <v>46</v>
      </c>
      <c r="E674" s="19" t="s">
        <v>54</v>
      </c>
      <c r="F674" s="70" t="s">
        <v>288</v>
      </c>
      <c r="G674" s="70">
        <v>1</v>
      </c>
      <c r="H674" s="84" t="s">
        <v>49</v>
      </c>
      <c r="I674" s="19">
        <v>82</v>
      </c>
      <c r="J674" s="70" t="s">
        <v>289</v>
      </c>
      <c r="K674" s="2">
        <f>(VLOOKUP(H674,'functions and szcl estimates'!$A$14:$I$23,4, FALSE))*(('raw data'!I575)^(VLOOKUP('raw data'!H575,'functions and szcl estimates'!$A$14:$I$23, 7, FALSE)))</f>
        <v>80.033719310579997</v>
      </c>
      <c r="L674" s="12">
        <v>0.5625</v>
      </c>
      <c r="M674" s="12">
        <v>0.5625</v>
      </c>
      <c r="N674" s="12">
        <f t="shared" si="33"/>
        <v>0</v>
      </c>
      <c r="O674" s="65">
        <v>24</v>
      </c>
      <c r="P674">
        <f>COUNT(O674:O679)</f>
        <v>6</v>
      </c>
      <c r="Q674" s="65">
        <f>SUM(K674:K701)</f>
        <v>1291.4211450678558</v>
      </c>
      <c r="R674" s="15">
        <f>P674/O674</f>
        <v>0.25</v>
      </c>
      <c r="S674" t="s">
        <v>148</v>
      </c>
    </row>
    <row r="675" spans="1:20" x14ac:dyDescent="0.2">
      <c r="A675" s="18">
        <v>39684</v>
      </c>
      <c r="B675" s="17">
        <v>2012</v>
      </c>
      <c r="C675" s="18" t="str">
        <f t="shared" si="32"/>
        <v>Tomales Bay_39684_TB Nick's Cove_0.5625</v>
      </c>
      <c r="D675" s="18" t="s">
        <v>46</v>
      </c>
      <c r="E675" s="19" t="s">
        <v>54</v>
      </c>
      <c r="F675" s="70" t="s">
        <v>288</v>
      </c>
      <c r="G675" s="70">
        <v>1</v>
      </c>
      <c r="H675" s="84" t="s">
        <v>49</v>
      </c>
      <c r="I675" s="19">
        <v>100</v>
      </c>
      <c r="J675" s="70" t="s">
        <v>289</v>
      </c>
      <c r="K675" s="2">
        <f>(VLOOKUP(H675,'functions and szcl estimates'!$A$14:$I$23,4, FALSE))*(('raw data'!I576)^(VLOOKUP('raw data'!H576,'functions and szcl estimates'!$A$14:$I$23, 7, FALSE)))</f>
        <v>14.103133527720736</v>
      </c>
      <c r="L675" s="12">
        <v>0.5625</v>
      </c>
      <c r="M675" s="12">
        <v>0.5625</v>
      </c>
      <c r="N675" s="12">
        <f t="shared" si="33"/>
        <v>0</v>
      </c>
      <c r="O675" s="65">
        <v>24</v>
      </c>
      <c r="S675" t="s">
        <v>148</v>
      </c>
    </row>
    <row r="676" spans="1:20" x14ac:dyDescent="0.2">
      <c r="A676" s="18">
        <v>39684</v>
      </c>
      <c r="B676" s="17">
        <v>2012</v>
      </c>
      <c r="C676" s="18" t="str">
        <f t="shared" si="32"/>
        <v>Tomales Bay_39684_TB Nick's Cove_0.5625</v>
      </c>
      <c r="D676" s="18" t="s">
        <v>46</v>
      </c>
      <c r="E676" s="19" t="s">
        <v>54</v>
      </c>
      <c r="F676" s="70" t="s">
        <v>288</v>
      </c>
      <c r="G676" s="70">
        <v>1</v>
      </c>
      <c r="H676" s="84" t="s">
        <v>49</v>
      </c>
      <c r="I676" s="19">
        <v>140</v>
      </c>
      <c r="J676" s="70" t="s">
        <v>289</v>
      </c>
      <c r="K676" s="2">
        <f>(VLOOKUP(H676,'functions and szcl estimates'!$A$14:$I$23,4, FALSE))*(('raw data'!I577)^(VLOOKUP('raw data'!H577,'functions and szcl estimates'!$A$14:$I$23, 7, FALSE)))</f>
        <v>18.604052377218839</v>
      </c>
      <c r="L676" s="12">
        <v>0.5625</v>
      </c>
      <c r="M676" s="12">
        <v>0.5625</v>
      </c>
      <c r="N676" s="12">
        <f t="shared" si="33"/>
        <v>0</v>
      </c>
      <c r="O676" s="65">
        <v>24</v>
      </c>
      <c r="S676" t="s">
        <v>148</v>
      </c>
    </row>
    <row r="677" spans="1:20" x14ac:dyDescent="0.2">
      <c r="A677" s="18">
        <v>39684</v>
      </c>
      <c r="B677" s="17">
        <v>2012</v>
      </c>
      <c r="C677" s="18" t="str">
        <f t="shared" si="32"/>
        <v>Tomales Bay_39684_TB Nick's Cove_0.5625</v>
      </c>
      <c r="D677" s="18" t="s">
        <v>46</v>
      </c>
      <c r="E677" s="19" t="s">
        <v>54</v>
      </c>
      <c r="F677" s="70" t="s">
        <v>288</v>
      </c>
      <c r="G677" s="70">
        <v>1</v>
      </c>
      <c r="H677" s="84" t="s">
        <v>49</v>
      </c>
      <c r="I677" s="19">
        <v>122</v>
      </c>
      <c r="J677" s="70" t="s">
        <v>289</v>
      </c>
      <c r="K677" s="2">
        <f>(VLOOKUP(H677,'functions and szcl estimates'!$A$14:$I$23,4, FALSE))*(('raw data'!I578)^(VLOOKUP('raw data'!H578,'functions and szcl estimates'!$A$14:$I$23, 7, FALSE)))</f>
        <v>32.568247065722694</v>
      </c>
      <c r="L677" s="12">
        <v>0.5625</v>
      </c>
      <c r="M677" s="12">
        <v>0.5625</v>
      </c>
      <c r="N677" s="12">
        <f t="shared" si="33"/>
        <v>0</v>
      </c>
      <c r="O677" s="65">
        <v>24</v>
      </c>
      <c r="S677" t="s">
        <v>148</v>
      </c>
    </row>
    <row r="678" spans="1:20" x14ac:dyDescent="0.2">
      <c r="A678" s="18">
        <v>39684</v>
      </c>
      <c r="B678" s="17">
        <v>2012</v>
      </c>
      <c r="C678" s="18" t="str">
        <f t="shared" si="32"/>
        <v>Tomales Bay_39684_TB Nick's Cove_0.5625</v>
      </c>
      <c r="D678" s="18" t="s">
        <v>46</v>
      </c>
      <c r="E678" s="19" t="s">
        <v>54</v>
      </c>
      <c r="F678" s="70" t="s">
        <v>288</v>
      </c>
      <c r="G678" s="70">
        <v>1</v>
      </c>
      <c r="H678" s="84" t="s">
        <v>49</v>
      </c>
      <c r="I678" s="19">
        <v>135</v>
      </c>
      <c r="J678" s="70" t="s">
        <v>289</v>
      </c>
      <c r="K678" s="2">
        <f>(VLOOKUP(H678,'functions and szcl estimates'!$A$14:$I$23,4, FALSE))*(('raw data'!I579)^(VLOOKUP('raw data'!H579,'functions and szcl estimates'!$A$14:$I$23, 7, FALSE)))</f>
        <v>60.754722241347544</v>
      </c>
      <c r="L678" s="12">
        <v>0.5625</v>
      </c>
      <c r="M678" s="12">
        <v>0.5625</v>
      </c>
      <c r="N678" s="12">
        <f t="shared" si="33"/>
        <v>0</v>
      </c>
      <c r="O678" s="65">
        <v>24</v>
      </c>
      <c r="S678" t="s">
        <v>148</v>
      </c>
    </row>
    <row r="679" spans="1:20" x14ac:dyDescent="0.2">
      <c r="A679" s="18">
        <v>39684</v>
      </c>
      <c r="B679" s="17">
        <v>2012</v>
      </c>
      <c r="C679" s="18" t="str">
        <f t="shared" si="32"/>
        <v>Tomales Bay_39684_TB Nick's Cove_0.5625</v>
      </c>
      <c r="D679" s="18" t="s">
        <v>46</v>
      </c>
      <c r="E679" s="19" t="s">
        <v>54</v>
      </c>
      <c r="F679" s="70" t="s">
        <v>288</v>
      </c>
      <c r="G679" s="70">
        <v>1</v>
      </c>
      <c r="H679" s="84" t="s">
        <v>49</v>
      </c>
      <c r="I679" s="19">
        <v>116</v>
      </c>
      <c r="J679" s="70" t="s">
        <v>289</v>
      </c>
      <c r="K679" s="2">
        <f>(VLOOKUP(H679,'functions and szcl estimates'!$A$14:$I$23,4, FALSE))*(('raw data'!I580)^(VLOOKUP('raw data'!H580,'functions and szcl estimates'!$A$14:$I$23, 7, FALSE)))</f>
        <v>38.277958915839399</v>
      </c>
      <c r="L679" s="12">
        <v>0.5625</v>
      </c>
      <c r="M679" s="12">
        <v>0.5625</v>
      </c>
      <c r="N679" s="12">
        <f t="shared" si="33"/>
        <v>0</v>
      </c>
      <c r="O679" s="65">
        <v>24</v>
      </c>
      <c r="S679" t="s">
        <v>148</v>
      </c>
    </row>
    <row r="680" spans="1:20" x14ac:dyDescent="0.2">
      <c r="A680" s="18">
        <v>39685</v>
      </c>
      <c r="B680" s="17">
        <v>2012</v>
      </c>
      <c r="C680" s="18" t="str">
        <f t="shared" si="32"/>
        <v>Tomales Bay_39685_TB North_0.4861</v>
      </c>
      <c r="D680" s="18" t="s">
        <v>46</v>
      </c>
      <c r="E680" s="19" t="s">
        <v>55</v>
      </c>
      <c r="F680" s="70" t="s">
        <v>288</v>
      </c>
      <c r="G680" s="70">
        <v>1</v>
      </c>
      <c r="H680" s="85" t="s">
        <v>48</v>
      </c>
      <c r="I680" s="66">
        <v>84</v>
      </c>
      <c r="J680" s="70" t="s">
        <v>289</v>
      </c>
      <c r="K680" s="2">
        <f>(VLOOKUP(H680,'functions and szcl estimates'!$A$14:$I$23,4, FALSE))*(('raw data'!I581)^(VLOOKUP('raw data'!H581,'functions and szcl estimates'!$A$14:$I$23, 7, FALSE)))</f>
        <v>51.380560518556024</v>
      </c>
      <c r="L680" s="12">
        <v>0.4861111111111111</v>
      </c>
      <c r="M680" s="12">
        <v>0.39583333333333331</v>
      </c>
      <c r="N680" s="12">
        <f t="shared" si="33"/>
        <v>9.027777777777779E-2</v>
      </c>
      <c r="O680" s="65">
        <v>21.75</v>
      </c>
      <c r="P680">
        <f>COUNT(O680:O685)</f>
        <v>6</v>
      </c>
      <c r="Q680" s="65">
        <f>SUM(K680:K685)</f>
        <v>399.4617505236065</v>
      </c>
      <c r="R680" s="15">
        <f>P680/O680</f>
        <v>0.27586206896551724</v>
      </c>
      <c r="S680" t="s">
        <v>148</v>
      </c>
      <c r="T680" t="s">
        <v>50</v>
      </c>
    </row>
    <row r="681" spans="1:20" x14ac:dyDescent="0.2">
      <c r="A681" s="18">
        <v>39685</v>
      </c>
      <c r="B681" s="17">
        <v>2012</v>
      </c>
      <c r="C681" s="18" t="str">
        <f t="shared" si="32"/>
        <v>Tomales Bay_39685_TB North_0.4861</v>
      </c>
      <c r="D681" s="18" t="s">
        <v>46</v>
      </c>
      <c r="E681" s="19" t="s">
        <v>55</v>
      </c>
      <c r="F681" s="70" t="s">
        <v>288</v>
      </c>
      <c r="G681" s="70">
        <v>1</v>
      </c>
      <c r="H681" s="84" t="s">
        <v>49</v>
      </c>
      <c r="I681" s="19">
        <v>120</v>
      </c>
      <c r="J681" s="70" t="s">
        <v>289</v>
      </c>
      <c r="K681" s="2">
        <f>(VLOOKUP(H681,'functions and szcl estimates'!$A$14:$I$23,4, FALSE))*(('raw data'!I582)^(VLOOKUP('raw data'!H582,'functions and szcl estimates'!$A$14:$I$23, 7, FALSE)))</f>
        <v>41.340189145675275</v>
      </c>
      <c r="L681" s="12">
        <v>0.4861111111111111</v>
      </c>
      <c r="M681" s="12">
        <v>0.39583333333333331</v>
      </c>
      <c r="N681" s="12">
        <f t="shared" si="33"/>
        <v>9.027777777777779E-2</v>
      </c>
      <c r="O681" s="65">
        <v>21.75</v>
      </c>
      <c r="S681" t="s">
        <v>148</v>
      </c>
    </row>
    <row r="682" spans="1:20" x14ac:dyDescent="0.2">
      <c r="A682" s="18">
        <v>39685</v>
      </c>
      <c r="B682" s="17">
        <v>2012</v>
      </c>
      <c r="C682" s="18" t="str">
        <f t="shared" si="32"/>
        <v>Tomales Bay_39685_TB Central_0.5417</v>
      </c>
      <c r="D682" s="18" t="s">
        <v>46</v>
      </c>
      <c r="E682" s="19" t="s">
        <v>52</v>
      </c>
      <c r="F682" s="70" t="s">
        <v>288</v>
      </c>
      <c r="G682" s="70">
        <v>1</v>
      </c>
      <c r="H682" s="84" t="s">
        <v>49</v>
      </c>
      <c r="I682" s="19">
        <v>94</v>
      </c>
      <c r="J682" s="70" t="s">
        <v>289</v>
      </c>
      <c r="K682" s="2">
        <f>(VLOOKUP(H682,'functions and szcl estimates'!$A$14:$I$23,4, FALSE))*(('raw data'!I587)^(VLOOKUP('raw data'!H587,'functions and szcl estimates'!$A$14:$I$23, 7, FALSE)))</f>
        <v>60.754722241347544</v>
      </c>
      <c r="L682" s="12">
        <v>0.54166666666666663</v>
      </c>
      <c r="M682" s="12">
        <v>0.4375</v>
      </c>
      <c r="N682" s="12">
        <f t="shared" si="33"/>
        <v>0.10416666666666663</v>
      </c>
      <c r="O682" s="65">
        <v>21.5</v>
      </c>
      <c r="P682">
        <f>COUNT(O682:O691)</f>
        <v>10</v>
      </c>
      <c r="Q682" s="65">
        <f>SUM(K682:K691)</f>
        <v>622.95720810527132</v>
      </c>
      <c r="R682" s="15">
        <f>P682/O682</f>
        <v>0.46511627906976744</v>
      </c>
      <c r="S682" t="s">
        <v>148</v>
      </c>
    </row>
    <row r="683" spans="1:20" x14ac:dyDescent="0.2">
      <c r="A683" s="18">
        <v>39685</v>
      </c>
      <c r="B683" s="17">
        <v>2012</v>
      </c>
      <c r="C683" s="18" t="str">
        <f t="shared" si="32"/>
        <v>Tomales Bay_39685_TB Central_0.5417</v>
      </c>
      <c r="D683" s="18" t="s">
        <v>46</v>
      </c>
      <c r="E683" s="19" t="s">
        <v>52</v>
      </c>
      <c r="F683" s="70" t="s">
        <v>288</v>
      </c>
      <c r="G683" s="70">
        <v>1</v>
      </c>
      <c r="H683" s="85" t="s">
        <v>48</v>
      </c>
      <c r="I683" s="66">
        <v>79</v>
      </c>
      <c r="J683" s="70" t="s">
        <v>289</v>
      </c>
      <c r="K683" s="2">
        <f>(VLOOKUP(H683,'functions and szcl estimates'!$A$14:$I$23,4, FALSE))*(('raw data'!I591)^(VLOOKUP('raw data'!H591,'functions and szcl estimates'!$A$14:$I$23, 7, FALSE)))</f>
        <v>97.254132687387425</v>
      </c>
      <c r="L683" s="12">
        <v>0.54166666666666696</v>
      </c>
      <c r="M683" s="12">
        <v>0.4375</v>
      </c>
      <c r="N683" s="12">
        <f t="shared" si="33"/>
        <v>0.10416666666666696</v>
      </c>
      <c r="O683" s="65">
        <v>21.5</v>
      </c>
      <c r="S683" t="s">
        <v>148</v>
      </c>
      <c r="T683" t="s">
        <v>50</v>
      </c>
    </row>
    <row r="684" spans="1:20" x14ac:dyDescent="0.2">
      <c r="A684" s="18">
        <v>39685</v>
      </c>
      <c r="B684" s="17">
        <v>2012</v>
      </c>
      <c r="C684" s="18" t="str">
        <f t="shared" si="32"/>
        <v>Tomales Bay_39685_TB South_0.5208</v>
      </c>
      <c r="D684" s="18" t="s">
        <v>46</v>
      </c>
      <c r="E684" s="19" t="s">
        <v>53</v>
      </c>
      <c r="F684" s="70" t="s">
        <v>288</v>
      </c>
      <c r="G684" s="70">
        <v>1</v>
      </c>
      <c r="H684" s="84" t="s">
        <v>49</v>
      </c>
      <c r="I684" s="19">
        <v>89</v>
      </c>
      <c r="J684" s="70" t="s">
        <v>289</v>
      </c>
      <c r="K684" s="2">
        <f>(VLOOKUP(H684,'functions and szcl estimates'!$A$14:$I$23,4, FALSE))*(('raw data'!I597)^(VLOOKUP('raw data'!H597,'functions and szcl estimates'!$A$14:$I$23, 7, FALSE)))</f>
        <v>73.25626290283563</v>
      </c>
      <c r="L684" s="12">
        <v>0.52083333333333337</v>
      </c>
      <c r="M684" s="12">
        <v>0.44791666666666669</v>
      </c>
      <c r="N684" s="12">
        <f t="shared" si="33"/>
        <v>7.2916666666666685E-2</v>
      </c>
      <c r="O684" s="65">
        <v>22.25</v>
      </c>
      <c r="P684">
        <f>COUNT(O684:O687)</f>
        <v>4</v>
      </c>
      <c r="Q684" s="65">
        <f>SUM(K684:K687)</f>
        <v>302.20880550711843</v>
      </c>
      <c r="R684" s="15">
        <f>P684/O684</f>
        <v>0.1797752808988764</v>
      </c>
      <c r="S684" t="s">
        <v>148</v>
      </c>
    </row>
    <row r="685" spans="1:20" x14ac:dyDescent="0.2">
      <c r="A685" s="18">
        <v>39685</v>
      </c>
      <c r="B685" s="17">
        <v>2012</v>
      </c>
      <c r="C685" s="18" t="str">
        <f t="shared" si="32"/>
        <v>Tomales Bay_39685_TB South_0.5208</v>
      </c>
      <c r="D685" s="18" t="s">
        <v>46</v>
      </c>
      <c r="E685" s="19" t="s">
        <v>53</v>
      </c>
      <c r="F685" s="70" t="s">
        <v>288</v>
      </c>
      <c r="G685" s="70">
        <v>1</v>
      </c>
      <c r="H685" s="84" t="s">
        <v>49</v>
      </c>
      <c r="I685" s="19">
        <v>101</v>
      </c>
      <c r="J685" s="70" t="s">
        <v>289</v>
      </c>
      <c r="K685" s="2">
        <f>(VLOOKUP(H685,'functions and szcl estimates'!$A$14:$I$23,4, FALSE))*(('raw data'!I598)^(VLOOKUP('raw data'!H598,'functions and szcl estimates'!$A$14:$I$23, 7, FALSE)))</f>
        <v>75.475883027804571</v>
      </c>
      <c r="L685" s="12">
        <v>0.52083333333333337</v>
      </c>
      <c r="M685" s="12">
        <v>0.44791666666666669</v>
      </c>
      <c r="N685" s="12">
        <f t="shared" si="33"/>
        <v>7.2916666666666685E-2</v>
      </c>
      <c r="O685" s="65">
        <v>22.25</v>
      </c>
      <c r="S685" t="s">
        <v>148</v>
      </c>
    </row>
    <row r="686" spans="1:20" x14ac:dyDescent="0.2">
      <c r="A686" s="18">
        <v>39685</v>
      </c>
      <c r="B686" s="17">
        <v>2012</v>
      </c>
      <c r="C686" s="18" t="str">
        <f t="shared" si="32"/>
        <v>Tomales Bay_39685_TB South_0.5208</v>
      </c>
      <c r="D686" s="18" t="s">
        <v>46</v>
      </c>
      <c r="E686" s="19" t="s">
        <v>53</v>
      </c>
      <c r="F686" s="70" t="s">
        <v>288</v>
      </c>
      <c r="G686" s="70">
        <v>1</v>
      </c>
      <c r="H686" s="84" t="s">
        <v>49</v>
      </c>
      <c r="I686" s="19">
        <v>92</v>
      </c>
      <c r="J686" s="70" t="s">
        <v>289</v>
      </c>
      <c r="K686" s="2">
        <f>(VLOOKUP(H686,'functions and szcl estimates'!$A$14:$I$23,4, FALSE))*(('raw data'!I599)^(VLOOKUP('raw data'!H599,'functions and szcl estimates'!$A$14:$I$23, 7, FALSE)))</f>
        <v>94.671605393524885</v>
      </c>
      <c r="L686" s="12">
        <v>0.52083333333333337</v>
      </c>
      <c r="M686" s="12">
        <v>0.44791666666666669</v>
      </c>
      <c r="N686" s="12">
        <f t="shared" si="33"/>
        <v>7.2916666666666685E-2</v>
      </c>
      <c r="O686" s="65">
        <v>22.25</v>
      </c>
      <c r="S686" t="s">
        <v>148</v>
      </c>
    </row>
    <row r="687" spans="1:20" x14ac:dyDescent="0.2">
      <c r="A687" s="18">
        <v>39685</v>
      </c>
      <c r="B687" s="17">
        <v>2012</v>
      </c>
      <c r="C687" s="18" t="str">
        <f t="shared" si="32"/>
        <v>Tomales Bay_39685_TB Nick's Cove_0.5625</v>
      </c>
      <c r="D687" s="18" t="s">
        <v>46</v>
      </c>
      <c r="E687" s="19" t="s">
        <v>54</v>
      </c>
      <c r="F687" s="70" t="s">
        <v>288</v>
      </c>
      <c r="G687" s="70">
        <v>1</v>
      </c>
      <c r="H687" s="84" t="s">
        <v>49</v>
      </c>
      <c r="I687" s="19">
        <v>132</v>
      </c>
      <c r="J687" s="70" t="s">
        <v>289</v>
      </c>
      <c r="K687" s="2">
        <f>(VLOOKUP(H687,'functions and szcl estimates'!$A$14:$I$23,4, FALSE))*(('raw data'!I601)^(VLOOKUP('raw data'!H601,'functions and szcl estimates'!$A$14:$I$23, 7, FALSE)))</f>
        <v>58.805054182953349</v>
      </c>
      <c r="L687" s="12">
        <v>0.5625</v>
      </c>
      <c r="M687" s="12">
        <v>0.3888888888888889</v>
      </c>
      <c r="N687" s="12">
        <f t="shared" si="33"/>
        <v>0.1736111111111111</v>
      </c>
      <c r="O687" s="65">
        <v>19.75</v>
      </c>
      <c r="P687">
        <f>COUNT(O687:O688)</f>
        <v>2</v>
      </c>
      <c r="Q687" s="65">
        <f>SUM(K687:K688)</f>
        <v>88.721666979915909</v>
      </c>
      <c r="R687" s="15">
        <f>P687/O687</f>
        <v>0.10126582278481013</v>
      </c>
      <c r="S687" t="s">
        <v>148</v>
      </c>
    </row>
    <row r="688" spans="1:20" x14ac:dyDescent="0.2">
      <c r="A688" s="18">
        <v>39685</v>
      </c>
      <c r="B688" s="17">
        <v>2012</v>
      </c>
      <c r="C688" s="18" t="str">
        <f t="shared" si="32"/>
        <v>Tomales Bay_39685_TB Nick's Cove_0.5625</v>
      </c>
      <c r="D688" s="18" t="s">
        <v>46</v>
      </c>
      <c r="E688" s="19" t="s">
        <v>54</v>
      </c>
      <c r="F688" s="70" t="s">
        <v>288</v>
      </c>
      <c r="G688" s="70">
        <v>1</v>
      </c>
      <c r="H688" s="84" t="s">
        <v>49</v>
      </c>
      <c r="I688" s="19">
        <v>140</v>
      </c>
      <c r="J688" s="70" t="s">
        <v>289</v>
      </c>
      <c r="K688" s="2">
        <f>(VLOOKUP(H688,'functions and szcl estimates'!$A$14:$I$23,4, FALSE))*(('raw data'!I602)^(VLOOKUP('raw data'!H602,'functions and szcl estimates'!$A$14:$I$23, 7, FALSE)))</f>
        <v>29.916612796962568</v>
      </c>
      <c r="L688" s="12">
        <v>0.5625</v>
      </c>
      <c r="M688" s="12">
        <v>0.3888888888888889</v>
      </c>
      <c r="N688" s="12">
        <f t="shared" si="33"/>
        <v>0.1736111111111111</v>
      </c>
      <c r="O688" s="65">
        <v>19.75</v>
      </c>
      <c r="S688" t="s">
        <v>148</v>
      </c>
    </row>
    <row r="689" spans="1:20" x14ac:dyDescent="0.2">
      <c r="A689" s="5">
        <v>39686</v>
      </c>
      <c r="B689" s="17">
        <v>2012</v>
      </c>
      <c r="C689" s="18" t="str">
        <f t="shared" si="32"/>
        <v>Tomales Bay_39686_TB Central_0.4375</v>
      </c>
      <c r="D689" s="18" t="s">
        <v>46</v>
      </c>
      <c r="E689" s="19" t="s">
        <v>56</v>
      </c>
      <c r="F689" s="70" t="s">
        <v>288</v>
      </c>
      <c r="G689" s="70">
        <v>1</v>
      </c>
      <c r="H689" s="84" t="s">
        <v>49</v>
      </c>
      <c r="I689" s="19">
        <v>100</v>
      </c>
      <c r="J689" s="70" t="s">
        <v>289</v>
      </c>
      <c r="K689" s="2">
        <f>(VLOOKUP(H689,'functions and szcl estimates'!$A$14:$I$23,4, FALSE))*(('raw data'!I606)^(VLOOKUP('raw data'!H606,'functions and szcl estimates'!$A$14:$I$23, 7, FALSE)))</f>
        <v>22.748870315076505</v>
      </c>
      <c r="L689" s="12">
        <v>0.4375</v>
      </c>
      <c r="M689" s="8">
        <v>0.42708333333333298</v>
      </c>
      <c r="N689" s="8">
        <f t="shared" si="33"/>
        <v>1.0416666666667018E-2</v>
      </c>
      <c r="O689" s="14">
        <v>23.75</v>
      </c>
      <c r="S689" t="s">
        <v>148</v>
      </c>
    </row>
    <row r="690" spans="1:20" x14ac:dyDescent="0.2">
      <c r="A690" s="18">
        <v>39686</v>
      </c>
      <c r="B690" s="17">
        <v>2012</v>
      </c>
      <c r="C690" s="18" t="str">
        <f t="shared" si="32"/>
        <v>Tomales Bay_39686_TB South_0.4479</v>
      </c>
      <c r="D690" s="18" t="s">
        <v>46</v>
      </c>
      <c r="E690" s="19" t="s">
        <v>53</v>
      </c>
      <c r="F690" s="70" t="s">
        <v>288</v>
      </c>
      <c r="G690" s="70">
        <v>1</v>
      </c>
      <c r="H690" s="84" t="s">
        <v>49</v>
      </c>
      <c r="I690" s="19">
        <v>70</v>
      </c>
      <c r="J690" s="70" t="s">
        <v>289</v>
      </c>
      <c r="K690" s="2">
        <f>(VLOOKUP(H690,'functions and szcl estimates'!$A$14:$I$23,4, FALSE))*(('raw data'!I612)^(VLOOKUP('raw data'!H612,'functions and szcl estimates'!$A$14:$I$23, 7, FALSE)))</f>
        <v>53.18102667145908</v>
      </c>
      <c r="L690" s="12">
        <v>0.44791666666666669</v>
      </c>
      <c r="M690" s="12">
        <v>0.43402777777777773</v>
      </c>
      <c r="N690" s="12">
        <f t="shared" si="33"/>
        <v>1.3888888888888951E-2</v>
      </c>
      <c r="O690" s="65">
        <v>23.75</v>
      </c>
      <c r="S690" t="s">
        <v>148</v>
      </c>
    </row>
    <row r="691" spans="1:20" x14ac:dyDescent="0.2">
      <c r="A691" s="18">
        <v>39686</v>
      </c>
      <c r="B691" s="17">
        <v>2012</v>
      </c>
      <c r="C691" s="18" t="str">
        <f t="shared" si="32"/>
        <v>Tomales Bay_39686_TB North_0.3958</v>
      </c>
      <c r="D691" s="18" t="s">
        <v>46</v>
      </c>
      <c r="E691" s="19" t="s">
        <v>55</v>
      </c>
      <c r="F691" s="70" t="s">
        <v>288</v>
      </c>
      <c r="G691" s="70">
        <v>1</v>
      </c>
      <c r="H691" s="84" t="s">
        <v>49</v>
      </c>
      <c r="I691" s="19">
        <v>80</v>
      </c>
      <c r="J691" s="70" t="s">
        <v>289</v>
      </c>
      <c r="K691" s="2">
        <f>(VLOOKUP(H691,'functions and szcl estimates'!$A$14:$I$23,4, FALSE))*(('raw data'!I613)^(VLOOKUP('raw data'!H613,'functions and szcl estimates'!$A$14:$I$23, 7, FALSE)))</f>
        <v>56.893037885919682</v>
      </c>
      <c r="L691" s="12">
        <v>0.39583333333333331</v>
      </c>
      <c r="M691" s="12">
        <v>0.45833333333333331</v>
      </c>
      <c r="N691" s="12">
        <f t="shared" si="33"/>
        <v>-6.25E-2</v>
      </c>
      <c r="O691" s="65">
        <v>25.5</v>
      </c>
      <c r="P691">
        <f>COUNT(O691:O701)</f>
        <v>11</v>
      </c>
      <c r="Q691" s="65">
        <f>SUM(K691:K701)</f>
        <v>388.29439174584365</v>
      </c>
      <c r="R691" s="15">
        <f>P691/O691</f>
        <v>0.43137254901960786</v>
      </c>
      <c r="S691" t="s">
        <v>148</v>
      </c>
    </row>
    <row r="692" spans="1:20" x14ac:dyDescent="0.2">
      <c r="A692" s="18">
        <v>39686</v>
      </c>
      <c r="B692" s="17">
        <v>2012</v>
      </c>
      <c r="C692" s="18" t="str">
        <f t="shared" si="32"/>
        <v>Tomales Bay_39686_TB North_0.3958</v>
      </c>
      <c r="D692" s="18" t="s">
        <v>46</v>
      </c>
      <c r="E692" s="19" t="s">
        <v>55</v>
      </c>
      <c r="F692" s="70" t="s">
        <v>288</v>
      </c>
      <c r="G692" s="70">
        <v>1</v>
      </c>
      <c r="H692" s="84" t="s">
        <v>49</v>
      </c>
      <c r="I692" s="19">
        <v>83</v>
      </c>
      <c r="J692" s="70" t="s">
        <v>289</v>
      </c>
      <c r="K692" s="2">
        <f>(VLOOKUP(H692,'functions and szcl estimates'!$A$14:$I$23,4, FALSE))*(('raw data'!I620)^(VLOOKUP('raw data'!H620,'functions and szcl estimates'!$A$14:$I$23, 7, FALSE)))</f>
        <v>68.93451556545007</v>
      </c>
      <c r="L692" s="12">
        <v>0.39583333333333298</v>
      </c>
      <c r="M692" s="12">
        <v>0.45833333333333298</v>
      </c>
      <c r="N692" s="12">
        <f t="shared" si="33"/>
        <v>-6.25E-2</v>
      </c>
      <c r="O692" s="65">
        <v>25.5</v>
      </c>
      <c r="S692" t="s">
        <v>148</v>
      </c>
    </row>
    <row r="693" spans="1:20" x14ac:dyDescent="0.2">
      <c r="A693" s="18">
        <v>39686</v>
      </c>
      <c r="B693" s="17">
        <v>2012</v>
      </c>
      <c r="C693" s="18" t="str">
        <f t="shared" si="32"/>
        <v>Tomales Bay_39686_TB Nick's Cove_0.5625</v>
      </c>
      <c r="D693" s="18" t="s">
        <v>46</v>
      </c>
      <c r="E693" s="19" t="s">
        <v>168</v>
      </c>
      <c r="F693" s="70" t="s">
        <v>288</v>
      </c>
      <c r="G693" s="70">
        <v>1</v>
      </c>
      <c r="H693" s="84" t="s">
        <v>49</v>
      </c>
      <c r="I693" s="19">
        <v>136</v>
      </c>
      <c r="J693" s="70" t="s">
        <v>289</v>
      </c>
      <c r="K693" s="2">
        <f>(VLOOKUP(H693,'functions and szcl estimates'!$A$14:$I$23,4, FALSE))*(('raw data'!I624)^(VLOOKUP('raw data'!H624,'functions and szcl estimates'!$A$14:$I$23, 7, FALSE)))</f>
        <v>51.380560518556024</v>
      </c>
      <c r="L693" s="12">
        <v>0.5625</v>
      </c>
      <c r="M693" s="12">
        <v>0.54166666666666663</v>
      </c>
      <c r="N693" s="12">
        <f t="shared" si="33"/>
        <v>2.083333333333337E-2</v>
      </c>
      <c r="O693" s="65">
        <v>23.5</v>
      </c>
      <c r="P693">
        <f>COUNT(O693:O696)</f>
        <v>4</v>
      </c>
      <c r="Q693" s="65">
        <f>SUM(K693:K696)</f>
        <v>262.46683829447397</v>
      </c>
      <c r="R693" s="15">
        <f>P693/O693</f>
        <v>0.1702127659574468</v>
      </c>
      <c r="S693" t="s">
        <v>148</v>
      </c>
    </row>
    <row r="694" spans="1:20" x14ac:dyDescent="0.2">
      <c r="A694" s="18">
        <v>39686</v>
      </c>
      <c r="B694" s="17">
        <v>2012</v>
      </c>
      <c r="C694" s="18" t="str">
        <f t="shared" si="32"/>
        <v>Tomales Bay_39686_TB Nick's Cove_0.5625</v>
      </c>
      <c r="D694" s="18" t="s">
        <v>46</v>
      </c>
      <c r="E694" s="19" t="s">
        <v>168</v>
      </c>
      <c r="F694" s="70" t="s">
        <v>288</v>
      </c>
      <c r="G694" s="70">
        <v>1</v>
      </c>
      <c r="H694" s="84" t="s">
        <v>49</v>
      </c>
      <c r="I694" s="19">
        <v>100</v>
      </c>
      <c r="J694" s="70" t="s">
        <v>289</v>
      </c>
      <c r="K694" s="2">
        <f>(VLOOKUP(H694,'functions and szcl estimates'!$A$14:$I$23,4, FALSE))*(('raw data'!I625)^(VLOOKUP('raw data'!H625,'functions and szcl estimates'!$A$14:$I$23, 7, FALSE)))</f>
        <v>68.93451556545007</v>
      </c>
      <c r="L694" s="12">
        <v>0.5625</v>
      </c>
      <c r="M694" s="12">
        <v>0.54166666666666663</v>
      </c>
      <c r="N694" s="12">
        <f t="shared" si="33"/>
        <v>2.083333333333337E-2</v>
      </c>
      <c r="O694" s="65">
        <v>23.5</v>
      </c>
      <c r="S694" t="s">
        <v>148</v>
      </c>
    </row>
    <row r="695" spans="1:20" x14ac:dyDescent="0.2">
      <c r="A695" s="18">
        <v>39686</v>
      </c>
      <c r="B695" s="17">
        <v>2012</v>
      </c>
      <c r="C695" s="18" t="str">
        <f t="shared" si="32"/>
        <v>Tomales Bay_39686_TB Nick's Cove_0.5625</v>
      </c>
      <c r="D695" s="18" t="s">
        <v>46</v>
      </c>
      <c r="E695" s="19" t="s">
        <v>168</v>
      </c>
      <c r="F695" s="70" t="s">
        <v>288</v>
      </c>
      <c r="G695" s="70">
        <v>1</v>
      </c>
      <c r="H695" s="84" t="s">
        <v>49</v>
      </c>
      <c r="I695" s="19">
        <v>147</v>
      </c>
      <c r="J695" s="70" t="s">
        <v>289</v>
      </c>
      <c r="K695" s="2">
        <f>(VLOOKUP(H695,'functions and szcl estimates'!$A$14:$I$23,4, FALSE))*(('raw data'!I626)^(VLOOKUP('raw data'!H626,'functions and szcl estimates'!$A$14:$I$23, 7, FALSE)))</f>
        <v>71.075881105233933</v>
      </c>
      <c r="L695" s="12">
        <v>0.5625</v>
      </c>
      <c r="M695" s="12">
        <v>0.54166666666666663</v>
      </c>
      <c r="N695" s="12">
        <f t="shared" si="33"/>
        <v>2.083333333333337E-2</v>
      </c>
      <c r="O695" s="65">
        <v>23.5</v>
      </c>
      <c r="S695" t="s">
        <v>148</v>
      </c>
    </row>
    <row r="696" spans="1:20" x14ac:dyDescent="0.2">
      <c r="A696" s="18">
        <v>39686</v>
      </c>
      <c r="B696" s="17">
        <v>2012</v>
      </c>
      <c r="C696" s="18" t="str">
        <f t="shared" si="32"/>
        <v>Tomales Bay_39686_TB Nick's Cove_0.5625</v>
      </c>
      <c r="D696" s="18" t="s">
        <v>46</v>
      </c>
      <c r="E696" s="19" t="s">
        <v>168</v>
      </c>
      <c r="F696" s="70" t="s">
        <v>288</v>
      </c>
      <c r="G696" s="70">
        <v>1</v>
      </c>
      <c r="H696" s="84" t="s">
        <v>49</v>
      </c>
      <c r="I696" s="19">
        <v>125</v>
      </c>
      <c r="J696" s="70" t="s">
        <v>289</v>
      </c>
      <c r="K696" s="2">
        <f>(VLOOKUP(H696,'functions and szcl estimates'!$A$14:$I$23,4, FALSE))*(('raw data'!I627)^(VLOOKUP('raw data'!H627,'functions and szcl estimates'!$A$14:$I$23, 7, FALSE)))</f>
        <v>71.075881105233933</v>
      </c>
      <c r="L696" s="12">
        <v>0.5625</v>
      </c>
      <c r="M696" s="12">
        <v>0.54166666666666663</v>
      </c>
      <c r="N696" s="12">
        <f t="shared" si="33"/>
        <v>2.083333333333337E-2</v>
      </c>
      <c r="O696" s="65">
        <v>23.5</v>
      </c>
      <c r="S696" t="s">
        <v>148</v>
      </c>
    </row>
    <row r="697" spans="1:20" x14ac:dyDescent="0.2">
      <c r="A697" s="18">
        <v>39637</v>
      </c>
      <c r="B697" s="17">
        <v>2012</v>
      </c>
      <c r="C697" s="18" t="str">
        <f t="shared" si="32"/>
        <v>Elkhorn Slough_39637_Outfall (shore2)_0</v>
      </c>
      <c r="D697" s="4" t="s">
        <v>45</v>
      </c>
      <c r="E697" t="s">
        <v>57</v>
      </c>
      <c r="F697" s="70" t="s">
        <v>288</v>
      </c>
      <c r="G697" s="70">
        <v>0</v>
      </c>
      <c r="I697" t="s">
        <v>142</v>
      </c>
      <c r="J697" s="70" t="s">
        <v>289</v>
      </c>
      <c r="M697" s="12"/>
      <c r="N697" s="12"/>
      <c r="O697" s="65">
        <v>48</v>
      </c>
      <c r="P697" s="2">
        <f>COUNT(I697)</f>
        <v>0</v>
      </c>
      <c r="Q697" s="64">
        <v>0</v>
      </c>
      <c r="R697" s="2">
        <f>P697/O697</f>
        <v>0</v>
      </c>
      <c r="S697" t="s">
        <v>274</v>
      </c>
      <c r="T697" t="s">
        <v>205</v>
      </c>
    </row>
    <row r="698" spans="1:20" x14ac:dyDescent="0.2">
      <c r="A698" s="18">
        <v>39633</v>
      </c>
      <c r="B698" s="17">
        <v>2012</v>
      </c>
      <c r="C698" s="18" t="str">
        <f t="shared" si="32"/>
        <v>Elkhorn Slough_39633_Seal Bend_0</v>
      </c>
      <c r="D698" s="4" t="s">
        <v>45</v>
      </c>
      <c r="E698" t="s">
        <v>167</v>
      </c>
      <c r="F698" s="70" t="s">
        <v>288</v>
      </c>
      <c r="G698" s="70">
        <v>0</v>
      </c>
      <c r="I698" t="s">
        <v>142</v>
      </c>
      <c r="J698" s="70" t="s">
        <v>289</v>
      </c>
      <c r="M698" s="12"/>
      <c r="N698" s="12"/>
      <c r="O698" s="65">
        <v>168</v>
      </c>
      <c r="P698">
        <v>0</v>
      </c>
      <c r="Q698" s="65">
        <v>0</v>
      </c>
      <c r="R698">
        <v>0</v>
      </c>
      <c r="S698" t="s">
        <v>5</v>
      </c>
    </row>
    <row r="699" spans="1:20" x14ac:dyDescent="0.2">
      <c r="A699" s="18">
        <v>39637</v>
      </c>
      <c r="B699" s="17">
        <v>2012</v>
      </c>
      <c r="C699" s="18" t="str">
        <f t="shared" si="32"/>
        <v>Elkhorn Slough_39637_Outfall (shore1)_0</v>
      </c>
      <c r="D699" s="4" t="s">
        <v>45</v>
      </c>
      <c r="E699" t="s">
        <v>170</v>
      </c>
      <c r="F699" s="70" t="s">
        <v>288</v>
      </c>
      <c r="G699" s="70">
        <v>0</v>
      </c>
      <c r="I699" t="s">
        <v>142</v>
      </c>
      <c r="J699" s="70" t="s">
        <v>289</v>
      </c>
      <c r="M699" s="12"/>
      <c r="N699" s="12"/>
      <c r="O699" s="65">
        <v>48</v>
      </c>
      <c r="P699" s="2">
        <f>COUNT(I699)</f>
        <v>0</v>
      </c>
      <c r="Q699" s="64">
        <v>0</v>
      </c>
      <c r="R699" s="2">
        <f>P699/O699</f>
        <v>0</v>
      </c>
      <c r="S699" t="s">
        <v>166</v>
      </c>
    </row>
    <row r="700" spans="1:20" x14ac:dyDescent="0.2">
      <c r="A700" s="18">
        <v>39638</v>
      </c>
      <c r="B700" s="17">
        <v>2012</v>
      </c>
      <c r="C700" s="18" t="str">
        <f t="shared" si="32"/>
        <v>Elkhorn Slough_39638_Seal Bend_0</v>
      </c>
      <c r="D700" s="4" t="s">
        <v>45</v>
      </c>
      <c r="E700" t="s">
        <v>167</v>
      </c>
      <c r="F700" s="70" t="s">
        <v>288</v>
      </c>
      <c r="G700" s="70">
        <v>0</v>
      </c>
      <c r="I700" t="s">
        <v>142</v>
      </c>
      <c r="J700" s="70" t="s">
        <v>289</v>
      </c>
      <c r="M700" s="12"/>
      <c r="N700" s="12"/>
      <c r="O700" s="65">
        <v>24</v>
      </c>
      <c r="P700">
        <v>0</v>
      </c>
      <c r="Q700" s="65">
        <v>0</v>
      </c>
      <c r="R700">
        <v>0</v>
      </c>
      <c r="S700" t="s">
        <v>166</v>
      </c>
      <c r="T700" t="s">
        <v>145</v>
      </c>
    </row>
    <row r="701" spans="1:20" x14ac:dyDescent="0.2">
      <c r="A701" s="18">
        <v>39638</v>
      </c>
      <c r="B701" s="17">
        <v>2012</v>
      </c>
      <c r="C701" s="18" t="str">
        <f t="shared" si="32"/>
        <v>Elkhorn Slough_39638_Crop Circles_0</v>
      </c>
      <c r="D701" s="4" t="s">
        <v>45</v>
      </c>
      <c r="E701" t="s">
        <v>160</v>
      </c>
      <c r="F701" s="70" t="s">
        <v>288</v>
      </c>
      <c r="G701" s="70">
        <v>0</v>
      </c>
      <c r="I701" t="s">
        <v>142</v>
      </c>
      <c r="J701" s="70" t="s">
        <v>289</v>
      </c>
      <c r="M701" s="12"/>
      <c r="N701" s="12"/>
      <c r="O701" s="65">
        <v>24</v>
      </c>
      <c r="P701">
        <v>0</v>
      </c>
      <c r="Q701" s="65">
        <v>0</v>
      </c>
      <c r="R701">
        <v>0</v>
      </c>
      <c r="S701" t="s">
        <v>166</v>
      </c>
    </row>
    <row r="702" spans="1:20" x14ac:dyDescent="0.2">
      <c r="A702" s="18">
        <v>39638</v>
      </c>
      <c r="B702" s="17">
        <v>2012</v>
      </c>
      <c r="C702" s="18" t="str">
        <f t="shared" si="32"/>
        <v>Elkhorn Slough_39638_Outfall (shore2)_0</v>
      </c>
      <c r="D702" s="4" t="s">
        <v>45</v>
      </c>
      <c r="E702" t="s">
        <v>57</v>
      </c>
      <c r="F702" s="70" t="s">
        <v>288</v>
      </c>
      <c r="G702" s="70">
        <v>0</v>
      </c>
      <c r="I702" t="s">
        <v>142</v>
      </c>
      <c r="J702" s="70" t="s">
        <v>289</v>
      </c>
      <c r="M702" s="12"/>
      <c r="N702" s="12"/>
      <c r="O702" s="65">
        <v>24</v>
      </c>
      <c r="P702">
        <v>0</v>
      </c>
      <c r="Q702" s="65">
        <v>0</v>
      </c>
      <c r="R702">
        <v>0</v>
      </c>
      <c r="S702" t="s">
        <v>166</v>
      </c>
    </row>
    <row r="703" spans="1:20" x14ac:dyDescent="0.2">
      <c r="A703" s="18">
        <v>39638</v>
      </c>
      <c r="B703" s="17">
        <v>2012</v>
      </c>
      <c r="C703" s="18" t="str">
        <f t="shared" si="32"/>
        <v>Elkhorn Slough_39638_Outfall_0</v>
      </c>
      <c r="D703" s="4" t="s">
        <v>45</v>
      </c>
      <c r="E703" t="s">
        <v>144</v>
      </c>
      <c r="F703" s="70" t="s">
        <v>288</v>
      </c>
      <c r="G703" s="70">
        <v>0</v>
      </c>
      <c r="I703" t="s">
        <v>142</v>
      </c>
      <c r="J703" s="70" t="s">
        <v>289</v>
      </c>
      <c r="M703" s="12"/>
      <c r="N703" s="12"/>
      <c r="O703" s="65">
        <v>24</v>
      </c>
      <c r="P703">
        <v>0</v>
      </c>
      <c r="Q703" s="65">
        <v>0</v>
      </c>
      <c r="R703">
        <v>0</v>
      </c>
      <c r="S703" t="s">
        <v>166</v>
      </c>
    </row>
    <row r="704" spans="1:20" x14ac:dyDescent="0.2">
      <c r="A704" s="18">
        <v>39640</v>
      </c>
      <c r="B704" s="17">
        <v>2012</v>
      </c>
      <c r="C704" s="18" t="str">
        <f t="shared" si="32"/>
        <v>Elkhorn Slough_39640_Seal Bend_0</v>
      </c>
      <c r="D704" s="4" t="s">
        <v>45</v>
      </c>
      <c r="E704" t="s">
        <v>167</v>
      </c>
      <c r="F704" s="70" t="s">
        <v>288</v>
      </c>
      <c r="G704" s="70">
        <v>0</v>
      </c>
      <c r="I704" t="s">
        <v>142</v>
      </c>
      <c r="J704" s="70" t="s">
        <v>289</v>
      </c>
      <c r="M704" s="12" t="s">
        <v>243</v>
      </c>
      <c r="N704" s="12"/>
      <c r="O704" s="65">
        <v>24</v>
      </c>
      <c r="P704">
        <v>0</v>
      </c>
      <c r="Q704" s="65">
        <v>0</v>
      </c>
      <c r="R704">
        <v>0</v>
      </c>
      <c r="S704" t="s">
        <v>166</v>
      </c>
      <c r="T704" t="s">
        <v>151</v>
      </c>
    </row>
    <row r="705" spans="1:21" x14ac:dyDescent="0.2">
      <c r="A705" s="18">
        <v>39640</v>
      </c>
      <c r="B705" s="17">
        <v>2012</v>
      </c>
      <c r="C705" s="18" t="str">
        <f t="shared" si="32"/>
        <v>Elkhorn Slough_39640_Crop Circles_0</v>
      </c>
      <c r="D705" s="4" t="s">
        <v>45</v>
      </c>
      <c r="E705" t="s">
        <v>160</v>
      </c>
      <c r="F705" s="70" t="s">
        <v>288</v>
      </c>
      <c r="G705" s="70">
        <v>0</v>
      </c>
      <c r="I705" t="s">
        <v>142</v>
      </c>
      <c r="J705" s="70" t="s">
        <v>289</v>
      </c>
      <c r="M705" s="12" t="s">
        <v>243</v>
      </c>
      <c r="N705" s="12"/>
      <c r="O705" s="65">
        <v>24</v>
      </c>
      <c r="P705">
        <v>0</v>
      </c>
      <c r="Q705" s="65">
        <v>0</v>
      </c>
      <c r="R705">
        <v>0</v>
      </c>
      <c r="S705" t="s">
        <v>166</v>
      </c>
    </row>
    <row r="706" spans="1:21" x14ac:dyDescent="0.2">
      <c r="A706" s="18">
        <v>39642</v>
      </c>
      <c r="B706" s="17">
        <v>2012</v>
      </c>
      <c r="C706" s="18" t="str">
        <f t="shared" si="32"/>
        <v>Elkhorn Slough_39642_Crop Circles_0.6771</v>
      </c>
      <c r="D706" s="4" t="s">
        <v>45</v>
      </c>
      <c r="E706" t="s">
        <v>249</v>
      </c>
      <c r="F706" s="70" t="s">
        <v>288</v>
      </c>
      <c r="G706" s="70">
        <v>0</v>
      </c>
      <c r="I706" t="s">
        <v>250</v>
      </c>
      <c r="J706" s="70" t="s">
        <v>289</v>
      </c>
      <c r="L706" s="12">
        <v>0.67708333333333337</v>
      </c>
      <c r="M706" s="12" t="s">
        <v>216</v>
      </c>
      <c r="N706" s="12">
        <f>L706-M706</f>
        <v>0.20833333333333337</v>
      </c>
      <c r="O706" s="65">
        <v>19</v>
      </c>
      <c r="P706">
        <v>0</v>
      </c>
      <c r="Q706" s="65">
        <v>0</v>
      </c>
      <c r="R706" s="2">
        <f>P706/O706</f>
        <v>0</v>
      </c>
      <c r="S706" t="s">
        <v>251</v>
      </c>
    </row>
    <row r="707" spans="1:21" x14ac:dyDescent="0.2">
      <c r="A707" s="18">
        <v>41215</v>
      </c>
      <c r="B707" s="17">
        <v>2016</v>
      </c>
      <c r="C707" s="18" t="str">
        <f t="shared" ref="C707:C770" si="34">CONCATENATE(D707,"_",A707,"_",E707,"_",ROUND(L707,4))</f>
        <v>Drakes_41215_ZM_low3_0.5736</v>
      </c>
      <c r="D707" s="18" t="s">
        <v>285</v>
      </c>
      <c r="E707" s="70" t="s">
        <v>299</v>
      </c>
      <c r="F707" s="70" t="s">
        <v>288</v>
      </c>
      <c r="G707" s="70">
        <v>1</v>
      </c>
      <c r="H707" s="77" t="s">
        <v>276</v>
      </c>
      <c r="I707" s="70">
        <v>25</v>
      </c>
      <c r="J707" s="70" t="s">
        <v>291</v>
      </c>
      <c r="K707" s="2">
        <f>(VLOOKUP(H707,'functions and szcl estimates'!$A$14:$I$23,4, FALSE))*(('raw data'!I739)^(VLOOKUP('raw data'!H739,'functions and szcl estimates'!$A$14:$I$23, 7, FALSE)))</f>
        <v>59.269178064133747</v>
      </c>
      <c r="L707" s="12">
        <v>0.57361111111111096</v>
      </c>
      <c r="M707" s="12">
        <v>0.41388888888888897</v>
      </c>
      <c r="N707" s="12">
        <f>L707-M707</f>
        <v>0.15972222222222199</v>
      </c>
      <c r="O707" s="65">
        <v>21.75</v>
      </c>
      <c r="S707" t="s">
        <v>148</v>
      </c>
    </row>
    <row r="708" spans="1:21" x14ac:dyDescent="0.2">
      <c r="A708" s="4">
        <v>39626</v>
      </c>
      <c r="B708" s="17">
        <v>2012</v>
      </c>
      <c r="C708" s="18" t="str">
        <f t="shared" si="34"/>
        <v>Elkhorn Slough_39626_Crop Circles_0</v>
      </c>
      <c r="D708" s="4" t="s">
        <v>45</v>
      </c>
      <c r="E708" s="2" t="s">
        <v>160</v>
      </c>
      <c r="F708" s="70" t="s">
        <v>288</v>
      </c>
      <c r="G708" s="70">
        <v>1</v>
      </c>
      <c r="H708" s="80" t="s">
        <v>161</v>
      </c>
      <c r="I708" s="2">
        <v>60</v>
      </c>
      <c r="J708" s="70" t="s">
        <v>289</v>
      </c>
      <c r="K708" s="2">
        <f>(VLOOKUP(H708,'functions and szcl estimates'!$A$14:$I$23,4, FALSE))*(('raw data'!I16)^(VLOOKUP('raw data'!H16,'functions and szcl estimates'!$A$14:$I$23, 7, FALSE)))</f>
        <v>160.58960028347838</v>
      </c>
      <c r="L708" s="11"/>
      <c r="M708" s="11"/>
      <c r="N708" s="11"/>
      <c r="O708" s="64">
        <v>20</v>
      </c>
      <c r="P708" s="2"/>
      <c r="Q708" s="64"/>
      <c r="R708" s="2"/>
      <c r="S708" t="s">
        <v>166</v>
      </c>
      <c r="T708" s="1"/>
      <c r="U708" s="1"/>
    </row>
    <row r="709" spans="1:21" x14ac:dyDescent="0.2">
      <c r="A709" s="18">
        <v>39633</v>
      </c>
      <c r="B709" s="17">
        <v>2012</v>
      </c>
      <c r="C709" s="18" t="str">
        <f t="shared" si="34"/>
        <v>Elkhorn Slough_39633_Crop Circles_0</v>
      </c>
      <c r="D709" s="4" t="s">
        <v>45</v>
      </c>
      <c r="E709" t="s">
        <v>160</v>
      </c>
      <c r="F709" s="70" t="s">
        <v>288</v>
      </c>
      <c r="G709" s="70">
        <v>1</v>
      </c>
      <c r="H709" s="79" t="s">
        <v>161</v>
      </c>
      <c r="I709">
        <v>45</v>
      </c>
      <c r="J709" s="70" t="s">
        <v>289</v>
      </c>
      <c r="K709" s="2">
        <f>(VLOOKUP(H709,'functions and szcl estimates'!$A$14:$I$23,4, FALSE))*(('raw data'!I21)^(VLOOKUP('raw data'!H21,'functions and szcl estimates'!$A$14:$I$23, 7, FALSE)))</f>
        <v>118.5869130648863</v>
      </c>
      <c r="M709" s="12"/>
      <c r="N709" s="12"/>
      <c r="O709" s="65">
        <v>168</v>
      </c>
      <c r="P709" s="2">
        <f>COUNT(I709:I715)</f>
        <v>7</v>
      </c>
      <c r="Q709" s="64">
        <f>SUM(K709:K715)</f>
        <v>994.30898562723019</v>
      </c>
      <c r="R709" s="2">
        <f>P709/O709</f>
        <v>4.1666666666666664E-2</v>
      </c>
      <c r="S709" t="s">
        <v>141</v>
      </c>
    </row>
    <row r="710" spans="1:21" x14ac:dyDescent="0.2">
      <c r="A710" s="18">
        <v>39633</v>
      </c>
      <c r="B710" s="17">
        <v>2012</v>
      </c>
      <c r="C710" s="18" t="str">
        <f t="shared" si="34"/>
        <v>Elkhorn Slough_39633_Crop Circles_0</v>
      </c>
      <c r="D710" s="4" t="s">
        <v>45</v>
      </c>
      <c r="E710" t="s">
        <v>160</v>
      </c>
      <c r="F710" s="70" t="s">
        <v>288</v>
      </c>
      <c r="G710" s="70">
        <v>1</v>
      </c>
      <c r="H710" s="79" t="s">
        <v>161</v>
      </c>
      <c r="I710">
        <v>40</v>
      </c>
      <c r="J710" s="70" t="s">
        <v>289</v>
      </c>
      <c r="K710" s="2">
        <f>(VLOOKUP(H710,'functions and szcl estimates'!$A$14:$I$23,4, FALSE))*(('raw data'!I22)^(VLOOKUP('raw data'!H22,'functions and szcl estimates'!$A$14:$I$23, 7, FALSE)))</f>
        <v>91.535772859495111</v>
      </c>
      <c r="M710" s="12"/>
      <c r="N710" s="12"/>
      <c r="O710" s="65">
        <v>168</v>
      </c>
      <c r="S710" t="s">
        <v>141</v>
      </c>
    </row>
    <row r="711" spans="1:21" x14ac:dyDescent="0.2">
      <c r="A711" s="18">
        <v>39635</v>
      </c>
      <c r="B711" s="17">
        <v>2012</v>
      </c>
      <c r="C711" s="18" t="str">
        <f t="shared" si="34"/>
        <v>Elkhorn Slough_39635_Seal Bend_0</v>
      </c>
      <c r="D711" s="4" t="s">
        <v>45</v>
      </c>
      <c r="E711" t="s">
        <v>167</v>
      </c>
      <c r="F711" s="70" t="s">
        <v>288</v>
      </c>
      <c r="G711" s="70">
        <v>1</v>
      </c>
      <c r="H711" s="79" t="s">
        <v>161</v>
      </c>
      <c r="I711">
        <v>60</v>
      </c>
      <c r="J711" s="70" t="s">
        <v>289</v>
      </c>
      <c r="K711" s="2">
        <f>(VLOOKUP(H711,'functions and szcl estimates'!$A$14:$I$23,4, FALSE))*(('raw data'!I28)^(VLOOKUP('raw data'!H28,'functions and szcl estimates'!$A$14:$I$23, 7, FALSE)))</f>
        <v>172.16716454565895</v>
      </c>
      <c r="M711" s="12"/>
      <c r="N711" s="12"/>
      <c r="O711" s="65">
        <v>24</v>
      </c>
      <c r="P711" s="2">
        <f>COUNT(I711)</f>
        <v>1</v>
      </c>
      <c r="Q711" s="64">
        <f>SUM(K711)</f>
        <v>172.16716454565895</v>
      </c>
      <c r="R711" s="2">
        <f>P711/O711</f>
        <v>4.1666666666666664E-2</v>
      </c>
      <c r="S711" t="s">
        <v>166</v>
      </c>
      <c r="T711" t="s">
        <v>169</v>
      </c>
    </row>
    <row r="712" spans="1:21" x14ac:dyDescent="0.2">
      <c r="A712" s="18">
        <v>39635</v>
      </c>
      <c r="B712" s="17">
        <v>2012</v>
      </c>
      <c r="C712" s="18" t="str">
        <f t="shared" si="34"/>
        <v>Elkhorn Slough_39635_Outfall_0</v>
      </c>
      <c r="D712" s="4" t="s">
        <v>45</v>
      </c>
      <c r="E712" t="s">
        <v>20</v>
      </c>
      <c r="F712" s="70" t="s">
        <v>288</v>
      </c>
      <c r="G712" s="70">
        <v>1</v>
      </c>
      <c r="H712" s="86" t="s">
        <v>202</v>
      </c>
      <c r="I712" s="67">
        <v>190</v>
      </c>
      <c r="J712" s="70" t="s">
        <v>289</v>
      </c>
      <c r="K712" s="2">
        <f>(VLOOKUP(H712,'functions and szcl estimates'!$A$14:$I$23,4, FALSE))*(('raw data'!I55)^(VLOOKUP('raw data'!H55,'functions and szcl estimates'!$A$14:$I$23, 7, FALSE)))</f>
        <v>241.32564726156411</v>
      </c>
      <c r="O712" s="14">
        <v>24</v>
      </c>
      <c r="S712" t="s">
        <v>19</v>
      </c>
      <c r="T712" t="s">
        <v>23</v>
      </c>
      <c r="U712" t="s">
        <v>203</v>
      </c>
    </row>
    <row r="713" spans="1:21" x14ac:dyDescent="0.2">
      <c r="A713" s="18">
        <v>39637</v>
      </c>
      <c r="B713" s="17">
        <v>2012</v>
      </c>
      <c r="C713" s="18" t="str">
        <f t="shared" si="34"/>
        <v>Elkhorn Slough_39637_Seal Bend_0</v>
      </c>
      <c r="D713" s="4" t="s">
        <v>45</v>
      </c>
      <c r="E713" t="s">
        <v>167</v>
      </c>
      <c r="F713" s="70" t="s">
        <v>288</v>
      </c>
      <c r="G713" s="70">
        <v>1</v>
      </c>
      <c r="H713" s="79" t="s">
        <v>161</v>
      </c>
      <c r="I713">
        <v>38</v>
      </c>
      <c r="J713" s="70" t="s">
        <v>289</v>
      </c>
      <c r="K713" s="2">
        <f>(VLOOKUP(H713,'functions and szcl estimates'!$A$14:$I$23,4, FALSE))*(('raw data'!I56)^(VLOOKUP('raw data'!H56,'functions and szcl estimates'!$A$14:$I$23, 7, FALSE)))</f>
        <v>131.82743207824967</v>
      </c>
      <c r="M713" s="12"/>
      <c r="N713" s="12"/>
      <c r="O713" s="65">
        <v>48</v>
      </c>
      <c r="P713" s="2">
        <f>COUNT(I713:I720)</f>
        <v>8</v>
      </c>
      <c r="Q713" s="64">
        <f>SUM(K713:K720)</f>
        <v>1222.6154274607666</v>
      </c>
      <c r="R713" s="2">
        <f>P713/O713</f>
        <v>0.16666666666666666</v>
      </c>
      <c r="S713" t="s">
        <v>24</v>
      </c>
      <c r="T713" t="s">
        <v>42</v>
      </c>
    </row>
    <row r="714" spans="1:21" x14ac:dyDescent="0.2">
      <c r="A714" s="18">
        <v>39637</v>
      </c>
      <c r="B714" s="17">
        <v>2012</v>
      </c>
      <c r="C714" s="18" t="str">
        <f t="shared" si="34"/>
        <v>Elkhorn Slough_39637_Seal Bend_0</v>
      </c>
      <c r="D714" s="4" t="s">
        <v>45</v>
      </c>
      <c r="E714" t="s">
        <v>167</v>
      </c>
      <c r="F714" s="70" t="s">
        <v>288</v>
      </c>
      <c r="G714" s="70">
        <v>1</v>
      </c>
      <c r="H714" s="79" t="s">
        <v>161</v>
      </c>
      <c r="I714">
        <v>39</v>
      </c>
      <c r="J714" s="70" t="s">
        <v>289</v>
      </c>
      <c r="K714" s="2">
        <f>(VLOOKUP(H714,'functions and szcl estimates'!$A$14:$I$23,4, FALSE))*(('raw data'!I57)^(VLOOKUP('raw data'!H57,'functions and szcl estimates'!$A$14:$I$23, 7, FALSE)))</f>
        <v>100.13435403696072</v>
      </c>
      <c r="M714" s="12"/>
      <c r="N714" s="12"/>
      <c r="O714" s="65">
        <v>48</v>
      </c>
      <c r="S714" t="s">
        <v>166</v>
      </c>
    </row>
    <row r="715" spans="1:21" x14ac:dyDescent="0.2">
      <c r="A715" s="18">
        <v>39637</v>
      </c>
      <c r="B715" s="17">
        <v>2012</v>
      </c>
      <c r="C715" s="18" t="str">
        <f t="shared" si="34"/>
        <v>Elkhorn Slough_39637_Seal Bend_0</v>
      </c>
      <c r="D715" s="4" t="s">
        <v>45</v>
      </c>
      <c r="E715" t="s">
        <v>167</v>
      </c>
      <c r="F715" s="70" t="s">
        <v>288</v>
      </c>
      <c r="G715" s="70">
        <v>1</v>
      </c>
      <c r="H715" s="79" t="s">
        <v>161</v>
      </c>
      <c r="I715">
        <v>41</v>
      </c>
      <c r="J715" s="70" t="s">
        <v>289</v>
      </c>
      <c r="K715" s="2">
        <f>(VLOOKUP(H715,'functions and szcl estimates'!$A$14:$I$23,4, FALSE))*(('raw data'!I58)^(VLOOKUP('raw data'!H58,'functions and szcl estimates'!$A$14:$I$23, 7, FALSE)))</f>
        <v>138.73170178041528</v>
      </c>
      <c r="M715" s="12"/>
      <c r="N715" s="12"/>
      <c r="O715" s="65">
        <v>48</v>
      </c>
      <c r="S715" t="s">
        <v>166</v>
      </c>
    </row>
    <row r="716" spans="1:21" x14ac:dyDescent="0.2">
      <c r="A716" s="18">
        <v>39637</v>
      </c>
      <c r="B716" s="17">
        <v>2012</v>
      </c>
      <c r="C716" s="18" t="str">
        <f t="shared" si="34"/>
        <v>Elkhorn Slough_39637_Seal Bend_0</v>
      </c>
      <c r="D716" s="4" t="s">
        <v>45</v>
      </c>
      <c r="E716" t="s">
        <v>167</v>
      </c>
      <c r="F716" s="70" t="s">
        <v>288</v>
      </c>
      <c r="G716" s="70">
        <v>1</v>
      </c>
      <c r="H716" s="79" t="s">
        <v>161</v>
      </c>
      <c r="I716">
        <v>42</v>
      </c>
      <c r="J716" s="70" t="s">
        <v>289</v>
      </c>
      <c r="K716" s="2">
        <f>(VLOOKUP(H716,'functions and szcl estimates'!$A$14:$I$23,4, FALSE))*(('raw data'!I59)^(VLOOKUP('raw data'!H59,'functions and szcl estimates'!$A$14:$I$23, 7, FALSE)))</f>
        <v>275.56359570201431</v>
      </c>
      <c r="M716" s="12"/>
      <c r="N716" s="12"/>
      <c r="O716" s="65">
        <v>48</v>
      </c>
      <c r="S716" t="s">
        <v>166</v>
      </c>
    </row>
    <row r="717" spans="1:21" x14ac:dyDescent="0.2">
      <c r="A717" s="18">
        <v>39637</v>
      </c>
      <c r="B717" s="17">
        <v>2012</v>
      </c>
      <c r="C717" s="18" t="str">
        <f t="shared" si="34"/>
        <v>Elkhorn Slough_39637_Seal Bend_0</v>
      </c>
      <c r="D717" s="4" t="s">
        <v>45</v>
      </c>
      <c r="E717" t="s">
        <v>167</v>
      </c>
      <c r="F717" s="70" t="s">
        <v>288</v>
      </c>
      <c r="G717" s="70">
        <v>1</v>
      </c>
      <c r="H717" s="79" t="s">
        <v>161</v>
      </c>
      <c r="I717">
        <v>45</v>
      </c>
      <c r="J717" s="70" t="s">
        <v>289</v>
      </c>
      <c r="K717" s="2">
        <f>(VLOOKUP(H717,'functions and szcl estimates'!$A$14:$I$23,4, FALSE))*(('raw data'!I60)^(VLOOKUP('raw data'!H60,'functions and szcl estimates'!$A$14:$I$23, 7, FALSE)))</f>
        <v>156.82680158430111</v>
      </c>
      <c r="M717" s="12"/>
      <c r="N717" s="12"/>
      <c r="O717" s="65">
        <v>48</v>
      </c>
      <c r="S717" t="s">
        <v>166</v>
      </c>
    </row>
    <row r="718" spans="1:21" x14ac:dyDescent="0.2">
      <c r="A718" s="18">
        <v>39637</v>
      </c>
      <c r="B718" s="17">
        <v>2012</v>
      </c>
      <c r="C718" s="18" t="str">
        <f t="shared" si="34"/>
        <v>Elkhorn Slough_39637_Seal Bend_0</v>
      </c>
      <c r="D718" s="4" t="s">
        <v>45</v>
      </c>
      <c r="E718" t="s">
        <v>167</v>
      </c>
      <c r="F718" s="70" t="s">
        <v>288</v>
      </c>
      <c r="G718" s="70">
        <v>1</v>
      </c>
      <c r="H718" s="79" t="s">
        <v>161</v>
      </c>
      <c r="I718">
        <v>51</v>
      </c>
      <c r="J718" s="70" t="s">
        <v>289</v>
      </c>
      <c r="K718" s="2">
        <f>(VLOOKUP(H718,'functions and szcl estimates'!$A$14:$I$23,4, FALSE))*(('raw data'!I61)^(VLOOKUP('raw data'!H61,'functions and szcl estimates'!$A$14:$I$23, 7, FALSE)))</f>
        <v>106.09852373957591</v>
      </c>
      <c r="M718" s="12"/>
      <c r="N718" s="12"/>
      <c r="O718" s="65">
        <v>48</v>
      </c>
      <c r="S718" t="s">
        <v>166</v>
      </c>
    </row>
    <row r="719" spans="1:21" x14ac:dyDescent="0.2">
      <c r="A719" s="18">
        <v>39637</v>
      </c>
      <c r="B719" s="17">
        <v>2012</v>
      </c>
      <c r="C719" s="18" t="str">
        <f t="shared" si="34"/>
        <v>Elkhorn Slough_39637_Crop Circles_0</v>
      </c>
      <c r="D719" s="4" t="s">
        <v>45</v>
      </c>
      <c r="E719" t="s">
        <v>160</v>
      </c>
      <c r="F719" s="70" t="s">
        <v>288</v>
      </c>
      <c r="G719" s="70">
        <v>1</v>
      </c>
      <c r="H719" s="79" t="s">
        <v>161</v>
      </c>
      <c r="I719">
        <v>45</v>
      </c>
      <c r="J719" s="70" t="s">
        <v>289</v>
      </c>
      <c r="K719" s="2">
        <f>(VLOOKUP(H719,'functions and szcl estimates'!$A$14:$I$23,4, FALSE))*(('raw data'!I64)^(VLOOKUP('raw data'!H64,'functions and szcl estimates'!$A$14:$I$23, 7, FALSE)))</f>
        <v>227.39911175286733</v>
      </c>
      <c r="M719" s="12"/>
      <c r="N719" s="12"/>
      <c r="O719" s="65">
        <v>48</v>
      </c>
      <c r="P719" s="2">
        <f>COUNT(I719:I720)</f>
        <v>2</v>
      </c>
      <c r="Q719" s="64">
        <f>SUM(K719:K720)</f>
        <v>313.43301853924942</v>
      </c>
      <c r="R719" s="2">
        <f>P719/O719</f>
        <v>4.1666666666666664E-2</v>
      </c>
      <c r="S719" t="s">
        <v>166</v>
      </c>
    </row>
    <row r="720" spans="1:21" x14ac:dyDescent="0.2">
      <c r="A720" s="18">
        <v>39639</v>
      </c>
      <c r="B720" s="17">
        <v>2012</v>
      </c>
      <c r="C720" s="18" t="str">
        <f t="shared" si="34"/>
        <v>Elkhorn Slough_39639_Crop Circles_0</v>
      </c>
      <c r="D720" s="4" t="s">
        <v>45</v>
      </c>
      <c r="E720" t="s">
        <v>160</v>
      </c>
      <c r="F720" s="70" t="s">
        <v>288</v>
      </c>
      <c r="G720" s="70">
        <v>1</v>
      </c>
      <c r="H720" s="79" t="s">
        <v>161</v>
      </c>
      <c r="I720">
        <v>61</v>
      </c>
      <c r="J720" s="70" t="s">
        <v>289</v>
      </c>
      <c r="K720" s="2">
        <f>(VLOOKUP(H720,'functions and szcl estimates'!$A$14:$I$23,4, FALSE))*(('raw data'!I92)^(VLOOKUP('raw data'!H92,'functions and szcl estimates'!$A$14:$I$23, 7, FALSE)))</f>
        <v>86.033906786382104</v>
      </c>
      <c r="M720" s="12"/>
      <c r="N720" s="12"/>
      <c r="O720" s="65">
        <v>24</v>
      </c>
      <c r="S720" t="s">
        <v>166</v>
      </c>
    </row>
    <row r="721" spans="1:20" x14ac:dyDescent="0.2">
      <c r="A721" s="18">
        <v>39642</v>
      </c>
      <c r="B721" s="17">
        <v>2012</v>
      </c>
      <c r="C721" s="18" t="str">
        <f t="shared" si="34"/>
        <v>Elkhorn Slough_39642_Seal Bend_0.6771</v>
      </c>
      <c r="D721" s="4" t="s">
        <v>45</v>
      </c>
      <c r="E721" t="s">
        <v>246</v>
      </c>
      <c r="F721" s="70" t="s">
        <v>288</v>
      </c>
      <c r="G721" s="70">
        <v>1</v>
      </c>
      <c r="H721" s="79" t="s">
        <v>247</v>
      </c>
      <c r="I721">
        <v>56</v>
      </c>
      <c r="J721" s="70" t="s">
        <v>289</v>
      </c>
      <c r="K721" s="2">
        <f>(VLOOKUP(H721,'functions and szcl estimates'!$A$14:$I$23,4, FALSE))*(('raw data'!I113)^(VLOOKUP('raw data'!H113,'functions and szcl estimates'!$A$14:$I$23, 7, FALSE)))</f>
        <v>103.0931898363559</v>
      </c>
      <c r="L721" s="12">
        <v>0.67708333333333337</v>
      </c>
      <c r="M721" s="12" t="s">
        <v>216</v>
      </c>
      <c r="N721" s="12">
        <f t="shared" ref="N721:N738" si="35">L721-M721</f>
        <v>0.20833333333333337</v>
      </c>
      <c r="O721" s="65">
        <v>19</v>
      </c>
      <c r="P721">
        <v>1</v>
      </c>
      <c r="Q721" s="65">
        <f>K721</f>
        <v>103.0931898363559</v>
      </c>
      <c r="R721" s="2">
        <f>P721/O721</f>
        <v>5.2631578947368418E-2</v>
      </c>
      <c r="S721" t="s">
        <v>248</v>
      </c>
    </row>
    <row r="722" spans="1:20" x14ac:dyDescent="0.2">
      <c r="A722" s="18">
        <v>39644</v>
      </c>
      <c r="B722" s="17">
        <v>2012</v>
      </c>
      <c r="C722" s="18" t="str">
        <f t="shared" si="34"/>
        <v>Elkhorn Slough_39644_Seal Bend_0.4688</v>
      </c>
      <c r="D722" s="4" t="s">
        <v>45</v>
      </c>
      <c r="E722" t="s">
        <v>157</v>
      </c>
      <c r="F722" s="70" t="s">
        <v>288</v>
      </c>
      <c r="G722" s="70">
        <v>1</v>
      </c>
      <c r="H722" s="79" t="s">
        <v>276</v>
      </c>
      <c r="I722">
        <v>34</v>
      </c>
      <c r="J722" s="70" t="s">
        <v>289</v>
      </c>
      <c r="K722" s="2">
        <f>(VLOOKUP(H722,'functions and szcl estimates'!$A$14:$I$23,4, FALSE))*(('raw data'!I124)^(VLOOKUP('raw data'!H124,'functions and szcl estimates'!$A$14:$I$23, 7, FALSE)))</f>
        <v>83.351798334466409</v>
      </c>
      <c r="L722" s="12" t="s">
        <v>216</v>
      </c>
      <c r="M722" s="8" t="s">
        <v>217</v>
      </c>
      <c r="N722" s="8">
        <f t="shared" si="35"/>
        <v>-0.10416666666666663</v>
      </c>
      <c r="O722" s="14">
        <v>26.5</v>
      </c>
      <c r="S722" t="s">
        <v>148</v>
      </c>
    </row>
    <row r="723" spans="1:20" x14ac:dyDescent="0.2">
      <c r="A723" s="18">
        <v>39646</v>
      </c>
      <c r="B723" s="17">
        <v>2012</v>
      </c>
      <c r="C723" s="18" t="str">
        <f t="shared" si="34"/>
        <v>Elkhorn Slough_39646_Crop Circles_0.5868</v>
      </c>
      <c r="D723" s="4" t="s">
        <v>45</v>
      </c>
      <c r="E723" t="s">
        <v>277</v>
      </c>
      <c r="F723" s="70" t="s">
        <v>288</v>
      </c>
      <c r="G723" s="70">
        <v>1</v>
      </c>
      <c r="H723" s="79" t="s">
        <v>276</v>
      </c>
      <c r="I723">
        <v>60</v>
      </c>
      <c r="J723" s="70" t="s">
        <v>289</v>
      </c>
      <c r="K723" s="2">
        <f>(VLOOKUP(H723,'functions and szcl estimates'!$A$14:$I$23,4, FALSE))*(('raw data'!I158)^(VLOOKUP('raw data'!H158,'functions and szcl estimates'!$A$14:$I$23, 7, FALSE)))</f>
        <v>86.033906786382104</v>
      </c>
      <c r="L723" s="12">
        <v>0.58680555555555558</v>
      </c>
      <c r="M723" s="12" t="s">
        <v>222</v>
      </c>
      <c r="N723" s="12">
        <f t="shared" si="35"/>
        <v>0.16319444444444448</v>
      </c>
      <c r="O723" s="65">
        <v>44</v>
      </c>
      <c r="P723">
        <v>1</v>
      </c>
      <c r="Q723" s="65">
        <f>K723</f>
        <v>86.033906786382104</v>
      </c>
      <c r="R723" s="15">
        <f>P723/O723</f>
        <v>2.2727272727272728E-2</v>
      </c>
      <c r="S723" t="s">
        <v>148</v>
      </c>
    </row>
    <row r="724" spans="1:20" x14ac:dyDescent="0.2">
      <c r="A724" s="18">
        <v>39647</v>
      </c>
      <c r="B724" s="17">
        <v>2012</v>
      </c>
      <c r="C724" s="18" t="str">
        <f t="shared" si="34"/>
        <v>Elkhorn Slough_39647_Crop Circles_0.4236</v>
      </c>
      <c r="D724" s="4" t="s">
        <v>45</v>
      </c>
      <c r="E724" t="s">
        <v>277</v>
      </c>
      <c r="F724" s="70" t="s">
        <v>288</v>
      </c>
      <c r="G724" s="70">
        <v>1</v>
      </c>
      <c r="H724" s="79" t="s">
        <v>276</v>
      </c>
      <c r="I724">
        <v>69</v>
      </c>
      <c r="J724" s="70" t="s">
        <v>289</v>
      </c>
      <c r="K724" s="2">
        <f>(VLOOKUP(H724,'functions and szcl estimates'!$A$14:$I$23,4, FALSE))*(('raw data'!I197)^(VLOOKUP('raw data'!H197,'functions and szcl estimates'!$A$14:$I$23, 7, FALSE)))</f>
        <v>88.761860989263994</v>
      </c>
      <c r="L724" s="12">
        <v>0.4236111111111111</v>
      </c>
      <c r="M724" s="12" t="s">
        <v>225</v>
      </c>
      <c r="N724" s="12">
        <f t="shared" si="35"/>
        <v>-9.7222222222222265E-2</v>
      </c>
      <c r="O724" s="65">
        <v>26.25</v>
      </c>
      <c r="P724">
        <v>2</v>
      </c>
      <c r="Q724" s="65">
        <f>SUM(K724:K725)</f>
        <v>185.98377168967954</v>
      </c>
      <c r="R724" s="15">
        <f>P724/O724</f>
        <v>7.6190476190476197E-2</v>
      </c>
      <c r="S724" t="s">
        <v>148</v>
      </c>
    </row>
    <row r="725" spans="1:20" x14ac:dyDescent="0.2">
      <c r="A725" s="18">
        <v>39647</v>
      </c>
      <c r="B725" s="17">
        <v>2012</v>
      </c>
      <c r="C725" s="18" t="str">
        <f t="shared" si="34"/>
        <v>Elkhorn Slough_39647_Crop Circles_0.4236</v>
      </c>
      <c r="D725" s="4" t="s">
        <v>45</v>
      </c>
      <c r="E725" t="s">
        <v>277</v>
      </c>
      <c r="F725" s="70" t="s">
        <v>288</v>
      </c>
      <c r="G725" s="70">
        <v>1</v>
      </c>
      <c r="H725" s="79" t="s">
        <v>276</v>
      </c>
      <c r="I725">
        <v>57</v>
      </c>
      <c r="J725" s="70" t="s">
        <v>289</v>
      </c>
      <c r="K725" s="2">
        <f>(VLOOKUP(H725,'functions and szcl estimates'!$A$14:$I$23,4, FALSE))*(('raw data'!I198)^(VLOOKUP('raw data'!H198,'functions and szcl estimates'!$A$14:$I$23, 7, FALSE)))</f>
        <v>97.221910700415563</v>
      </c>
      <c r="L725" s="12">
        <v>0.4236111111111111</v>
      </c>
      <c r="M725" s="12" t="s">
        <v>225</v>
      </c>
      <c r="N725" s="12">
        <f t="shared" si="35"/>
        <v>-9.7222222222222265E-2</v>
      </c>
      <c r="O725" s="65">
        <v>26.25</v>
      </c>
      <c r="S725" t="s">
        <v>148</v>
      </c>
    </row>
    <row r="726" spans="1:20" x14ac:dyDescent="0.2">
      <c r="A726" s="18">
        <v>39652</v>
      </c>
      <c r="B726" s="17">
        <v>2012</v>
      </c>
      <c r="C726" s="18" t="str">
        <f t="shared" si="34"/>
        <v>Elkhorn Slough_39652_Crop Circles_0.7049</v>
      </c>
      <c r="D726" s="4" t="s">
        <v>45</v>
      </c>
      <c r="E726" t="s">
        <v>277</v>
      </c>
      <c r="F726" s="70" t="s">
        <v>288</v>
      </c>
      <c r="G726" s="70">
        <v>1</v>
      </c>
      <c r="H726" s="79" t="s">
        <v>276</v>
      </c>
      <c r="I726">
        <v>52</v>
      </c>
      <c r="J726" s="70" t="s">
        <v>289</v>
      </c>
      <c r="K726" s="2">
        <f>(VLOOKUP(H726,'functions and szcl estimates'!$A$14:$I$23,4, FALSE))*(('raw data'!I236)^(VLOOKUP('raw data'!H236,'functions and szcl estimates'!$A$14:$I$23, 7, FALSE)))</f>
        <v>67.953514434026033</v>
      </c>
      <c r="L726" s="12">
        <v>0.70486111111111116</v>
      </c>
      <c r="M726" s="12" t="s">
        <v>131</v>
      </c>
      <c r="N726" s="12">
        <f t="shared" si="35"/>
        <v>0.24652777777777785</v>
      </c>
      <c r="O726" s="65">
        <v>42</v>
      </c>
      <c r="S726" t="s">
        <v>148</v>
      </c>
    </row>
    <row r="727" spans="1:20" x14ac:dyDescent="0.2">
      <c r="A727" s="18">
        <v>39652</v>
      </c>
      <c r="B727" s="17">
        <v>2012</v>
      </c>
      <c r="C727" s="18" t="str">
        <f t="shared" si="34"/>
        <v>Elkhorn Slough_39652_Seal Bend_0.684</v>
      </c>
      <c r="D727" s="4" t="s">
        <v>45</v>
      </c>
      <c r="E727" t="s">
        <v>157</v>
      </c>
      <c r="F727" s="70" t="s">
        <v>288</v>
      </c>
      <c r="G727" s="70">
        <v>1</v>
      </c>
      <c r="H727" s="79" t="s">
        <v>276</v>
      </c>
      <c r="I727">
        <v>50</v>
      </c>
      <c r="J727" s="70" t="s">
        <v>289</v>
      </c>
      <c r="K727" s="2">
        <f>(VLOOKUP(H727,'functions and szcl estimates'!$A$14:$I$23,4, FALSE))*(('raw data'!I238)^(VLOOKUP('raw data'!H238,'functions and szcl estimates'!$A$14:$I$23, 7, FALSE)))</f>
        <v>60.599211517058265</v>
      </c>
      <c r="L727" s="12">
        <v>0.68402777777777779</v>
      </c>
      <c r="M727" s="12" t="s">
        <v>132</v>
      </c>
      <c r="N727" s="12">
        <f t="shared" si="35"/>
        <v>0.17361111111111116</v>
      </c>
      <c r="O727" s="65">
        <v>43.75</v>
      </c>
      <c r="S727" t="s">
        <v>148</v>
      </c>
    </row>
    <row r="728" spans="1:20" x14ac:dyDescent="0.2">
      <c r="A728" s="18">
        <v>39653</v>
      </c>
      <c r="B728" s="17">
        <v>2012</v>
      </c>
      <c r="C728" s="18" t="str">
        <f t="shared" si="34"/>
        <v>Elkhorn Slough_39653_Crop Circles_0.4583</v>
      </c>
      <c r="D728" s="4" t="s">
        <v>45</v>
      </c>
      <c r="E728" s="6" t="s">
        <v>277</v>
      </c>
      <c r="F728" s="70" t="s">
        <v>288</v>
      </c>
      <c r="G728" s="70">
        <v>1</v>
      </c>
      <c r="H728" s="82" t="s">
        <v>276</v>
      </c>
      <c r="I728" s="6">
        <v>40</v>
      </c>
      <c r="J728" s="70" t="s">
        <v>289</v>
      </c>
      <c r="K728" s="2">
        <f>(VLOOKUP(H728,'functions and szcl estimates'!$A$14:$I$23,4, FALSE))*(('raw data'!I263)^(VLOOKUP('raw data'!H263,'functions and szcl estimates'!$A$14:$I$23, 7, FALSE)))</f>
        <v>84.048881931876906</v>
      </c>
      <c r="L728" s="12">
        <v>0.45833333333333331</v>
      </c>
      <c r="M728" s="12" t="s">
        <v>136</v>
      </c>
      <c r="N728" s="12">
        <f t="shared" si="35"/>
        <v>-5.9027777777777735E-2</v>
      </c>
      <c r="O728" s="65">
        <v>25.5</v>
      </c>
      <c r="P728">
        <v>1</v>
      </c>
      <c r="Q728" s="65">
        <f>K728</f>
        <v>84.048881931876906</v>
      </c>
      <c r="R728" s="15">
        <f>P728/O728</f>
        <v>3.9215686274509803E-2</v>
      </c>
      <c r="S728" t="s">
        <v>148</v>
      </c>
    </row>
    <row r="729" spans="1:20" x14ac:dyDescent="0.2">
      <c r="A729" s="18">
        <v>39654</v>
      </c>
      <c r="B729" s="17">
        <v>2012</v>
      </c>
      <c r="C729" s="18" t="str">
        <f t="shared" si="34"/>
        <v>Elkhorn Slough_39654_Crop Circles_0.5174</v>
      </c>
      <c r="D729" s="4" t="s">
        <v>45</v>
      </c>
      <c r="E729" s="6" t="s">
        <v>277</v>
      </c>
      <c r="F729" s="70" t="s">
        <v>288</v>
      </c>
      <c r="G729" s="70">
        <v>1</v>
      </c>
      <c r="H729" s="82" t="s">
        <v>276</v>
      </c>
      <c r="I729" s="6">
        <v>35</v>
      </c>
      <c r="J729" s="70" t="s">
        <v>289</v>
      </c>
      <c r="K729" s="2">
        <f>(VLOOKUP(H729,'functions and szcl estimates'!$A$14:$I$23,4, FALSE))*(('raw data'!I283)^(VLOOKUP('raw data'!H283,'functions and szcl estimates'!$A$14:$I$23, 7, FALSE)))</f>
        <v>49.353194190272987</v>
      </c>
      <c r="L729" s="12">
        <v>0.51736111111111105</v>
      </c>
      <c r="M729" s="12" t="s">
        <v>140</v>
      </c>
      <c r="N729" s="12">
        <f t="shared" si="35"/>
        <v>-0.13333333333333341</v>
      </c>
      <c r="O729" s="65">
        <v>27.25</v>
      </c>
      <c r="S729" t="s">
        <v>148</v>
      </c>
    </row>
    <row r="730" spans="1:20" x14ac:dyDescent="0.2">
      <c r="A730" s="18">
        <v>39655</v>
      </c>
      <c r="B730" s="17">
        <v>2012</v>
      </c>
      <c r="C730" s="18" t="str">
        <f t="shared" si="34"/>
        <v>Elkhorn Slough_39655_Seal Bend_0.6458</v>
      </c>
      <c r="D730" s="4" t="s">
        <v>45</v>
      </c>
      <c r="E730" s="6" t="s">
        <v>157</v>
      </c>
      <c r="F730" s="70" t="s">
        <v>288</v>
      </c>
      <c r="G730" s="70">
        <v>1</v>
      </c>
      <c r="H730" s="82" t="s">
        <v>276</v>
      </c>
      <c r="I730" s="6">
        <v>49</v>
      </c>
      <c r="J730" s="70" t="s">
        <v>289</v>
      </c>
      <c r="K730" s="2">
        <f>(VLOOKUP(H730,'functions and szcl estimates'!$A$14:$I$23,4, FALSE))*(('raw data'!I292)^(VLOOKUP('raw data'!H292,'functions and szcl estimates'!$A$14:$I$23, 7, FALSE)))</f>
        <v>67.953514434026033</v>
      </c>
      <c r="L730" s="12">
        <v>0.64583333333333337</v>
      </c>
      <c r="M730" s="12" t="s">
        <v>29</v>
      </c>
      <c r="N730" s="12">
        <f t="shared" si="35"/>
        <v>0.15416666666666667</v>
      </c>
      <c r="O730" s="65">
        <v>20.25</v>
      </c>
      <c r="S730" t="s">
        <v>148</v>
      </c>
    </row>
    <row r="731" spans="1:20" x14ac:dyDescent="0.2">
      <c r="A731" s="18">
        <v>39657</v>
      </c>
      <c r="B731" s="17">
        <v>2012</v>
      </c>
      <c r="C731" s="18" t="str">
        <f t="shared" si="34"/>
        <v>Elkhorn Slough_39657_Crop Circles_0.5035</v>
      </c>
      <c r="D731" s="4" t="s">
        <v>45</v>
      </c>
      <c r="E731" s="6" t="s">
        <v>277</v>
      </c>
      <c r="F731" s="70" t="s">
        <v>288</v>
      </c>
      <c r="G731" s="70">
        <v>1</v>
      </c>
      <c r="H731" s="82" t="s">
        <v>276</v>
      </c>
      <c r="I731" s="6">
        <v>38</v>
      </c>
      <c r="J731" s="70" t="s">
        <v>289</v>
      </c>
      <c r="K731" s="2">
        <f>(VLOOKUP(H731,'functions and szcl estimates'!$A$14:$I$23,4, FALSE))*(('raw data'!I318)^(VLOOKUP('raw data'!H318,'functions and szcl estimates'!$A$14:$I$23, 7, FALSE)))</f>
        <v>62.999733947556571</v>
      </c>
      <c r="L731" s="12">
        <v>0.50347222222222199</v>
      </c>
      <c r="M731" s="12" t="s">
        <v>31</v>
      </c>
      <c r="N731" s="12">
        <f t="shared" si="35"/>
        <v>0.13888888888888867</v>
      </c>
      <c r="O731" s="65">
        <v>44.75</v>
      </c>
      <c r="S731" t="s">
        <v>148</v>
      </c>
    </row>
    <row r="732" spans="1:20" x14ac:dyDescent="0.2">
      <c r="A732" s="18">
        <v>39657</v>
      </c>
      <c r="B732" s="17">
        <v>2012</v>
      </c>
      <c r="C732" s="18" t="str">
        <f t="shared" si="34"/>
        <v>Elkhorn Slough_39657_Seal Bend_0.4917</v>
      </c>
      <c r="D732" s="4" t="s">
        <v>45</v>
      </c>
      <c r="E732" s="6" t="s">
        <v>157</v>
      </c>
      <c r="F732" s="70" t="s">
        <v>288</v>
      </c>
      <c r="G732" s="70">
        <v>1</v>
      </c>
      <c r="H732" s="82" t="s">
        <v>276</v>
      </c>
      <c r="I732" s="6">
        <v>40</v>
      </c>
      <c r="J732" s="70" t="s">
        <v>289</v>
      </c>
      <c r="K732" s="2">
        <f>(VLOOKUP(H732,'functions and szcl estimates'!$A$14:$I$23,4, FALSE))*(('raw data'!I324)^(VLOOKUP('raw data'!H324,'functions and szcl estimates'!$A$14:$I$23, 7, FALSE)))</f>
        <v>67.953514434026033</v>
      </c>
      <c r="L732" s="12">
        <v>0.49166666666666697</v>
      </c>
      <c r="M732" s="12" t="s">
        <v>32</v>
      </c>
      <c r="N732" s="12">
        <f t="shared" si="35"/>
        <v>0.11666666666666697</v>
      </c>
      <c r="O732" s="65">
        <v>45.25</v>
      </c>
      <c r="S732" t="s">
        <v>148</v>
      </c>
    </row>
    <row r="733" spans="1:20" x14ac:dyDescent="0.2">
      <c r="A733" s="18">
        <v>39657</v>
      </c>
      <c r="B733" s="17">
        <v>2012</v>
      </c>
      <c r="C733" s="18" t="str">
        <f t="shared" si="34"/>
        <v>Elkhorn Slough_39657_Crop Circles_0.3646</v>
      </c>
      <c r="D733" s="4" t="s">
        <v>45</v>
      </c>
      <c r="E733" s="6" t="s">
        <v>277</v>
      </c>
      <c r="F733" s="70" t="s">
        <v>288</v>
      </c>
      <c r="G733" s="70">
        <v>1</v>
      </c>
      <c r="H733" s="82" t="s">
        <v>276</v>
      </c>
      <c r="I733" s="6">
        <v>53</v>
      </c>
      <c r="J733" s="70" t="s">
        <v>289</v>
      </c>
      <c r="K733" s="2">
        <f>(VLOOKUP(H733,'functions and szcl estimates'!$A$14:$I$23,4, FALSE))*(('raw data'!I350)^(VLOOKUP('raw data'!H350,'functions and szcl estimates'!$A$14:$I$23, 7, FALSE)))</f>
        <v>37.497834349020387</v>
      </c>
      <c r="L733" s="12">
        <v>0.36458333333333298</v>
      </c>
      <c r="M733" s="12" t="s">
        <v>34</v>
      </c>
      <c r="N733" s="12">
        <f t="shared" si="35"/>
        <v>-7.9861111111111438E-2</v>
      </c>
      <c r="O733" s="65">
        <v>50</v>
      </c>
      <c r="S733" t="s">
        <v>148</v>
      </c>
    </row>
    <row r="734" spans="1:20" x14ac:dyDescent="0.2">
      <c r="A734" s="18">
        <v>39657</v>
      </c>
      <c r="B734" s="17">
        <v>2012</v>
      </c>
      <c r="C734" s="18" t="str">
        <f t="shared" si="34"/>
        <v>Elkhorn Slough_39657_Crop Circles_0.3646</v>
      </c>
      <c r="D734" s="4" t="s">
        <v>45</v>
      </c>
      <c r="E734" s="6" t="s">
        <v>277</v>
      </c>
      <c r="F734" s="70" t="s">
        <v>288</v>
      </c>
      <c r="G734" s="70">
        <v>1</v>
      </c>
      <c r="H734" s="87" t="s">
        <v>230</v>
      </c>
      <c r="I734" s="69">
        <v>40</v>
      </c>
      <c r="J734" s="70" t="s">
        <v>289</v>
      </c>
      <c r="K734" s="2">
        <f>(VLOOKUP(H734,'functions and szcl estimates'!$A$14:$I$23,4, FALSE))*(('raw data'!I351)^(VLOOKUP('raw data'!H351,'functions and szcl estimates'!$A$14:$I$23, 7, FALSE)))</f>
        <v>58.249368279976089</v>
      </c>
      <c r="L734" s="12">
        <v>0.36458333333333298</v>
      </c>
      <c r="M734" s="12" t="s">
        <v>34</v>
      </c>
      <c r="N734" s="12">
        <f t="shared" si="35"/>
        <v>-7.9861111111111438E-2</v>
      </c>
      <c r="O734" s="65">
        <v>50</v>
      </c>
      <c r="S734" t="s">
        <v>148</v>
      </c>
      <c r="T734" s="6" t="s">
        <v>204</v>
      </c>
    </row>
    <row r="735" spans="1:20" x14ac:dyDescent="0.2">
      <c r="A735" s="18">
        <v>39662</v>
      </c>
      <c r="B735" s="17">
        <v>2012</v>
      </c>
      <c r="C735" s="18" t="str">
        <f t="shared" si="34"/>
        <v>Elkhorn Slough_39662_Seal Bend_0.6944</v>
      </c>
      <c r="D735" s="4" t="s">
        <v>45</v>
      </c>
      <c r="E735" s="15" t="s">
        <v>157</v>
      </c>
      <c r="F735" s="70" t="s">
        <v>288</v>
      </c>
      <c r="G735" s="70">
        <v>1</v>
      </c>
      <c r="H735" s="83" t="s">
        <v>276</v>
      </c>
      <c r="I735" s="15">
        <v>42</v>
      </c>
      <c r="J735" s="70" t="s">
        <v>289</v>
      </c>
      <c r="K735" s="2">
        <f>(VLOOKUP(H735,'functions and szcl estimates'!$A$14:$I$23,4, FALSE))*(('raw data'!I472)^(VLOOKUP('raw data'!H472,'functions and szcl estimates'!$A$14:$I$23, 7, FALSE)))</f>
        <v>170.26026099899809</v>
      </c>
      <c r="L735" s="12">
        <v>0.69444444444444453</v>
      </c>
      <c r="M735" s="12" t="s">
        <v>13</v>
      </c>
      <c r="N735" s="12">
        <f t="shared" si="35"/>
        <v>0.27777777777777785</v>
      </c>
      <c r="O735" s="65">
        <v>17.25</v>
      </c>
      <c r="P735" s="17">
        <v>1</v>
      </c>
      <c r="Q735" s="65">
        <f>K735</f>
        <v>170.26026099899809</v>
      </c>
      <c r="R735" s="15">
        <f>P735/O735</f>
        <v>5.7971014492753624E-2</v>
      </c>
      <c r="S735" t="s">
        <v>148</v>
      </c>
    </row>
    <row r="736" spans="1:20" x14ac:dyDescent="0.2">
      <c r="A736" s="18">
        <v>39662</v>
      </c>
      <c r="B736" s="17">
        <v>2012</v>
      </c>
      <c r="C736" s="18" t="str">
        <f t="shared" si="34"/>
        <v>Elkhorn Slough_39662_Outfall_0.5174</v>
      </c>
      <c r="D736" s="4" t="s">
        <v>45</v>
      </c>
      <c r="E736" s="6" t="s">
        <v>17</v>
      </c>
      <c r="F736" s="70" t="s">
        <v>288</v>
      </c>
      <c r="G736" s="70">
        <v>1</v>
      </c>
      <c r="H736" s="83" t="s">
        <v>276</v>
      </c>
      <c r="I736" s="15">
        <v>41</v>
      </c>
      <c r="J736" s="70" t="s">
        <v>289</v>
      </c>
      <c r="K736" s="2">
        <f>(VLOOKUP(H736,'functions and szcl estimates'!$A$14:$I$23,4, FALSE))*(('raw data'!I482)^(VLOOKUP('raw data'!H482,'functions and szcl estimates'!$A$14:$I$23, 7, FALSE)))</f>
        <v>497.36283035001378</v>
      </c>
      <c r="L736" s="12">
        <v>0.51736111111111105</v>
      </c>
      <c r="M736" s="12" t="s">
        <v>16</v>
      </c>
      <c r="N736" s="12">
        <f t="shared" si="35"/>
        <v>1.7361111111111049E-2</v>
      </c>
      <c r="O736" s="65">
        <v>23.5</v>
      </c>
      <c r="P736" s="17"/>
      <c r="S736" t="s">
        <v>148</v>
      </c>
    </row>
    <row r="737" spans="1:19" x14ac:dyDescent="0.2">
      <c r="A737" s="18">
        <v>39665</v>
      </c>
      <c r="B737" s="17">
        <v>2012</v>
      </c>
      <c r="C737" s="18" t="str">
        <f t="shared" si="34"/>
        <v>Elkhorn Slough_39665_Area 4_0.4931</v>
      </c>
      <c r="D737" s="4" t="s">
        <v>45</v>
      </c>
      <c r="E737" s="19" t="s">
        <v>3</v>
      </c>
      <c r="F737" s="70" t="s">
        <v>288</v>
      </c>
      <c r="G737" s="70">
        <v>1</v>
      </c>
      <c r="H737" s="84" t="s">
        <v>276</v>
      </c>
      <c r="I737" s="19">
        <v>50</v>
      </c>
      <c r="J737" s="70" t="s">
        <v>289</v>
      </c>
      <c r="K737" s="2">
        <f>(VLOOKUP(H737,'functions and szcl estimates'!$A$14:$I$23,4, FALSE))*(('raw data'!I486)^(VLOOKUP('raw data'!H486,'functions and szcl estimates'!$A$14:$I$23, 7, FALSE)))</f>
        <v>319.30018028165034</v>
      </c>
      <c r="L737" s="12">
        <v>0.49305555555555602</v>
      </c>
      <c r="M737" s="12">
        <v>0.6875</v>
      </c>
      <c r="N737" s="12">
        <f t="shared" si="35"/>
        <v>-0.19444444444444398</v>
      </c>
      <c r="O737" s="65">
        <v>76.75</v>
      </c>
      <c r="P737" s="17"/>
      <c r="S737" t="s">
        <v>148</v>
      </c>
    </row>
    <row r="738" spans="1:19" x14ac:dyDescent="0.2">
      <c r="A738" s="18">
        <v>39665</v>
      </c>
      <c r="B738" s="17">
        <v>2012</v>
      </c>
      <c r="C738" s="18" t="str">
        <f t="shared" si="34"/>
        <v>Elkhorn Slough_39665_Area 4_0.4931</v>
      </c>
      <c r="D738" s="4" t="s">
        <v>45</v>
      </c>
      <c r="E738" s="19" t="s">
        <v>3</v>
      </c>
      <c r="F738" s="70" t="s">
        <v>288</v>
      </c>
      <c r="G738" s="70">
        <v>1</v>
      </c>
      <c r="H738" s="84" t="s">
        <v>276</v>
      </c>
      <c r="I738" s="19">
        <v>57</v>
      </c>
      <c r="J738" s="70" t="s">
        <v>289</v>
      </c>
      <c r="K738" s="2">
        <f>(VLOOKUP(H738,'functions and szcl estimates'!$A$14:$I$23,4, FALSE))*(('raw data'!I487)^(VLOOKUP('raw data'!H487,'functions and szcl estimates'!$A$14:$I$23, 7, FALSE)))</f>
        <v>353.55700814482759</v>
      </c>
      <c r="L738" s="12">
        <v>0.49305555555555602</v>
      </c>
      <c r="M738" s="12">
        <v>0.6875</v>
      </c>
      <c r="N738" s="12">
        <f t="shared" si="35"/>
        <v>-0.19444444444444398</v>
      </c>
      <c r="O738" s="65">
        <v>76.75</v>
      </c>
      <c r="P738" s="17"/>
      <c r="S738" t="s">
        <v>148</v>
      </c>
    </row>
    <row r="739" spans="1:19" x14ac:dyDescent="0.2">
      <c r="A739" s="18">
        <v>39665</v>
      </c>
      <c r="B739" s="17">
        <v>2012</v>
      </c>
      <c r="C739" s="18" t="str">
        <f t="shared" si="34"/>
        <v>Elkhorn Slough_39665_Crop Circles_0.4271</v>
      </c>
      <c r="D739" s="4" t="s">
        <v>45</v>
      </c>
      <c r="E739" s="19" t="s">
        <v>277</v>
      </c>
      <c r="F739" s="70" t="s">
        <v>288</v>
      </c>
      <c r="G739" s="70">
        <v>1</v>
      </c>
      <c r="H739" s="84" t="s">
        <v>276</v>
      </c>
      <c r="I739" s="19">
        <v>60</v>
      </c>
      <c r="J739" s="70" t="s">
        <v>289</v>
      </c>
      <c r="K739" s="2">
        <f>(VLOOKUP(H739,'functions and szcl estimates'!$A$14:$I$23,4, FALSE))*(('raw data'!I522)^(VLOOKUP('raw data'!H522,'functions and szcl estimates'!$A$14:$I$23, 7, FALSE)))</f>
        <v>237.87516249899821</v>
      </c>
      <c r="L739" s="12">
        <v>0.42708333333333331</v>
      </c>
      <c r="M739" s="12">
        <v>0.72222222222222221</v>
      </c>
      <c r="N739" s="12">
        <f>L739-M739</f>
        <v>-0.2951388888888889</v>
      </c>
      <c r="O739" s="65">
        <v>79</v>
      </c>
      <c r="P739" s="17"/>
      <c r="S739" t="s">
        <v>148</v>
      </c>
    </row>
    <row r="740" spans="1:19" x14ac:dyDescent="0.2">
      <c r="A740" s="71">
        <v>40975</v>
      </c>
      <c r="B740" s="17">
        <v>2016</v>
      </c>
      <c r="C740" s="18" t="str">
        <f t="shared" si="34"/>
        <v>Elkhorn Slough_40975_Outfall_0</v>
      </c>
      <c r="D740" s="4" t="s">
        <v>45</v>
      </c>
      <c r="E740" s="72" t="s">
        <v>279</v>
      </c>
      <c r="F740" s="70" t="s">
        <v>288</v>
      </c>
      <c r="G740" s="70">
        <v>1</v>
      </c>
      <c r="H740" s="88" t="s">
        <v>280</v>
      </c>
      <c r="I740" s="72">
        <v>56</v>
      </c>
      <c r="J740" s="72" t="s">
        <v>291</v>
      </c>
      <c r="K740" s="2">
        <f>(VLOOKUP(H740,'functions and szcl estimates'!$A$14:$I$23,4, FALSE))*(('raw data'!I523)^(VLOOKUP('raw data'!H523,'functions and szcl estimates'!$A$14:$I$23, 7, FALSE)))</f>
        <v>443.7941997949726</v>
      </c>
      <c r="L740" s="74"/>
      <c r="M740" s="74"/>
      <c r="N740" s="12">
        <v>0</v>
      </c>
      <c r="O740" s="14">
        <v>24</v>
      </c>
    </row>
    <row r="741" spans="1:19" x14ac:dyDescent="0.2">
      <c r="A741" s="71">
        <v>40975</v>
      </c>
      <c r="B741" s="17">
        <v>2016</v>
      </c>
      <c r="C741" s="18" t="str">
        <f t="shared" si="34"/>
        <v>Elkhorn Slough_40975_Outfall_0</v>
      </c>
      <c r="D741" s="4" t="s">
        <v>45</v>
      </c>
      <c r="E741" s="72" t="s">
        <v>279</v>
      </c>
      <c r="F741" s="70" t="s">
        <v>288</v>
      </c>
      <c r="G741" s="70">
        <v>1</v>
      </c>
      <c r="H741" s="88" t="s">
        <v>280</v>
      </c>
      <c r="I741" s="72">
        <v>42</v>
      </c>
      <c r="J741" s="72" t="s">
        <v>292</v>
      </c>
      <c r="K741" s="2">
        <f>(VLOOKUP(H741,'functions and szcl estimates'!$A$14:$I$23,4, FALSE))*(('raw data'!I524)^(VLOOKUP('raw data'!H524,'functions and szcl estimates'!$A$14:$I$23, 7, FALSE)))</f>
        <v>457.40839324663727</v>
      </c>
      <c r="L741" s="74"/>
      <c r="M741" s="74"/>
      <c r="N741" s="12">
        <v>0</v>
      </c>
      <c r="O741" s="65">
        <v>24</v>
      </c>
    </row>
    <row r="742" spans="1:19" x14ac:dyDescent="0.2">
      <c r="A742" s="71">
        <v>40975</v>
      </c>
      <c r="B742" s="17">
        <v>2016</v>
      </c>
      <c r="C742" s="18" t="str">
        <f t="shared" si="34"/>
        <v>Elkhorn Slough_40975_Outfall_0</v>
      </c>
      <c r="D742" s="4" t="s">
        <v>45</v>
      </c>
      <c r="E742" s="72" t="s">
        <v>279</v>
      </c>
      <c r="F742" s="70" t="s">
        <v>288</v>
      </c>
      <c r="G742" s="70">
        <v>1</v>
      </c>
      <c r="H742" s="88" t="s">
        <v>280</v>
      </c>
      <c r="I742" s="72">
        <v>39</v>
      </c>
      <c r="J742" s="72" t="s">
        <v>292</v>
      </c>
      <c r="K742" s="2">
        <f>(VLOOKUP(H742,'functions and szcl estimates'!$A$14:$I$23,4, FALSE))*(('raw data'!I525)^(VLOOKUP('raw data'!H525,'functions and szcl estimates'!$A$14:$I$23, 7, FALSE)))</f>
        <v>485.37316406488418</v>
      </c>
      <c r="L742" s="74"/>
      <c r="M742" s="74"/>
      <c r="N742" s="12">
        <v>0</v>
      </c>
      <c r="O742" s="65">
        <v>24</v>
      </c>
    </row>
    <row r="743" spans="1:19" x14ac:dyDescent="0.2">
      <c r="A743" s="71">
        <v>40975</v>
      </c>
      <c r="B743" s="17">
        <v>2016</v>
      </c>
      <c r="C743" s="18" t="str">
        <f t="shared" si="34"/>
        <v>Elkhorn Slough_40975_Outfall_0</v>
      </c>
      <c r="D743" s="4" t="s">
        <v>45</v>
      </c>
      <c r="E743" s="72" t="s">
        <v>279</v>
      </c>
      <c r="F743" s="70" t="s">
        <v>288</v>
      </c>
      <c r="G743" s="70">
        <v>1</v>
      </c>
      <c r="H743" s="88" t="s">
        <v>280</v>
      </c>
      <c r="I743" s="72">
        <v>33</v>
      </c>
      <c r="J743" s="72" t="s">
        <v>292</v>
      </c>
      <c r="K743" s="2">
        <f>(VLOOKUP(H743,'functions and szcl estimates'!$A$14:$I$23,4, FALSE))*(('raw data'!I526)^(VLOOKUP('raw data'!H526,'functions and szcl estimates'!$A$14:$I$23, 7, FALSE)))</f>
        <v>529.18181065151418</v>
      </c>
      <c r="L743" s="74"/>
      <c r="M743" s="74"/>
      <c r="N743" s="12">
        <v>0</v>
      </c>
      <c r="O743" s="65">
        <v>24</v>
      </c>
    </row>
    <row r="744" spans="1:19" x14ac:dyDescent="0.2">
      <c r="A744" s="71">
        <v>40975</v>
      </c>
      <c r="B744" s="17">
        <v>2016</v>
      </c>
      <c r="C744" s="18" t="str">
        <f t="shared" si="34"/>
        <v>Elkhorn Slough_40975_Outfall_0</v>
      </c>
      <c r="D744" s="4" t="s">
        <v>45</v>
      </c>
      <c r="E744" s="72" t="s">
        <v>279</v>
      </c>
      <c r="F744" s="70" t="s">
        <v>288</v>
      </c>
      <c r="G744" s="70">
        <v>1</v>
      </c>
      <c r="H744" s="88" t="s">
        <v>275</v>
      </c>
      <c r="I744" s="72">
        <v>40</v>
      </c>
      <c r="J744" s="72" t="s">
        <v>292</v>
      </c>
      <c r="K744" s="2">
        <f>(VLOOKUP(H744,'functions and szcl estimates'!$A$14:$I$23,4, FALSE))*(('raw data'!I527)^(VLOOKUP('raw data'!H527,'functions and szcl estimates'!$A$14:$I$23, 7, FALSE)))</f>
        <v>102.54354492108774</v>
      </c>
      <c r="L744" s="74"/>
      <c r="M744" s="74"/>
      <c r="N744" s="12">
        <v>0</v>
      </c>
      <c r="O744" s="65">
        <v>24</v>
      </c>
    </row>
    <row r="745" spans="1:19" x14ac:dyDescent="0.2">
      <c r="A745" s="71">
        <v>40975</v>
      </c>
      <c r="B745" s="17">
        <v>2016</v>
      </c>
      <c r="C745" s="18" t="str">
        <f t="shared" si="34"/>
        <v>Elkhorn Slough_40975_Outfall_0</v>
      </c>
      <c r="D745" s="4" t="s">
        <v>45</v>
      </c>
      <c r="E745" s="72" t="s">
        <v>279</v>
      </c>
      <c r="F745" s="70" t="s">
        <v>288</v>
      </c>
      <c r="G745" s="70">
        <v>1</v>
      </c>
      <c r="H745" s="88" t="s">
        <v>278</v>
      </c>
      <c r="I745" s="72">
        <v>41</v>
      </c>
      <c r="J745" s="72" t="s">
        <v>292</v>
      </c>
      <c r="K745" s="2">
        <f>(VLOOKUP(H745,'functions and szcl estimates'!$A$14:$I$23,4, FALSE))*(('raw data'!I528)^(VLOOKUP('raw data'!H528,'functions and szcl estimates'!$A$14:$I$23, 7, FALSE)))</f>
        <v>107.20186818003386</v>
      </c>
      <c r="L745" s="74"/>
      <c r="M745" s="74"/>
      <c r="N745" s="12">
        <v>0</v>
      </c>
      <c r="O745" s="65">
        <v>24</v>
      </c>
    </row>
    <row r="746" spans="1:19" x14ac:dyDescent="0.2">
      <c r="A746" s="71">
        <v>40975</v>
      </c>
      <c r="B746" s="17">
        <v>2016</v>
      </c>
      <c r="C746" s="18" t="str">
        <f t="shared" si="34"/>
        <v>Elkhorn Slough_40975_Outfall_0</v>
      </c>
      <c r="D746" s="4" t="s">
        <v>45</v>
      </c>
      <c r="E746" s="72" t="s">
        <v>279</v>
      </c>
      <c r="F746" s="70" t="s">
        <v>288</v>
      </c>
      <c r="G746" s="70">
        <v>1</v>
      </c>
      <c r="H746" s="88" t="s">
        <v>278</v>
      </c>
      <c r="I746" s="72">
        <v>35</v>
      </c>
      <c r="J746" s="72" t="s">
        <v>292</v>
      </c>
      <c r="K746" s="2">
        <f>(VLOOKUP(H746,'functions and szcl estimates'!$A$14:$I$23,4, FALSE))*(('raw data'!I529)^(VLOOKUP('raw data'!H529,'functions and szcl estimates'!$A$14:$I$23, 7, FALSE)))</f>
        <v>143.27416588052088</v>
      </c>
      <c r="L746" s="74"/>
      <c r="M746" s="74"/>
      <c r="N746" s="12">
        <v>0</v>
      </c>
      <c r="O746" s="65">
        <v>24</v>
      </c>
    </row>
    <row r="747" spans="1:19" x14ac:dyDescent="0.2">
      <c r="A747" s="71">
        <v>41067</v>
      </c>
      <c r="B747" s="17">
        <v>2016</v>
      </c>
      <c r="C747" s="18" t="str">
        <f t="shared" si="34"/>
        <v>Elkhorn Slough_41067_Outfall_0</v>
      </c>
      <c r="D747" s="4" t="s">
        <v>45</v>
      </c>
      <c r="E747" s="72" t="s">
        <v>279</v>
      </c>
      <c r="F747" s="70" t="s">
        <v>288</v>
      </c>
      <c r="G747" s="70">
        <v>1</v>
      </c>
      <c r="H747" s="88" t="s">
        <v>280</v>
      </c>
      <c r="I747" s="72">
        <v>54</v>
      </c>
      <c r="J747" s="72" t="s">
        <v>291</v>
      </c>
      <c r="K747" s="2">
        <f>(VLOOKUP(H747,'functions and szcl estimates'!$A$14:$I$23,4, FALSE))*(('raw data'!I530)^(VLOOKUP('raw data'!H530,'functions and szcl estimates'!$A$14:$I$23, 7, FALSE)))</f>
        <v>575.25662982436086</v>
      </c>
      <c r="L747" s="74"/>
      <c r="M747" s="74"/>
      <c r="N747" s="12">
        <v>0</v>
      </c>
      <c r="O747" s="65">
        <v>24</v>
      </c>
    </row>
    <row r="748" spans="1:19" x14ac:dyDescent="0.2">
      <c r="A748" s="71">
        <v>41067</v>
      </c>
      <c r="B748" s="17">
        <v>2016</v>
      </c>
      <c r="C748" s="18" t="str">
        <f t="shared" si="34"/>
        <v>Elkhorn Slough_41067_Outfall_0</v>
      </c>
      <c r="D748" s="4" t="s">
        <v>45</v>
      </c>
      <c r="E748" s="72" t="s">
        <v>279</v>
      </c>
      <c r="F748" s="70" t="s">
        <v>288</v>
      </c>
      <c r="G748" s="70">
        <v>1</v>
      </c>
      <c r="H748" s="88" t="s">
        <v>280</v>
      </c>
      <c r="I748" s="72">
        <v>35</v>
      </c>
      <c r="J748" s="72" t="s">
        <v>292</v>
      </c>
      <c r="K748" s="2">
        <f>(VLOOKUP(H748,'functions and szcl estimates'!$A$14:$I$23,4, FALSE))*(('raw data'!I531)^(VLOOKUP('raw data'!H531,'functions and szcl estimates'!$A$14:$I$23, 7, FALSE)))</f>
        <v>591.12470651919762</v>
      </c>
      <c r="L748" s="74"/>
      <c r="M748" s="74"/>
      <c r="N748" s="12">
        <v>0</v>
      </c>
      <c r="O748" s="65">
        <v>24</v>
      </c>
    </row>
    <row r="749" spans="1:19" x14ac:dyDescent="0.2">
      <c r="A749" s="71">
        <v>41067</v>
      </c>
      <c r="B749" s="17">
        <v>2016</v>
      </c>
      <c r="C749" s="18" t="str">
        <f t="shared" si="34"/>
        <v>Elkhorn Slough_41067_Outfall_0</v>
      </c>
      <c r="D749" s="4" t="s">
        <v>45</v>
      </c>
      <c r="E749" s="72" t="s">
        <v>279</v>
      </c>
      <c r="F749" s="70" t="s">
        <v>288</v>
      </c>
      <c r="G749" s="70">
        <v>1</v>
      </c>
      <c r="H749" s="88" t="s">
        <v>280</v>
      </c>
      <c r="I749" s="72">
        <v>59</v>
      </c>
      <c r="J749" s="72" t="s">
        <v>292</v>
      </c>
      <c r="K749" s="2">
        <f>(VLOOKUP(H749,'functions and szcl estimates'!$A$14:$I$23,4, FALSE))*(('raw data'!I532)^(VLOOKUP('raw data'!H532,'functions and szcl estimates'!$A$14:$I$23, 7, FALSE)))</f>
        <v>379.34940688169917</v>
      </c>
      <c r="L749" s="74"/>
      <c r="M749" s="74"/>
      <c r="N749" s="12">
        <v>0</v>
      </c>
      <c r="O749" s="65">
        <v>24</v>
      </c>
    </row>
    <row r="750" spans="1:19" x14ac:dyDescent="0.2">
      <c r="A750" s="72" t="s">
        <v>300</v>
      </c>
      <c r="B750" s="17">
        <v>2016</v>
      </c>
      <c r="C750" s="18" t="str">
        <f t="shared" si="34"/>
        <v>Elkhorn Slough_6/24/16_Outfall_0</v>
      </c>
      <c r="D750" s="4" t="s">
        <v>45</v>
      </c>
      <c r="E750" s="72" t="s">
        <v>279</v>
      </c>
      <c r="F750" s="70" t="s">
        <v>288</v>
      </c>
      <c r="G750" s="70">
        <v>1</v>
      </c>
      <c r="H750" s="88" t="s">
        <v>280</v>
      </c>
      <c r="I750" s="72">
        <v>40</v>
      </c>
      <c r="J750" s="72"/>
      <c r="K750" s="2">
        <f>(VLOOKUP(H750,'functions and szcl estimates'!$A$14:$I$23,4, FALSE))*(('raw data'!I533)^(VLOOKUP('raw data'!H533,'functions and szcl estimates'!$A$14:$I$23, 7, FALSE)))</f>
        <v>229.77154336687161</v>
      </c>
      <c r="L750" s="74"/>
      <c r="M750" s="74"/>
      <c r="N750" s="12">
        <v>0</v>
      </c>
      <c r="O750" s="65">
        <v>24</v>
      </c>
    </row>
    <row r="751" spans="1:19" x14ac:dyDescent="0.2">
      <c r="A751" s="72" t="s">
        <v>300</v>
      </c>
      <c r="B751" s="17">
        <v>2016</v>
      </c>
      <c r="C751" s="18" t="str">
        <f t="shared" si="34"/>
        <v>Elkhorn Slough_6/24/16_Outfall_0</v>
      </c>
      <c r="D751" s="4" t="s">
        <v>45</v>
      </c>
      <c r="E751" s="72" t="s">
        <v>279</v>
      </c>
      <c r="F751" s="70" t="s">
        <v>288</v>
      </c>
      <c r="G751" s="70">
        <v>1</v>
      </c>
      <c r="H751" s="88" t="s">
        <v>280</v>
      </c>
      <c r="I751" s="72">
        <v>50</v>
      </c>
      <c r="J751" s="72"/>
      <c r="K751" s="2">
        <f>(VLOOKUP(H751,'functions and szcl estimates'!$A$14:$I$23,4, FALSE))*(('raw data'!I534)^(VLOOKUP('raw data'!H534,'functions and szcl estimates'!$A$14:$I$23, 7, FALSE)))</f>
        <v>278.12659563919004</v>
      </c>
      <c r="L751" s="74"/>
      <c r="M751" s="74"/>
      <c r="N751" s="12">
        <v>0</v>
      </c>
      <c r="O751" s="65">
        <v>24</v>
      </c>
    </row>
    <row r="752" spans="1:19" x14ac:dyDescent="0.2">
      <c r="A752" s="72" t="s">
        <v>300</v>
      </c>
      <c r="B752" s="17">
        <v>2016</v>
      </c>
      <c r="C752" s="18" t="str">
        <f t="shared" si="34"/>
        <v>Elkhorn Slough_6/24/16_Outfall_0</v>
      </c>
      <c r="D752" s="4" t="s">
        <v>45</v>
      </c>
      <c r="E752" s="72" t="s">
        <v>279</v>
      </c>
      <c r="F752" s="70" t="s">
        <v>288</v>
      </c>
      <c r="G752" s="70">
        <v>1</v>
      </c>
      <c r="H752" s="88" t="s">
        <v>275</v>
      </c>
      <c r="I752" s="72">
        <v>70</v>
      </c>
      <c r="J752" s="72"/>
      <c r="K752" s="2">
        <f>(VLOOKUP(H752,'functions and szcl estimates'!$A$14:$I$23,4, FALSE))*(('raw data'!I535)^(VLOOKUP('raw data'!H535,'functions and szcl estimates'!$A$14:$I$23, 7, FALSE)))</f>
        <v>64.767937560209759</v>
      </c>
      <c r="L752" s="74"/>
      <c r="M752" s="74"/>
      <c r="N752" s="12">
        <v>0</v>
      </c>
      <c r="O752" s="65">
        <v>24</v>
      </c>
    </row>
    <row r="753" spans="1:15" x14ac:dyDescent="0.2">
      <c r="A753" s="72" t="s">
        <v>300</v>
      </c>
      <c r="B753" s="17">
        <v>2016</v>
      </c>
      <c r="C753" s="18" t="str">
        <f t="shared" si="34"/>
        <v>Elkhorn Slough_6/24/16_Outfall_0</v>
      </c>
      <c r="D753" s="4" t="s">
        <v>45</v>
      </c>
      <c r="E753" s="72" t="s">
        <v>279</v>
      </c>
      <c r="F753" s="70" t="s">
        <v>288</v>
      </c>
      <c r="G753" s="70">
        <v>1</v>
      </c>
      <c r="H753" s="88" t="s">
        <v>275</v>
      </c>
      <c r="I753" s="72">
        <v>70</v>
      </c>
      <c r="J753" s="72"/>
      <c r="K753" s="2">
        <f>(VLOOKUP(H753,'functions and szcl estimates'!$A$14:$I$23,4, FALSE))*(('raw data'!I536)^(VLOOKUP('raw data'!H536,'functions and szcl estimates'!$A$14:$I$23, 7, FALSE)))</f>
        <v>73.25626290283563</v>
      </c>
      <c r="L753" s="74"/>
      <c r="M753" s="74"/>
      <c r="N753" s="12">
        <v>0</v>
      </c>
      <c r="O753" s="65">
        <v>24</v>
      </c>
    </row>
    <row r="754" spans="1:15" x14ac:dyDescent="0.2">
      <c r="A754" s="72" t="s">
        <v>300</v>
      </c>
      <c r="B754" s="17">
        <v>2016</v>
      </c>
      <c r="C754" s="18" t="str">
        <f t="shared" si="34"/>
        <v>Elkhorn Slough_6/24/16_Outfall_0</v>
      </c>
      <c r="D754" s="4" t="s">
        <v>45</v>
      </c>
      <c r="E754" s="72" t="s">
        <v>279</v>
      </c>
      <c r="F754" s="70" t="s">
        <v>288</v>
      </c>
      <c r="G754" s="70">
        <v>1</v>
      </c>
      <c r="H754" s="88" t="s">
        <v>275</v>
      </c>
      <c r="I754" s="72">
        <v>60</v>
      </c>
      <c r="J754" s="72"/>
      <c r="K754" s="2">
        <f>(VLOOKUP(H754,'functions and szcl estimates'!$A$14:$I$23,4, FALSE))*(('raw data'!I537)^(VLOOKUP('raw data'!H537,'functions and szcl estimates'!$A$14:$I$23, 7, FALSE)))</f>
        <v>47.889515796895147</v>
      </c>
      <c r="L754" s="74"/>
      <c r="M754" s="74"/>
      <c r="N754" s="12">
        <v>0</v>
      </c>
      <c r="O754" s="65">
        <v>24</v>
      </c>
    </row>
    <row r="755" spans="1:15" x14ac:dyDescent="0.2">
      <c r="A755" s="72" t="s">
        <v>301</v>
      </c>
      <c r="B755" s="17">
        <v>2016</v>
      </c>
      <c r="C755" s="18" t="str">
        <f t="shared" si="34"/>
        <v>Elkhorn Slough_6/25/16_Outfall_0</v>
      </c>
      <c r="D755" s="4" t="s">
        <v>45</v>
      </c>
      <c r="E755" s="72" t="s">
        <v>279</v>
      </c>
      <c r="F755" s="70" t="s">
        <v>288</v>
      </c>
      <c r="G755" s="70">
        <v>1</v>
      </c>
      <c r="H755" s="88" t="s">
        <v>276</v>
      </c>
      <c r="I755" s="72">
        <v>40</v>
      </c>
      <c r="J755" s="72"/>
      <c r="K755" s="2">
        <f>(VLOOKUP(H755,'functions and szcl estimates'!$A$14:$I$23,4, FALSE))*(('raw data'!I538)^(VLOOKUP('raw data'!H538,'functions and szcl estimates'!$A$14:$I$23, 7, FALSE)))</f>
        <v>511.89619402995334</v>
      </c>
      <c r="L755" s="74"/>
      <c r="M755" s="74"/>
      <c r="N755" s="12">
        <v>0</v>
      </c>
      <c r="O755" s="65">
        <v>24</v>
      </c>
    </row>
    <row r="756" spans="1:15" x14ac:dyDescent="0.2">
      <c r="A756" s="72" t="s">
        <v>302</v>
      </c>
      <c r="B756" s="17">
        <v>2016</v>
      </c>
      <c r="C756" s="18" t="str">
        <f t="shared" si="34"/>
        <v>Elkhorn Slough_6/26/16_Outfall_0</v>
      </c>
      <c r="D756" s="4" t="s">
        <v>45</v>
      </c>
      <c r="E756" s="72" t="s">
        <v>279</v>
      </c>
      <c r="F756" s="70" t="s">
        <v>288</v>
      </c>
      <c r="G756" s="70">
        <v>1</v>
      </c>
      <c r="H756" s="88" t="s">
        <v>280</v>
      </c>
      <c r="I756" s="72">
        <v>38</v>
      </c>
      <c r="J756" s="72"/>
      <c r="K756" s="2">
        <f>(VLOOKUP(H756,'functions and szcl estimates'!$A$14:$I$23,4, FALSE))*(('raw data'!I539)^(VLOOKUP('raw data'!H539,'functions and szcl estimates'!$A$14:$I$23, 7, FALSE)))</f>
        <v>880.84724907329974</v>
      </c>
      <c r="L756" s="74"/>
      <c r="M756" s="74"/>
      <c r="N756" s="12">
        <v>0</v>
      </c>
      <c r="O756" s="65">
        <v>24</v>
      </c>
    </row>
    <row r="757" spans="1:15" x14ac:dyDescent="0.2">
      <c r="A757" s="72" t="s">
        <v>302</v>
      </c>
      <c r="B757" s="17">
        <v>2016</v>
      </c>
      <c r="C757" s="18" t="str">
        <f t="shared" si="34"/>
        <v>Elkhorn Slough_6/26/16_Outfall_0</v>
      </c>
      <c r="D757" s="4" t="s">
        <v>45</v>
      </c>
      <c r="E757" s="72" t="s">
        <v>279</v>
      </c>
      <c r="F757" s="70" t="s">
        <v>288</v>
      </c>
      <c r="G757" s="70">
        <v>1</v>
      </c>
      <c r="H757" s="88" t="s">
        <v>280</v>
      </c>
      <c r="I757" s="72">
        <v>46</v>
      </c>
      <c r="J757" s="72"/>
      <c r="K757" s="2">
        <f>(VLOOKUP(H757,'functions and szcl estimates'!$A$14:$I$23,4, FALSE))*(('raw data'!I540)^(VLOOKUP('raw data'!H540,'functions and szcl estimates'!$A$14:$I$23, 7, FALSE)))</f>
        <v>1216.7654236493497</v>
      </c>
      <c r="L757" s="74"/>
      <c r="M757" s="74"/>
      <c r="N757" s="12">
        <v>0</v>
      </c>
      <c r="O757" s="65">
        <v>24</v>
      </c>
    </row>
    <row r="758" spans="1:15" x14ac:dyDescent="0.2">
      <c r="A758" s="72" t="s">
        <v>302</v>
      </c>
      <c r="B758" s="17">
        <v>2016</v>
      </c>
      <c r="C758" s="18" t="str">
        <f t="shared" si="34"/>
        <v>Elkhorn Slough_6/26/16_Outfall_0</v>
      </c>
      <c r="D758" s="4" t="s">
        <v>45</v>
      </c>
      <c r="E758" s="72" t="s">
        <v>279</v>
      </c>
      <c r="F758" s="70" t="s">
        <v>288</v>
      </c>
      <c r="G758" s="70">
        <v>1</v>
      </c>
      <c r="H758" s="88" t="s">
        <v>276</v>
      </c>
      <c r="I758" s="72">
        <v>32</v>
      </c>
      <c r="J758" s="72"/>
      <c r="K758" s="2">
        <f>(VLOOKUP(H758,'functions and szcl estimates'!$A$14:$I$23,4, FALSE))*(('raw data'!I541)^(VLOOKUP('raw data'!H541,'functions and szcl estimates'!$A$14:$I$23, 7, FALSE)))</f>
        <v>511.89619402995334</v>
      </c>
      <c r="L758" s="74"/>
      <c r="M758" s="74"/>
      <c r="N758" s="12">
        <v>0</v>
      </c>
      <c r="O758" s="65">
        <v>24</v>
      </c>
    </row>
    <row r="759" spans="1:15" x14ac:dyDescent="0.2">
      <c r="A759" s="72" t="s">
        <v>303</v>
      </c>
      <c r="B759" s="17">
        <v>2016</v>
      </c>
      <c r="C759" s="18" t="str">
        <f t="shared" si="34"/>
        <v>Elkhorn Slough_6/28/16_Outfall_0</v>
      </c>
      <c r="D759" s="4" t="s">
        <v>45</v>
      </c>
      <c r="E759" s="72" t="s">
        <v>279</v>
      </c>
      <c r="F759" s="70" t="s">
        <v>288</v>
      </c>
      <c r="G759" s="70">
        <v>1</v>
      </c>
      <c r="H759" s="88" t="s">
        <v>280</v>
      </c>
      <c r="I759" s="72">
        <v>36</v>
      </c>
      <c r="J759" s="72"/>
      <c r="K759" s="2">
        <f>(VLOOKUP(H759,'functions and szcl estimates'!$A$14:$I$23,4, FALSE))*(('raw data'!I542)^(VLOOKUP('raw data'!H542,'functions and szcl estimates'!$A$14:$I$23, 7, FALSE)))</f>
        <v>229.77154336687161</v>
      </c>
      <c r="L759" s="74"/>
      <c r="M759" s="74"/>
      <c r="N759" s="12">
        <v>0</v>
      </c>
      <c r="O759" s="65">
        <v>24</v>
      </c>
    </row>
    <row r="760" spans="1:15" x14ac:dyDescent="0.2">
      <c r="A760" s="72" t="s">
        <v>303</v>
      </c>
      <c r="B760" s="17">
        <v>2016</v>
      </c>
      <c r="C760" s="18" t="str">
        <f t="shared" si="34"/>
        <v>Elkhorn Slough_6/28/16_Outfall_0</v>
      </c>
      <c r="D760" s="4" t="s">
        <v>45</v>
      </c>
      <c r="E760" s="72" t="s">
        <v>279</v>
      </c>
      <c r="F760" s="70" t="s">
        <v>288</v>
      </c>
      <c r="G760" s="70">
        <v>1</v>
      </c>
      <c r="H760" s="88" t="s">
        <v>280</v>
      </c>
      <c r="I760" s="72">
        <v>63</v>
      </c>
      <c r="J760" s="72"/>
      <c r="K760" s="2">
        <f>(VLOOKUP(H760,'functions and szcl estimates'!$A$14:$I$23,4, FALSE))*(('raw data'!I543)^(VLOOKUP('raw data'!H543,'functions and szcl estimates'!$A$14:$I$23, 7, FALSE)))</f>
        <v>288.46081338891281</v>
      </c>
      <c r="L760" s="74"/>
      <c r="M760" s="74"/>
      <c r="N760" s="12">
        <v>0</v>
      </c>
      <c r="O760" s="65">
        <v>24</v>
      </c>
    </row>
    <row r="761" spans="1:15" x14ac:dyDescent="0.2">
      <c r="A761" s="72" t="s">
        <v>303</v>
      </c>
      <c r="B761" s="17">
        <v>2016</v>
      </c>
      <c r="C761" s="18" t="str">
        <f t="shared" si="34"/>
        <v>Elkhorn Slough_6/28/16_Outfall_0</v>
      </c>
      <c r="D761" s="4" t="s">
        <v>45</v>
      </c>
      <c r="E761" s="72" t="s">
        <v>279</v>
      </c>
      <c r="F761" s="70" t="s">
        <v>288</v>
      </c>
      <c r="G761" s="70">
        <v>1</v>
      </c>
      <c r="H761" s="88" t="s">
        <v>275</v>
      </c>
      <c r="I761" s="72">
        <v>66</v>
      </c>
      <c r="J761" s="72"/>
      <c r="K761" s="2">
        <f>(VLOOKUP(H761,'functions and szcl estimates'!$A$14:$I$23,4, FALSE))*(('raw data'!I544)^(VLOOKUP('raw data'!H544,'functions and szcl estimates'!$A$14:$I$23, 7, FALSE)))</f>
        <v>44.543378108562834</v>
      </c>
      <c r="L761" s="74"/>
      <c r="M761" s="74"/>
      <c r="N761" s="12">
        <v>0</v>
      </c>
      <c r="O761" s="65">
        <v>24</v>
      </c>
    </row>
    <row r="762" spans="1:15" x14ac:dyDescent="0.2">
      <c r="A762" s="72" t="s">
        <v>305</v>
      </c>
      <c r="B762" s="17">
        <v>2016</v>
      </c>
      <c r="C762" s="18" t="str">
        <f t="shared" si="34"/>
        <v>Elkhorn Slough_6/30/16_Outfall_0</v>
      </c>
      <c r="D762" s="4" t="s">
        <v>45</v>
      </c>
      <c r="E762" s="72" t="s">
        <v>279</v>
      </c>
      <c r="F762" s="70" t="s">
        <v>288</v>
      </c>
      <c r="G762" s="70">
        <v>1</v>
      </c>
      <c r="H762" s="88" t="s">
        <v>275</v>
      </c>
      <c r="I762" s="72">
        <v>65</v>
      </c>
      <c r="J762" s="72"/>
      <c r="K762" s="2">
        <f>(VLOOKUP(H762,'functions and szcl estimates'!$A$14:$I$23,4, FALSE))*(('raw data'!I545)^(VLOOKUP('raw data'!H545,'functions and szcl estimates'!$A$14:$I$23, 7, FALSE)))</f>
        <v>64.767937560209759</v>
      </c>
      <c r="L762" s="74"/>
      <c r="M762" s="74"/>
      <c r="N762" s="12">
        <v>0</v>
      </c>
      <c r="O762" s="65">
        <v>24</v>
      </c>
    </row>
    <row r="763" spans="1:15" x14ac:dyDescent="0.2">
      <c r="A763" s="72" t="s">
        <v>305</v>
      </c>
      <c r="B763" s="17">
        <v>2016</v>
      </c>
      <c r="C763" s="18" t="str">
        <f t="shared" si="34"/>
        <v>Elkhorn Slough_6/30/16_Outfall_0</v>
      </c>
      <c r="D763" s="4" t="s">
        <v>45</v>
      </c>
      <c r="E763" s="72" t="s">
        <v>279</v>
      </c>
      <c r="F763" s="70" t="s">
        <v>288</v>
      </c>
      <c r="G763" s="70">
        <v>1</v>
      </c>
      <c r="H763" s="88" t="s">
        <v>275</v>
      </c>
      <c r="I763" s="72">
        <v>46</v>
      </c>
      <c r="J763" s="72"/>
      <c r="K763" s="2">
        <f>(VLOOKUP(H763,'functions and szcl estimates'!$A$14:$I$23,4, FALSE))*(('raw data'!I546)^(VLOOKUP('raw data'!H546,'functions and szcl estimates'!$A$14:$I$23, 7, FALSE)))</f>
        <v>49.616803582953445</v>
      </c>
      <c r="L763" s="74"/>
      <c r="M763" s="74"/>
      <c r="N763" s="12">
        <v>0</v>
      </c>
      <c r="O763" s="65">
        <v>24</v>
      </c>
    </row>
    <row r="764" spans="1:15" x14ac:dyDescent="0.2">
      <c r="A764" s="72" t="s">
        <v>305</v>
      </c>
      <c r="B764" s="17">
        <v>2016</v>
      </c>
      <c r="C764" s="18" t="str">
        <f t="shared" si="34"/>
        <v>Elkhorn Slough_6/30/16_Outfall_0</v>
      </c>
      <c r="D764" s="4" t="s">
        <v>45</v>
      </c>
      <c r="E764" s="72" t="s">
        <v>279</v>
      </c>
      <c r="F764" s="70" t="s">
        <v>288</v>
      </c>
      <c r="G764" s="70">
        <v>1</v>
      </c>
      <c r="H764" s="88" t="s">
        <v>306</v>
      </c>
      <c r="I764" s="72">
        <v>39</v>
      </c>
      <c r="J764" s="72"/>
      <c r="K764" s="2" t="e">
        <f>(VLOOKUP(H764,'functions and szcl estimates'!$A$14:$I$23,4, FALSE))*(('raw data'!I547)^(VLOOKUP('raw data'!H547,'functions and szcl estimates'!$A$14:$I$23, 7, FALSE)))</f>
        <v>#N/A</v>
      </c>
      <c r="L764" s="74"/>
      <c r="M764" s="74"/>
      <c r="N764" s="12">
        <v>0</v>
      </c>
      <c r="O764" s="65">
        <v>24</v>
      </c>
    </row>
    <row r="765" spans="1:15" x14ac:dyDescent="0.2">
      <c r="A765" s="73">
        <v>41128</v>
      </c>
      <c r="B765" s="17">
        <v>2016</v>
      </c>
      <c r="C765" s="18" t="str">
        <f t="shared" si="34"/>
        <v>Elkhorn Slough_41128_Outfall_0</v>
      </c>
      <c r="D765" s="4" t="s">
        <v>45</v>
      </c>
      <c r="E765" s="72" t="s">
        <v>279</v>
      </c>
      <c r="F765" s="70" t="s">
        <v>288</v>
      </c>
      <c r="G765" s="70">
        <v>1</v>
      </c>
      <c r="H765" s="88" t="s">
        <v>278</v>
      </c>
      <c r="I765" s="72">
        <v>38</v>
      </c>
      <c r="J765" s="72" t="s">
        <v>309</v>
      </c>
      <c r="K765" s="2">
        <f>(VLOOKUP(H765,'functions and szcl estimates'!$A$14:$I$23,4, FALSE))*(('raw data'!I549)^(VLOOKUP('raw data'!H549,'functions and szcl estimates'!$A$14:$I$23, 7, FALSE)))</f>
        <v>199.05625725174448</v>
      </c>
      <c r="L765" s="74"/>
      <c r="M765" s="74" t="s">
        <v>319</v>
      </c>
      <c r="O765" s="65">
        <v>24</v>
      </c>
    </row>
    <row r="766" spans="1:15" x14ac:dyDescent="0.2">
      <c r="A766" s="73">
        <v>41128</v>
      </c>
      <c r="B766" s="17">
        <v>2016</v>
      </c>
      <c r="C766" s="18" t="str">
        <f t="shared" si="34"/>
        <v>Elkhorn Slough_41128_Outfall_0</v>
      </c>
      <c r="D766" s="4" t="s">
        <v>45</v>
      </c>
      <c r="E766" s="72" t="s">
        <v>279</v>
      </c>
      <c r="F766" s="70" t="s">
        <v>288</v>
      </c>
      <c r="G766" s="70">
        <v>1</v>
      </c>
      <c r="H766" s="88" t="s">
        <v>306</v>
      </c>
      <c r="I766" s="72">
        <v>52</v>
      </c>
      <c r="J766" s="72" t="s">
        <v>309</v>
      </c>
      <c r="K766" s="2" t="e">
        <f>(VLOOKUP(H766,'functions and szcl estimates'!$A$14:$I$23,4, FALSE))*(('raw data'!I550)^(VLOOKUP('raw data'!H550,'functions and szcl estimates'!$A$14:$I$23, 7, FALSE)))</f>
        <v>#N/A</v>
      </c>
      <c r="L766" s="74"/>
      <c r="M766" s="74" t="s">
        <v>319</v>
      </c>
      <c r="O766" s="65">
        <v>24</v>
      </c>
    </row>
    <row r="767" spans="1:15" x14ac:dyDescent="0.2">
      <c r="A767" s="73">
        <v>41128</v>
      </c>
      <c r="B767" s="17">
        <v>2016</v>
      </c>
      <c r="C767" s="18" t="str">
        <f t="shared" si="34"/>
        <v>Elkhorn Slough_41128_Outfall_0</v>
      </c>
      <c r="D767" s="4" t="s">
        <v>45</v>
      </c>
      <c r="E767" s="72" t="s">
        <v>279</v>
      </c>
      <c r="F767" s="70" t="s">
        <v>288</v>
      </c>
      <c r="G767" s="70">
        <v>1</v>
      </c>
      <c r="H767" s="88" t="s">
        <v>276</v>
      </c>
      <c r="I767" s="72">
        <v>43</v>
      </c>
      <c r="J767" s="72" t="s">
        <v>309</v>
      </c>
      <c r="K767" s="2">
        <f>(VLOOKUP(H767,'functions and szcl estimates'!$A$14:$I$23,4, FALSE))*(('raw data'!I551)^(VLOOKUP('raw data'!H551,'functions and szcl estimates'!$A$14:$I$23, 7, FALSE)))</f>
        <v>148.29524971010636</v>
      </c>
      <c r="L767" s="74"/>
      <c r="M767" s="74" t="s">
        <v>319</v>
      </c>
      <c r="O767" s="65">
        <v>24</v>
      </c>
    </row>
    <row r="768" spans="1:15" x14ac:dyDescent="0.2">
      <c r="A768" s="73">
        <v>41129</v>
      </c>
      <c r="B768" s="17">
        <v>2016</v>
      </c>
      <c r="C768" s="18" t="str">
        <f t="shared" si="34"/>
        <v>Elkhorn Slough_41129_Outfall_0</v>
      </c>
      <c r="D768" s="4" t="s">
        <v>45</v>
      </c>
      <c r="E768" s="72" t="s">
        <v>279</v>
      </c>
      <c r="F768" s="70" t="s">
        <v>288</v>
      </c>
      <c r="G768" s="70">
        <v>1</v>
      </c>
      <c r="H768" s="88" t="s">
        <v>275</v>
      </c>
      <c r="I768" s="72">
        <v>41</v>
      </c>
      <c r="J768" s="72" t="s">
        <v>309</v>
      </c>
      <c r="K768" s="2">
        <f>(VLOOKUP(H768,'functions and szcl estimates'!$A$14:$I$23,4, FALSE))*(('raw data'!I552)^(VLOOKUP('raw data'!H552,'functions and szcl estimates'!$A$14:$I$23, 7, FALSE)))</f>
        <v>119.42143174829822</v>
      </c>
      <c r="L768" s="74"/>
      <c r="M768" s="74" t="s">
        <v>319</v>
      </c>
      <c r="O768" s="65">
        <v>24</v>
      </c>
    </row>
    <row r="769" spans="1:15" x14ac:dyDescent="0.2">
      <c r="A769" s="73">
        <v>41129</v>
      </c>
      <c r="B769" s="17">
        <v>2016</v>
      </c>
      <c r="C769" s="18" t="str">
        <f t="shared" si="34"/>
        <v>Elkhorn Slough_41129_Outfall_0.4514</v>
      </c>
      <c r="D769" s="4" t="s">
        <v>45</v>
      </c>
      <c r="E769" s="72" t="s">
        <v>279</v>
      </c>
      <c r="F769" s="70" t="s">
        <v>288</v>
      </c>
      <c r="G769" s="70">
        <v>1</v>
      </c>
      <c r="H769" s="88" t="s">
        <v>275</v>
      </c>
      <c r="I769" s="72">
        <v>58</v>
      </c>
      <c r="J769" s="72" t="s">
        <v>309</v>
      </c>
      <c r="L769" s="74" t="s">
        <v>311</v>
      </c>
      <c r="M769" s="74" t="s">
        <v>320</v>
      </c>
      <c r="N769" s="12">
        <f>L769-M769</f>
        <v>6.2499999999999778E-3</v>
      </c>
      <c r="O769" s="14">
        <f>M769-L769</f>
        <v>-6.2499999999999778E-3</v>
      </c>
    </row>
    <row r="770" spans="1:15" x14ac:dyDescent="0.2">
      <c r="A770" s="73">
        <v>41129</v>
      </c>
      <c r="B770" s="17">
        <v>2016</v>
      </c>
      <c r="C770" s="18" t="str">
        <f t="shared" si="34"/>
        <v>Elkhorn Slough_41129_Outfall_0.4514</v>
      </c>
      <c r="D770" s="4" t="s">
        <v>45</v>
      </c>
      <c r="E770" s="72" t="s">
        <v>279</v>
      </c>
      <c r="F770" s="70" t="s">
        <v>288</v>
      </c>
      <c r="G770" s="70">
        <v>1</v>
      </c>
      <c r="H770" s="88" t="s">
        <v>275</v>
      </c>
      <c r="I770" s="72">
        <v>50</v>
      </c>
      <c r="J770" s="72" t="s">
        <v>309</v>
      </c>
      <c r="L770" s="74" t="s">
        <v>311</v>
      </c>
      <c r="M770" s="74" t="s">
        <v>320</v>
      </c>
      <c r="N770" s="12">
        <f>L770-M770</f>
        <v>6.2499999999999778E-3</v>
      </c>
      <c r="O770" s="65">
        <f t="shared" ref="O770:O772" si="36">24+(M770-L770)</f>
        <v>23.993749999999999</v>
      </c>
    </row>
    <row r="771" spans="1:15" x14ac:dyDescent="0.2">
      <c r="A771" s="73">
        <v>41129</v>
      </c>
      <c r="B771" s="17">
        <v>2016</v>
      </c>
      <c r="C771" s="18" t="str">
        <f t="shared" ref="C771:C834" si="37">CONCATENATE(D771,"_",A771,"_",E771,"_",ROUND(L771,4))</f>
        <v>Elkhorn Slough_41129_Outfall_0.4514</v>
      </c>
      <c r="D771" s="4" t="s">
        <v>45</v>
      </c>
      <c r="E771" s="72" t="s">
        <v>279</v>
      </c>
      <c r="F771" s="70" t="s">
        <v>288</v>
      </c>
      <c r="G771" s="70">
        <v>1</v>
      </c>
      <c r="H771" s="88" t="s">
        <v>278</v>
      </c>
      <c r="I771" s="72">
        <v>44</v>
      </c>
      <c r="J771" s="72" t="s">
        <v>309</v>
      </c>
      <c r="L771" s="74" t="s">
        <v>311</v>
      </c>
      <c r="M771" s="74" t="s">
        <v>320</v>
      </c>
      <c r="N771" s="12">
        <f>L771-M771</f>
        <v>6.2499999999999778E-3</v>
      </c>
      <c r="O771" s="65">
        <f t="shared" si="36"/>
        <v>23.993749999999999</v>
      </c>
    </row>
    <row r="772" spans="1:15" x14ac:dyDescent="0.2">
      <c r="A772" s="73">
        <v>41131</v>
      </c>
      <c r="B772" s="17">
        <v>2016</v>
      </c>
      <c r="C772" s="18" t="str">
        <f t="shared" si="37"/>
        <v>Elkhorn Slough_41131_Outfall_0.4514</v>
      </c>
      <c r="D772" s="4" t="s">
        <v>45</v>
      </c>
      <c r="E772" s="72" t="s">
        <v>279</v>
      </c>
      <c r="F772" s="70" t="s">
        <v>288</v>
      </c>
      <c r="G772" s="70">
        <v>1</v>
      </c>
      <c r="H772" s="88" t="s">
        <v>276</v>
      </c>
      <c r="I772" s="72">
        <v>20</v>
      </c>
      <c r="J772" s="72" t="s">
        <v>309</v>
      </c>
      <c r="L772" s="74" t="s">
        <v>311</v>
      </c>
      <c r="M772" s="74" t="s">
        <v>320</v>
      </c>
      <c r="N772" s="12">
        <f>L772-M772</f>
        <v>6.2499999999999778E-3</v>
      </c>
      <c r="O772" s="65">
        <f t="shared" si="36"/>
        <v>23.993749999999999</v>
      </c>
    </row>
    <row r="773" spans="1:15" x14ac:dyDescent="0.2">
      <c r="A773" s="73">
        <v>41131</v>
      </c>
      <c r="B773" s="17">
        <v>2016</v>
      </c>
      <c r="C773" s="18" t="str">
        <f t="shared" si="37"/>
        <v>Elkhorn Slough_41131_Outfall_0</v>
      </c>
      <c r="D773" s="4" t="s">
        <v>45</v>
      </c>
      <c r="E773" s="72" t="s">
        <v>279</v>
      </c>
      <c r="F773" s="70" t="s">
        <v>288</v>
      </c>
      <c r="G773" s="70">
        <v>1</v>
      </c>
      <c r="H773" s="88" t="s">
        <v>280</v>
      </c>
      <c r="I773" s="72">
        <v>41</v>
      </c>
      <c r="J773" s="72" t="s">
        <v>309</v>
      </c>
      <c r="L773" s="74"/>
      <c r="M773" s="74" t="s">
        <v>321</v>
      </c>
      <c r="N773" s="12">
        <v>0</v>
      </c>
      <c r="O773" s="65">
        <v>24</v>
      </c>
    </row>
    <row r="774" spans="1:15" x14ac:dyDescent="0.2">
      <c r="A774" s="73">
        <v>41131</v>
      </c>
      <c r="B774" s="17">
        <v>2016</v>
      </c>
      <c r="C774" s="18" t="str">
        <f t="shared" si="37"/>
        <v>Elkhorn Slough_41131_Outfall_0</v>
      </c>
      <c r="D774" s="4" t="s">
        <v>45</v>
      </c>
      <c r="E774" s="72" t="s">
        <v>279</v>
      </c>
      <c r="F774" s="70" t="s">
        <v>288</v>
      </c>
      <c r="G774" s="70">
        <v>1</v>
      </c>
      <c r="H774" s="88" t="s">
        <v>278</v>
      </c>
      <c r="I774" s="72">
        <v>41</v>
      </c>
      <c r="J774" s="72" t="s">
        <v>309</v>
      </c>
      <c r="L774" s="74"/>
      <c r="M774" s="74" t="s">
        <v>321</v>
      </c>
      <c r="N774" s="12">
        <v>0</v>
      </c>
      <c r="O774" s="65">
        <v>24</v>
      </c>
    </row>
    <row r="775" spans="1:15" x14ac:dyDescent="0.2">
      <c r="A775" s="73">
        <v>41131</v>
      </c>
      <c r="B775" s="17">
        <v>2016</v>
      </c>
      <c r="C775" s="18" t="str">
        <f t="shared" si="37"/>
        <v>Elkhorn Slough_41131_Outfall_0</v>
      </c>
      <c r="D775" s="4" t="s">
        <v>45</v>
      </c>
      <c r="E775" s="72" t="s">
        <v>279</v>
      </c>
      <c r="F775" s="70" t="s">
        <v>288</v>
      </c>
      <c r="G775" s="70">
        <v>1</v>
      </c>
      <c r="H775" s="88" t="s">
        <v>278</v>
      </c>
      <c r="I775" s="72">
        <v>42</v>
      </c>
      <c r="J775" s="72" t="s">
        <v>309</v>
      </c>
      <c r="L775" s="74"/>
      <c r="M775" s="74" t="s">
        <v>321</v>
      </c>
      <c r="N775" s="12">
        <v>0</v>
      </c>
      <c r="O775" s="65">
        <v>24</v>
      </c>
    </row>
    <row r="776" spans="1:15" x14ac:dyDescent="0.2">
      <c r="A776" s="73">
        <v>41131</v>
      </c>
      <c r="B776" s="17">
        <v>2016</v>
      </c>
      <c r="C776" s="18" t="str">
        <f t="shared" si="37"/>
        <v>Elkhorn Slough_41131_Outfall_0</v>
      </c>
      <c r="D776" s="4" t="s">
        <v>45</v>
      </c>
      <c r="E776" s="72" t="s">
        <v>279</v>
      </c>
      <c r="F776" s="70" t="s">
        <v>288</v>
      </c>
      <c r="G776" s="70">
        <v>1</v>
      </c>
      <c r="H776" s="88" t="s">
        <v>278</v>
      </c>
      <c r="I776" s="72">
        <v>37</v>
      </c>
      <c r="J776" s="72" t="s">
        <v>309</v>
      </c>
      <c r="L776" s="74"/>
      <c r="M776" s="74" t="s">
        <v>321</v>
      </c>
      <c r="N776" s="12">
        <v>0</v>
      </c>
      <c r="O776" s="65">
        <v>24</v>
      </c>
    </row>
    <row r="777" spans="1:15" x14ac:dyDescent="0.2">
      <c r="A777" s="73">
        <v>41131</v>
      </c>
      <c r="B777" s="17">
        <v>2016</v>
      </c>
      <c r="C777" s="18" t="str">
        <f t="shared" si="37"/>
        <v>Elkhorn Slough_41131_Outfall_0</v>
      </c>
      <c r="D777" s="4" t="s">
        <v>45</v>
      </c>
      <c r="E777" s="72" t="s">
        <v>279</v>
      </c>
      <c r="F777" s="70" t="s">
        <v>288</v>
      </c>
      <c r="G777" s="70">
        <v>1</v>
      </c>
      <c r="H777" s="88" t="s">
        <v>306</v>
      </c>
      <c r="I777" s="72">
        <v>41</v>
      </c>
      <c r="J777" s="72" t="s">
        <v>309</v>
      </c>
      <c r="L777" s="74"/>
      <c r="M777" s="74" t="s">
        <v>321</v>
      </c>
      <c r="N777" s="12">
        <v>0</v>
      </c>
      <c r="O777" s="65">
        <v>24</v>
      </c>
    </row>
    <row r="778" spans="1:15" x14ac:dyDescent="0.2">
      <c r="A778" s="73">
        <v>41139</v>
      </c>
      <c r="B778" s="17">
        <v>2016</v>
      </c>
      <c r="C778" s="18" t="str">
        <f t="shared" si="37"/>
        <v>Elkhorn Slough_41139_Outfall_0</v>
      </c>
      <c r="D778" s="4" t="s">
        <v>45</v>
      </c>
      <c r="E778" s="72" t="s">
        <v>279</v>
      </c>
      <c r="F778" s="70" t="s">
        <v>288</v>
      </c>
      <c r="G778" s="70">
        <v>1</v>
      </c>
      <c r="H778" s="88" t="s">
        <v>280</v>
      </c>
      <c r="I778" s="72">
        <v>54</v>
      </c>
      <c r="J778" s="72" t="s">
        <v>310</v>
      </c>
      <c r="L778" s="74"/>
      <c r="M778" s="74" t="s">
        <v>321</v>
      </c>
      <c r="N778" s="12">
        <v>0</v>
      </c>
      <c r="O778" s="65">
        <v>24</v>
      </c>
    </row>
    <row r="779" spans="1:15" x14ac:dyDescent="0.2">
      <c r="A779" s="73">
        <v>41139</v>
      </c>
      <c r="B779" s="17">
        <v>2016</v>
      </c>
      <c r="C779" s="18" t="str">
        <f t="shared" si="37"/>
        <v>Elkhorn Slough_41139_Outfall_0.5208</v>
      </c>
      <c r="D779" s="4" t="s">
        <v>45</v>
      </c>
      <c r="E779" s="72" t="s">
        <v>279</v>
      </c>
      <c r="F779" s="70" t="s">
        <v>288</v>
      </c>
      <c r="G779" s="70">
        <v>1</v>
      </c>
      <c r="H779" s="88" t="s">
        <v>280</v>
      </c>
      <c r="I779" s="72">
        <v>52</v>
      </c>
      <c r="J779" s="72" t="s">
        <v>310</v>
      </c>
      <c r="L779" s="74" t="s">
        <v>312</v>
      </c>
      <c r="M779" s="74" t="s">
        <v>313</v>
      </c>
      <c r="N779" s="12">
        <f>L779-M779</f>
        <v>2.083333333333337E-2</v>
      </c>
      <c r="O779" s="65">
        <f t="shared" ref="O779" si="38">24+(M779-L779)</f>
        <v>23.979166666666668</v>
      </c>
    </row>
    <row r="780" spans="1:15" x14ac:dyDescent="0.2">
      <c r="A780" s="73">
        <v>41140</v>
      </c>
      <c r="B780" s="17">
        <v>2016</v>
      </c>
      <c r="C780" s="18" t="str">
        <f t="shared" si="37"/>
        <v>Elkhorn Slough_41140_Outfall_0.5208</v>
      </c>
      <c r="D780" s="4" t="s">
        <v>45</v>
      </c>
      <c r="E780" s="72" t="s">
        <v>279</v>
      </c>
      <c r="F780" s="70" t="s">
        <v>288</v>
      </c>
      <c r="G780" s="70">
        <v>1</v>
      </c>
      <c r="H780" s="88" t="s">
        <v>280</v>
      </c>
      <c r="I780" s="72">
        <v>35</v>
      </c>
      <c r="J780" s="72" t="s">
        <v>309</v>
      </c>
      <c r="L780" s="74" t="s">
        <v>312</v>
      </c>
      <c r="M780" s="74" t="s">
        <v>313</v>
      </c>
      <c r="N780" s="12">
        <f t="shared" ref="N780:N788" si="39">L780-M780</f>
        <v>2.083333333333337E-2</v>
      </c>
    </row>
    <row r="781" spans="1:15" x14ac:dyDescent="0.2">
      <c r="A781" s="73">
        <v>41140</v>
      </c>
      <c r="B781" s="17">
        <v>2016</v>
      </c>
      <c r="C781" s="18" t="str">
        <f t="shared" si="37"/>
        <v>Elkhorn Slough_41140_Outfall_0.5</v>
      </c>
      <c r="D781" s="4" t="s">
        <v>45</v>
      </c>
      <c r="E781" s="72" t="s">
        <v>279</v>
      </c>
      <c r="F781" s="70" t="s">
        <v>288</v>
      </c>
      <c r="G781" s="70">
        <v>1</v>
      </c>
      <c r="H781" s="88" t="s">
        <v>278</v>
      </c>
      <c r="I781" s="72">
        <v>45</v>
      </c>
      <c r="J781" s="72" t="s">
        <v>310</v>
      </c>
      <c r="L781" s="74" t="s">
        <v>313</v>
      </c>
      <c r="M781" s="74" t="s">
        <v>322</v>
      </c>
      <c r="N781" s="12">
        <f t="shared" si="39"/>
        <v>0.12291666666666662</v>
      </c>
    </row>
    <row r="782" spans="1:15" x14ac:dyDescent="0.2">
      <c r="A782" s="73">
        <v>41140</v>
      </c>
      <c r="B782" s="17">
        <v>2016</v>
      </c>
      <c r="C782" s="18" t="str">
        <f t="shared" si="37"/>
        <v>Elkhorn Slough_41140_Outfall_0.5</v>
      </c>
      <c r="D782" s="4" t="s">
        <v>45</v>
      </c>
      <c r="E782" s="72" t="s">
        <v>279</v>
      </c>
      <c r="F782" s="70" t="s">
        <v>288</v>
      </c>
      <c r="G782" s="70">
        <v>1</v>
      </c>
      <c r="H782" s="88" t="s">
        <v>306</v>
      </c>
      <c r="I782" s="72">
        <v>38</v>
      </c>
      <c r="J782" s="72" t="s">
        <v>309</v>
      </c>
      <c r="L782" s="74" t="s">
        <v>313</v>
      </c>
      <c r="M782" s="74" t="s">
        <v>322</v>
      </c>
      <c r="N782" s="12">
        <f t="shared" si="39"/>
        <v>0.12291666666666662</v>
      </c>
    </row>
    <row r="783" spans="1:15" x14ac:dyDescent="0.2">
      <c r="A783" s="73">
        <v>41141</v>
      </c>
      <c r="B783" s="17">
        <v>2016</v>
      </c>
      <c r="C783" s="18" t="str">
        <f t="shared" si="37"/>
        <v>Elkhorn Slough_41141_Outfall_0.5</v>
      </c>
      <c r="D783" s="4" t="s">
        <v>45</v>
      </c>
      <c r="E783" s="72" t="s">
        <v>279</v>
      </c>
      <c r="F783" s="70" t="s">
        <v>288</v>
      </c>
      <c r="G783" s="70">
        <v>1</v>
      </c>
      <c r="H783" s="88" t="s">
        <v>280</v>
      </c>
      <c r="I783" s="72">
        <v>40</v>
      </c>
      <c r="J783" s="72" t="s">
        <v>309</v>
      </c>
      <c r="L783" s="74" t="s">
        <v>313</v>
      </c>
      <c r="M783" s="74" t="s">
        <v>322</v>
      </c>
      <c r="N783" s="12">
        <f t="shared" si="39"/>
        <v>0.12291666666666662</v>
      </c>
    </row>
    <row r="784" spans="1:15" x14ac:dyDescent="0.2">
      <c r="A784" s="73">
        <v>41141</v>
      </c>
      <c r="B784" s="17">
        <v>2016</v>
      </c>
      <c r="C784" s="18" t="str">
        <f t="shared" si="37"/>
        <v>Elkhorn Slough_41141_Outfall_0.375</v>
      </c>
      <c r="D784" s="4" t="s">
        <v>45</v>
      </c>
      <c r="E784" s="72" t="s">
        <v>279</v>
      </c>
      <c r="F784" s="70" t="s">
        <v>288</v>
      </c>
      <c r="G784" s="70">
        <v>1</v>
      </c>
      <c r="H784" s="88" t="s">
        <v>280</v>
      </c>
      <c r="I784" s="72">
        <v>55</v>
      </c>
      <c r="J784" s="72" t="s">
        <v>310</v>
      </c>
      <c r="L784" s="74" t="s">
        <v>314</v>
      </c>
      <c r="M784" s="74" t="s">
        <v>323</v>
      </c>
      <c r="N784" s="12">
        <f t="shared" si="39"/>
        <v>-0.14444444444444449</v>
      </c>
    </row>
    <row r="785" spans="1:14" x14ac:dyDescent="0.2">
      <c r="A785" s="73">
        <v>41141</v>
      </c>
      <c r="B785" s="17">
        <v>2016</v>
      </c>
      <c r="C785" s="18" t="str">
        <f t="shared" si="37"/>
        <v>Elkhorn Slough_41141_Outfall_0.375</v>
      </c>
      <c r="D785" s="4" t="s">
        <v>45</v>
      </c>
      <c r="E785" s="72" t="s">
        <v>279</v>
      </c>
      <c r="F785" s="70" t="s">
        <v>288</v>
      </c>
      <c r="G785" s="70">
        <v>1</v>
      </c>
      <c r="H785" s="88" t="s">
        <v>280</v>
      </c>
      <c r="I785" s="72">
        <v>40</v>
      </c>
      <c r="J785" s="72" t="s">
        <v>310</v>
      </c>
      <c r="L785" s="74" t="s">
        <v>314</v>
      </c>
      <c r="M785" s="74" t="s">
        <v>323</v>
      </c>
      <c r="N785" s="12">
        <f t="shared" si="39"/>
        <v>-0.14444444444444449</v>
      </c>
    </row>
    <row r="786" spans="1:14" x14ac:dyDescent="0.2">
      <c r="A786" s="73">
        <v>41141</v>
      </c>
      <c r="B786" s="17">
        <v>2016</v>
      </c>
      <c r="C786" s="18" t="str">
        <f t="shared" si="37"/>
        <v>Elkhorn Slough_41141_Outfall_0.375</v>
      </c>
      <c r="D786" s="4" t="s">
        <v>45</v>
      </c>
      <c r="E786" s="72" t="s">
        <v>279</v>
      </c>
      <c r="F786" s="70" t="s">
        <v>288</v>
      </c>
      <c r="G786" s="70">
        <v>1</v>
      </c>
      <c r="H786" s="88" t="s">
        <v>278</v>
      </c>
      <c r="I786" s="72">
        <v>42</v>
      </c>
      <c r="J786" s="72" t="s">
        <v>310</v>
      </c>
      <c r="L786" s="74" t="s">
        <v>314</v>
      </c>
      <c r="M786" s="74" t="s">
        <v>323</v>
      </c>
      <c r="N786" s="12">
        <f t="shared" si="39"/>
        <v>-0.14444444444444449</v>
      </c>
    </row>
    <row r="787" spans="1:14" x14ac:dyDescent="0.2">
      <c r="A787" s="73">
        <v>41141</v>
      </c>
      <c r="B787" s="17">
        <v>2016</v>
      </c>
      <c r="C787" s="18" t="str">
        <f t="shared" si="37"/>
        <v>Elkhorn Slough_41141_Outfall_0.375</v>
      </c>
      <c r="D787" s="4" t="s">
        <v>45</v>
      </c>
      <c r="E787" s="72" t="s">
        <v>279</v>
      </c>
      <c r="F787" s="70" t="s">
        <v>288</v>
      </c>
      <c r="G787" s="70">
        <v>1</v>
      </c>
      <c r="H787" s="88" t="s">
        <v>276</v>
      </c>
      <c r="I787" s="72">
        <v>40</v>
      </c>
      <c r="J787" s="72" t="s">
        <v>310</v>
      </c>
      <c r="L787" s="74" t="s">
        <v>314</v>
      </c>
      <c r="M787" s="74" t="s">
        <v>323</v>
      </c>
      <c r="N787" s="12">
        <f t="shared" si="39"/>
        <v>-0.14444444444444449</v>
      </c>
    </row>
    <row r="788" spans="1:14" x14ac:dyDescent="0.2">
      <c r="A788" s="73">
        <v>41142</v>
      </c>
      <c r="B788" s="17">
        <v>2016</v>
      </c>
      <c r="C788" s="18" t="str">
        <f t="shared" si="37"/>
        <v>Elkhorn Slough_41142_Outfall_0.375</v>
      </c>
      <c r="D788" s="4" t="s">
        <v>45</v>
      </c>
      <c r="E788" s="72" t="s">
        <v>279</v>
      </c>
      <c r="F788" s="70" t="s">
        <v>288</v>
      </c>
      <c r="G788" s="70">
        <v>1</v>
      </c>
      <c r="H788" s="88" t="s">
        <v>275</v>
      </c>
      <c r="I788" s="72">
        <v>62</v>
      </c>
      <c r="J788" s="72" t="s">
        <v>309</v>
      </c>
      <c r="L788" s="74" t="s">
        <v>314</v>
      </c>
      <c r="M788" s="74" t="s">
        <v>323</v>
      </c>
      <c r="N788" s="12">
        <f t="shared" si="39"/>
        <v>-0.14444444444444449</v>
      </c>
    </row>
    <row r="789" spans="1:14" x14ac:dyDescent="0.2">
      <c r="A789" s="73">
        <v>41142</v>
      </c>
      <c r="B789" s="17">
        <v>2016</v>
      </c>
      <c r="C789" s="18" t="str">
        <f t="shared" si="37"/>
        <v>Elkhorn Slough_41142_Outfall_0</v>
      </c>
      <c r="D789" s="4" t="s">
        <v>45</v>
      </c>
      <c r="E789" s="72" t="s">
        <v>279</v>
      </c>
      <c r="F789" s="70" t="s">
        <v>288</v>
      </c>
      <c r="G789" s="70">
        <v>1</v>
      </c>
      <c r="H789" s="88" t="s">
        <v>280</v>
      </c>
      <c r="I789" s="72">
        <v>33</v>
      </c>
      <c r="J789" s="72" t="s">
        <v>309</v>
      </c>
      <c r="L789" s="74"/>
      <c r="M789" s="74" t="s">
        <v>324</v>
      </c>
      <c r="N789" s="12">
        <v>0</v>
      </c>
    </row>
    <row r="790" spans="1:14" x14ac:dyDescent="0.2">
      <c r="A790" s="73">
        <v>41144</v>
      </c>
      <c r="B790" s="17">
        <v>2016</v>
      </c>
      <c r="C790" s="18" t="str">
        <f t="shared" si="37"/>
        <v>Elkhorn Slough_41144_Outfall_0</v>
      </c>
      <c r="D790" s="4" t="s">
        <v>45</v>
      </c>
      <c r="E790" s="72" t="s">
        <v>279</v>
      </c>
      <c r="F790" s="70" t="s">
        <v>288</v>
      </c>
      <c r="G790" s="70">
        <v>1</v>
      </c>
      <c r="H790" s="88" t="s">
        <v>275</v>
      </c>
      <c r="I790" s="72">
        <v>56</v>
      </c>
      <c r="J790" s="72" t="s">
        <v>309</v>
      </c>
      <c r="L790" s="74"/>
      <c r="M790" s="74" t="s">
        <v>324</v>
      </c>
      <c r="N790" s="12">
        <v>0</v>
      </c>
    </row>
    <row r="791" spans="1:14" x14ac:dyDescent="0.2">
      <c r="A791" s="73">
        <v>41144</v>
      </c>
      <c r="B791" s="17">
        <v>2016</v>
      </c>
      <c r="C791" s="18" t="str">
        <f t="shared" si="37"/>
        <v>Elkhorn Slough_41144_Outfall_0</v>
      </c>
      <c r="D791" s="4" t="s">
        <v>45</v>
      </c>
      <c r="E791" s="72" t="s">
        <v>279</v>
      </c>
      <c r="F791" s="70" t="s">
        <v>288</v>
      </c>
      <c r="G791" s="70">
        <v>1</v>
      </c>
      <c r="H791" s="88" t="s">
        <v>275</v>
      </c>
      <c r="I791" s="72">
        <v>49</v>
      </c>
      <c r="J791" s="72" t="s">
        <v>309</v>
      </c>
      <c r="L791" s="74"/>
      <c r="M791" s="74" t="s">
        <v>311</v>
      </c>
      <c r="N791" s="12">
        <v>0</v>
      </c>
    </row>
    <row r="792" spans="1:14" x14ac:dyDescent="0.2">
      <c r="A792" s="73">
        <v>41144</v>
      </c>
      <c r="B792" s="17">
        <v>2016</v>
      </c>
      <c r="C792" s="18" t="str">
        <f t="shared" si="37"/>
        <v>Elkhorn Slough_41144_Outfall_0</v>
      </c>
      <c r="D792" s="4" t="s">
        <v>45</v>
      </c>
      <c r="E792" s="72" t="s">
        <v>279</v>
      </c>
      <c r="F792" s="70" t="s">
        <v>288</v>
      </c>
      <c r="G792" s="70">
        <v>1</v>
      </c>
      <c r="H792" s="88" t="s">
        <v>280</v>
      </c>
      <c r="I792" s="72">
        <v>33</v>
      </c>
      <c r="J792" s="72" t="s">
        <v>310</v>
      </c>
      <c r="L792" s="74"/>
      <c r="M792" s="74" t="s">
        <v>311</v>
      </c>
      <c r="N792" s="12">
        <v>0</v>
      </c>
    </row>
    <row r="793" spans="1:14" x14ac:dyDescent="0.2">
      <c r="A793" s="73">
        <v>41144</v>
      </c>
      <c r="B793" s="17">
        <v>2016</v>
      </c>
      <c r="C793" s="18" t="str">
        <f t="shared" si="37"/>
        <v>Elkhorn Slough_41144_Outfall_0</v>
      </c>
      <c r="D793" s="4" t="s">
        <v>45</v>
      </c>
      <c r="E793" s="72" t="s">
        <v>279</v>
      </c>
      <c r="F793" s="70" t="s">
        <v>288</v>
      </c>
      <c r="G793" s="70">
        <v>1</v>
      </c>
      <c r="H793" s="88" t="s">
        <v>280</v>
      </c>
      <c r="I793" s="72">
        <v>48</v>
      </c>
      <c r="J793" s="72" t="s">
        <v>310</v>
      </c>
      <c r="L793" s="74"/>
      <c r="M793" s="74" t="s">
        <v>311</v>
      </c>
      <c r="N793" s="12">
        <v>0</v>
      </c>
    </row>
    <row r="794" spans="1:14" x14ac:dyDescent="0.2">
      <c r="A794" s="71">
        <v>40975</v>
      </c>
      <c r="B794" s="17">
        <v>2016</v>
      </c>
      <c r="C794" s="18" t="str">
        <f t="shared" si="37"/>
        <v>Elkhorn Slough_40975_Crop Circles_0</v>
      </c>
      <c r="D794" s="4" t="s">
        <v>45</v>
      </c>
      <c r="E794" s="72" t="s">
        <v>277</v>
      </c>
      <c r="F794" s="70" t="s">
        <v>288</v>
      </c>
      <c r="G794" s="70">
        <v>1</v>
      </c>
      <c r="H794" s="88" t="s">
        <v>280</v>
      </c>
      <c r="I794" s="72">
        <v>55</v>
      </c>
      <c r="J794" s="72" t="s">
        <v>292</v>
      </c>
      <c r="L794" s="74"/>
      <c r="M794" s="74" t="s">
        <v>311</v>
      </c>
      <c r="N794" s="12">
        <v>0</v>
      </c>
    </row>
    <row r="795" spans="1:14" x14ac:dyDescent="0.2">
      <c r="A795" s="71">
        <v>40975</v>
      </c>
      <c r="B795" s="17">
        <v>2016</v>
      </c>
      <c r="C795" s="18" t="str">
        <f t="shared" si="37"/>
        <v>Elkhorn Slough_40975_Crop Circles_0</v>
      </c>
      <c r="D795" s="4" t="s">
        <v>45</v>
      </c>
      <c r="E795" s="72" t="s">
        <v>277</v>
      </c>
      <c r="F795" s="70" t="s">
        <v>288</v>
      </c>
      <c r="G795" s="70">
        <v>1</v>
      </c>
      <c r="H795" s="88" t="s">
        <v>280</v>
      </c>
      <c r="I795" s="72">
        <v>54</v>
      </c>
      <c r="J795" s="72" t="s">
        <v>291</v>
      </c>
      <c r="L795" s="74"/>
      <c r="M795" s="74"/>
      <c r="N795" s="12">
        <v>0</v>
      </c>
    </row>
    <row r="796" spans="1:14" x14ac:dyDescent="0.2">
      <c r="A796" s="72" t="s">
        <v>300</v>
      </c>
      <c r="B796" s="17">
        <v>2016</v>
      </c>
      <c r="C796" s="18" t="str">
        <f t="shared" si="37"/>
        <v>Elkhorn Slough_6/24/16_Crop Circles_0</v>
      </c>
      <c r="D796" s="4" t="s">
        <v>45</v>
      </c>
      <c r="E796" s="72" t="s">
        <v>277</v>
      </c>
      <c r="F796" s="70" t="s">
        <v>288</v>
      </c>
      <c r="G796" s="70">
        <v>1</v>
      </c>
      <c r="H796" s="88" t="s">
        <v>275</v>
      </c>
      <c r="I796" s="72">
        <v>42</v>
      </c>
      <c r="J796" s="72"/>
      <c r="L796" s="74"/>
      <c r="M796" s="74"/>
      <c r="N796" s="12">
        <v>0</v>
      </c>
    </row>
    <row r="797" spans="1:14" x14ac:dyDescent="0.2">
      <c r="A797" s="72" t="s">
        <v>304</v>
      </c>
      <c r="B797" s="17">
        <v>2016</v>
      </c>
      <c r="C797" s="18" t="str">
        <f t="shared" si="37"/>
        <v>Elkhorn Slough_6/29/16_Crop Circles_0</v>
      </c>
      <c r="D797" s="4" t="s">
        <v>45</v>
      </c>
      <c r="E797" s="72" t="s">
        <v>277</v>
      </c>
      <c r="F797" s="70" t="s">
        <v>288</v>
      </c>
      <c r="G797" s="70">
        <v>1</v>
      </c>
      <c r="H797" s="88" t="s">
        <v>280</v>
      </c>
      <c r="I797" s="72">
        <v>50</v>
      </c>
      <c r="J797" s="72"/>
      <c r="L797" s="74"/>
      <c r="M797" s="74"/>
      <c r="N797" s="12">
        <v>0</v>
      </c>
    </row>
    <row r="798" spans="1:14" x14ac:dyDescent="0.2">
      <c r="A798" s="73">
        <v>41128</v>
      </c>
      <c r="B798" s="17">
        <v>2016</v>
      </c>
      <c r="C798" s="18" t="str">
        <f t="shared" si="37"/>
        <v>Elkhorn Slough_41128_Crop Circles_0</v>
      </c>
      <c r="D798" s="4" t="s">
        <v>45</v>
      </c>
      <c r="E798" s="72" t="s">
        <v>277</v>
      </c>
      <c r="F798" s="70" t="s">
        <v>288</v>
      </c>
      <c r="G798" s="70">
        <v>1</v>
      </c>
      <c r="H798" s="88" t="s">
        <v>275</v>
      </c>
      <c r="I798" s="72">
        <v>42</v>
      </c>
      <c r="J798" s="72" t="s">
        <v>310</v>
      </c>
      <c r="L798" s="74"/>
      <c r="M798" s="74"/>
      <c r="N798" s="12">
        <v>0</v>
      </c>
    </row>
    <row r="799" spans="1:14" x14ac:dyDescent="0.2">
      <c r="A799" s="73">
        <v>41128</v>
      </c>
      <c r="B799" s="17">
        <v>2016</v>
      </c>
      <c r="C799" s="18" t="str">
        <f t="shared" si="37"/>
        <v>Elkhorn Slough_41128_Crop Circles_0</v>
      </c>
      <c r="D799" s="4" t="s">
        <v>45</v>
      </c>
      <c r="E799" s="72" t="s">
        <v>277</v>
      </c>
      <c r="F799" s="70" t="s">
        <v>288</v>
      </c>
      <c r="G799" s="70">
        <v>1</v>
      </c>
      <c r="H799" s="88" t="s">
        <v>280</v>
      </c>
      <c r="I799" s="72">
        <v>46</v>
      </c>
      <c r="J799" s="72" t="s">
        <v>310</v>
      </c>
      <c r="L799" s="74"/>
      <c r="M799" s="74" t="s">
        <v>325</v>
      </c>
      <c r="N799" s="12">
        <v>0</v>
      </c>
    </row>
    <row r="800" spans="1:14" x14ac:dyDescent="0.2">
      <c r="A800" s="73">
        <v>41128</v>
      </c>
      <c r="B800" s="17">
        <v>2016</v>
      </c>
      <c r="C800" s="18" t="str">
        <f t="shared" si="37"/>
        <v>Elkhorn Slough_41128_Crop Circles_0</v>
      </c>
      <c r="D800" s="4" t="s">
        <v>45</v>
      </c>
      <c r="E800" s="72" t="s">
        <v>277</v>
      </c>
      <c r="F800" s="70" t="s">
        <v>288</v>
      </c>
      <c r="G800" s="70">
        <v>1</v>
      </c>
      <c r="H800" s="88" t="s">
        <v>280</v>
      </c>
      <c r="I800" s="72">
        <v>41</v>
      </c>
      <c r="J800" s="72" t="s">
        <v>310</v>
      </c>
      <c r="L800" s="74"/>
      <c r="M800" s="74" t="s">
        <v>325</v>
      </c>
      <c r="N800" s="12">
        <v>0</v>
      </c>
    </row>
    <row r="801" spans="1:14" x14ac:dyDescent="0.2">
      <c r="A801" s="73">
        <v>41128</v>
      </c>
      <c r="B801" s="17">
        <v>2016</v>
      </c>
      <c r="C801" s="18" t="str">
        <f t="shared" si="37"/>
        <v>Elkhorn Slough_41128_Crop Circles_0</v>
      </c>
      <c r="D801" s="4" t="s">
        <v>45</v>
      </c>
      <c r="E801" s="72" t="s">
        <v>277</v>
      </c>
      <c r="F801" s="70" t="s">
        <v>288</v>
      </c>
      <c r="G801" s="70">
        <v>1</v>
      </c>
      <c r="H801" s="88" t="s">
        <v>280</v>
      </c>
      <c r="I801" s="72">
        <v>41</v>
      </c>
      <c r="J801" s="72" t="s">
        <v>310</v>
      </c>
      <c r="L801" s="74"/>
      <c r="M801" s="74" t="s">
        <v>325</v>
      </c>
      <c r="N801" s="12">
        <v>0</v>
      </c>
    </row>
    <row r="802" spans="1:14" x14ac:dyDescent="0.2">
      <c r="A802" s="73">
        <v>41128</v>
      </c>
      <c r="B802" s="17">
        <v>2016</v>
      </c>
      <c r="C802" s="18" t="str">
        <f t="shared" si="37"/>
        <v>Elkhorn Slough_41128_Crop Circles_0</v>
      </c>
      <c r="D802" s="4" t="s">
        <v>45</v>
      </c>
      <c r="E802" s="72" t="s">
        <v>277</v>
      </c>
      <c r="F802" s="70" t="s">
        <v>288</v>
      </c>
      <c r="G802" s="70">
        <v>1</v>
      </c>
      <c r="H802" s="88" t="s">
        <v>278</v>
      </c>
      <c r="I802" s="72">
        <v>34</v>
      </c>
      <c r="J802" s="72" t="s">
        <v>309</v>
      </c>
      <c r="L802" s="74"/>
      <c r="M802" s="74" t="s">
        <v>325</v>
      </c>
      <c r="N802" s="12">
        <v>0</v>
      </c>
    </row>
    <row r="803" spans="1:14" x14ac:dyDescent="0.2">
      <c r="A803" s="73">
        <v>41129</v>
      </c>
      <c r="B803" s="17">
        <v>2016</v>
      </c>
      <c r="C803" s="18" t="str">
        <f t="shared" si="37"/>
        <v>Elkhorn Slough_41129_Crop Circles_0</v>
      </c>
      <c r="D803" s="4" t="s">
        <v>45</v>
      </c>
      <c r="E803" s="72" t="s">
        <v>277</v>
      </c>
      <c r="F803" s="70" t="s">
        <v>288</v>
      </c>
      <c r="G803" s="70">
        <v>1</v>
      </c>
      <c r="H803" s="88" t="s">
        <v>280</v>
      </c>
      <c r="I803" s="72">
        <v>39</v>
      </c>
      <c r="J803" s="72" t="s">
        <v>309</v>
      </c>
      <c r="L803" s="74"/>
      <c r="M803" s="74" t="s">
        <v>325</v>
      </c>
      <c r="N803" s="12">
        <v>0</v>
      </c>
    </row>
    <row r="804" spans="1:14" x14ac:dyDescent="0.2">
      <c r="A804" s="73">
        <v>41131</v>
      </c>
      <c r="B804" s="17">
        <v>2016</v>
      </c>
      <c r="C804" s="18" t="str">
        <f t="shared" si="37"/>
        <v>Elkhorn Slough_41131_Crop Circles_0.4861</v>
      </c>
      <c r="D804" s="4" t="s">
        <v>45</v>
      </c>
      <c r="E804" s="72" t="s">
        <v>277</v>
      </c>
      <c r="F804" s="70" t="s">
        <v>288</v>
      </c>
      <c r="G804" s="70">
        <v>1</v>
      </c>
      <c r="H804" s="88" t="s">
        <v>280</v>
      </c>
      <c r="I804" s="72">
        <v>59</v>
      </c>
      <c r="J804" s="72" t="s">
        <v>310</v>
      </c>
      <c r="L804" s="74" t="s">
        <v>315</v>
      </c>
      <c r="M804" s="74" t="s">
        <v>326</v>
      </c>
      <c r="N804" s="12">
        <f t="shared" ref="N804" si="40">L804-M804</f>
        <v>5.5555555555555358E-3</v>
      </c>
    </row>
    <row r="805" spans="1:14" x14ac:dyDescent="0.2">
      <c r="A805" s="73">
        <v>41143</v>
      </c>
      <c r="B805" s="17">
        <v>2016</v>
      </c>
      <c r="C805" s="18" t="str">
        <f t="shared" si="37"/>
        <v>Elkhorn Slough_41143_Crop Circles_0</v>
      </c>
      <c r="D805" s="4" t="s">
        <v>45</v>
      </c>
      <c r="E805" s="72" t="s">
        <v>277</v>
      </c>
      <c r="F805" s="70" t="s">
        <v>288</v>
      </c>
      <c r="G805" s="70">
        <v>1</v>
      </c>
      <c r="H805" s="88" t="s">
        <v>278</v>
      </c>
      <c r="I805" s="72">
        <v>42</v>
      </c>
      <c r="J805" s="72" t="s">
        <v>310</v>
      </c>
      <c r="L805" s="74"/>
      <c r="M805" s="74" t="s">
        <v>327</v>
      </c>
      <c r="N805" s="12">
        <v>0</v>
      </c>
    </row>
    <row r="806" spans="1:14" x14ac:dyDescent="0.2">
      <c r="A806" s="73">
        <v>41143</v>
      </c>
      <c r="B806" s="17">
        <v>2016</v>
      </c>
      <c r="C806" s="18" t="str">
        <f t="shared" si="37"/>
        <v>Elkhorn Slough_41143_Crop Circles_0</v>
      </c>
      <c r="D806" s="4" t="s">
        <v>45</v>
      </c>
      <c r="E806" s="72" t="s">
        <v>277</v>
      </c>
      <c r="F806" s="70" t="s">
        <v>288</v>
      </c>
      <c r="G806" s="70">
        <v>1</v>
      </c>
      <c r="H806" s="88" t="s">
        <v>275</v>
      </c>
      <c r="I806" s="72">
        <v>62</v>
      </c>
      <c r="J806" s="72"/>
      <c r="L806" s="74"/>
      <c r="M806" s="74" t="s">
        <v>328</v>
      </c>
      <c r="N806" s="12">
        <v>0</v>
      </c>
    </row>
    <row r="807" spans="1:14" x14ac:dyDescent="0.2">
      <c r="A807" s="73">
        <v>41143</v>
      </c>
      <c r="B807" s="17">
        <v>2016</v>
      </c>
      <c r="C807" s="18" t="str">
        <f t="shared" si="37"/>
        <v>Elkhorn Slough_41143_Crop Circles_0</v>
      </c>
      <c r="D807" s="4" t="s">
        <v>45</v>
      </c>
      <c r="E807" s="72" t="s">
        <v>277</v>
      </c>
      <c r="F807" s="70" t="s">
        <v>288</v>
      </c>
      <c r="G807" s="70">
        <v>1</v>
      </c>
      <c r="H807" s="88" t="s">
        <v>280</v>
      </c>
      <c r="I807" s="72">
        <v>48</v>
      </c>
      <c r="J807" s="72" t="s">
        <v>310</v>
      </c>
      <c r="L807" s="74"/>
      <c r="M807" s="74" t="s">
        <v>328</v>
      </c>
      <c r="N807" s="12">
        <v>0</v>
      </c>
    </row>
    <row r="808" spans="1:14" x14ac:dyDescent="0.2">
      <c r="A808" s="73">
        <v>41144</v>
      </c>
      <c r="B808" s="17">
        <v>2016</v>
      </c>
      <c r="C808" s="18" t="str">
        <f t="shared" si="37"/>
        <v>Elkhorn Slough_41144_Crop Circles_0</v>
      </c>
      <c r="D808" s="4" t="s">
        <v>45</v>
      </c>
      <c r="E808" s="72" t="s">
        <v>277</v>
      </c>
      <c r="F808" s="70" t="s">
        <v>288</v>
      </c>
      <c r="G808" s="70">
        <v>1</v>
      </c>
      <c r="H808" s="88" t="s">
        <v>275</v>
      </c>
      <c r="I808" s="72">
        <v>44</v>
      </c>
      <c r="J808" s="72" t="s">
        <v>309</v>
      </c>
      <c r="L808" s="74"/>
      <c r="M808" s="74" t="s">
        <v>328</v>
      </c>
      <c r="N808" s="12">
        <v>0</v>
      </c>
    </row>
    <row r="809" spans="1:14" x14ac:dyDescent="0.2">
      <c r="A809" s="73">
        <v>41144</v>
      </c>
      <c r="B809" s="17">
        <v>2016</v>
      </c>
      <c r="C809" s="18" t="str">
        <f t="shared" si="37"/>
        <v>Elkhorn Slough_41144_Crop Circles_0.5</v>
      </c>
      <c r="D809" s="4" t="s">
        <v>45</v>
      </c>
      <c r="E809" s="72" t="s">
        <v>277</v>
      </c>
      <c r="F809" s="70" t="s">
        <v>288</v>
      </c>
      <c r="G809" s="70">
        <v>1</v>
      </c>
      <c r="H809" s="88" t="s">
        <v>275</v>
      </c>
      <c r="I809" s="72">
        <v>48</v>
      </c>
      <c r="J809" s="72" t="s">
        <v>310</v>
      </c>
      <c r="L809" s="74" t="s">
        <v>313</v>
      </c>
      <c r="M809" s="74" t="s">
        <v>329</v>
      </c>
      <c r="N809" s="12">
        <f t="shared" ref="N809:N814" si="41">L809-M809</f>
        <v>1.6666666666666663E-2</v>
      </c>
    </row>
    <row r="810" spans="1:14" x14ac:dyDescent="0.2">
      <c r="A810" s="73">
        <v>41144</v>
      </c>
      <c r="B810" s="17">
        <v>2016</v>
      </c>
      <c r="C810" s="18" t="str">
        <f t="shared" si="37"/>
        <v>Elkhorn Slough_41144_Crop Circles_0.5</v>
      </c>
      <c r="D810" s="4" t="s">
        <v>45</v>
      </c>
      <c r="E810" s="72" t="s">
        <v>277</v>
      </c>
      <c r="F810" s="70" t="s">
        <v>288</v>
      </c>
      <c r="G810" s="70">
        <v>1</v>
      </c>
      <c r="H810" s="88" t="s">
        <v>275</v>
      </c>
      <c r="I810" s="72">
        <v>57</v>
      </c>
      <c r="J810" s="72" t="s">
        <v>309</v>
      </c>
      <c r="L810" s="74" t="s">
        <v>313</v>
      </c>
      <c r="M810" s="74" t="s">
        <v>329</v>
      </c>
      <c r="N810" s="12">
        <f t="shared" si="41"/>
        <v>1.6666666666666663E-2</v>
      </c>
    </row>
    <row r="811" spans="1:14" x14ac:dyDescent="0.2">
      <c r="A811" s="73">
        <v>41144</v>
      </c>
      <c r="B811" s="17">
        <v>2016</v>
      </c>
      <c r="C811" s="18" t="str">
        <f t="shared" si="37"/>
        <v>Elkhorn Slough_41144_Crop Circles_0.5</v>
      </c>
      <c r="D811" s="4" t="s">
        <v>45</v>
      </c>
      <c r="E811" s="72" t="s">
        <v>277</v>
      </c>
      <c r="F811" s="70" t="s">
        <v>288</v>
      </c>
      <c r="G811" s="70">
        <v>1</v>
      </c>
      <c r="H811" s="88" t="s">
        <v>280</v>
      </c>
      <c r="I811" s="72">
        <v>62</v>
      </c>
      <c r="J811" s="72" t="s">
        <v>309</v>
      </c>
      <c r="L811" s="74" t="s">
        <v>313</v>
      </c>
      <c r="M811" s="74" t="s">
        <v>329</v>
      </c>
      <c r="N811" s="12">
        <f t="shared" si="41"/>
        <v>1.6666666666666663E-2</v>
      </c>
    </row>
    <row r="812" spans="1:14" x14ac:dyDescent="0.2">
      <c r="A812" s="73">
        <v>41144</v>
      </c>
      <c r="B812" s="17">
        <v>2016</v>
      </c>
      <c r="C812" s="18" t="str">
        <f t="shared" si="37"/>
        <v>Elkhorn Slough_41144_Crop Circles_0.5</v>
      </c>
      <c r="D812" s="4" t="s">
        <v>45</v>
      </c>
      <c r="E812" s="72" t="s">
        <v>277</v>
      </c>
      <c r="F812" s="70" t="s">
        <v>288</v>
      </c>
      <c r="G812" s="70">
        <v>1</v>
      </c>
      <c r="H812" s="88" t="s">
        <v>280</v>
      </c>
      <c r="I812" s="72">
        <v>47</v>
      </c>
      <c r="J812" s="72" t="s">
        <v>309</v>
      </c>
      <c r="L812" s="74" t="s">
        <v>313</v>
      </c>
      <c r="M812" s="74" t="s">
        <v>329</v>
      </c>
      <c r="N812" s="12">
        <f t="shared" si="41"/>
        <v>1.6666666666666663E-2</v>
      </c>
    </row>
    <row r="813" spans="1:14" x14ac:dyDescent="0.2">
      <c r="A813" s="73">
        <v>41144</v>
      </c>
      <c r="B813" s="17">
        <v>2016</v>
      </c>
      <c r="C813" s="18" t="str">
        <f t="shared" si="37"/>
        <v>Elkhorn Slough_41144_Crop Circles_0.5</v>
      </c>
      <c r="D813" s="4" t="s">
        <v>45</v>
      </c>
      <c r="E813" s="72" t="s">
        <v>277</v>
      </c>
      <c r="F813" s="70" t="s">
        <v>288</v>
      </c>
      <c r="G813" s="70">
        <v>1</v>
      </c>
      <c r="H813" s="88" t="s">
        <v>278</v>
      </c>
      <c r="I813" s="72">
        <v>40</v>
      </c>
      <c r="J813" s="72" t="s">
        <v>310</v>
      </c>
      <c r="L813" s="74" t="s">
        <v>313</v>
      </c>
      <c r="M813" s="74" t="s">
        <v>329</v>
      </c>
      <c r="N813" s="12">
        <f t="shared" si="41"/>
        <v>1.6666666666666663E-2</v>
      </c>
    </row>
    <row r="814" spans="1:14" x14ac:dyDescent="0.2">
      <c r="A814" s="71">
        <v>41006</v>
      </c>
      <c r="B814" s="17">
        <v>2016</v>
      </c>
      <c r="C814" s="18" t="str">
        <f t="shared" si="37"/>
        <v>Elkhorn Slough_41006_Seal Bend_0.5</v>
      </c>
      <c r="D814" s="4" t="s">
        <v>45</v>
      </c>
      <c r="E814" s="72" t="s">
        <v>157</v>
      </c>
      <c r="F814" s="70" t="s">
        <v>288</v>
      </c>
      <c r="G814" s="70">
        <v>1</v>
      </c>
      <c r="H814" s="88" t="s">
        <v>276</v>
      </c>
      <c r="I814" s="72">
        <v>33</v>
      </c>
      <c r="J814" s="72"/>
      <c r="L814" s="74" t="s">
        <v>313</v>
      </c>
      <c r="M814" s="74" t="s">
        <v>329</v>
      </c>
      <c r="N814" s="12">
        <f t="shared" si="41"/>
        <v>1.6666666666666663E-2</v>
      </c>
    </row>
    <row r="815" spans="1:14" x14ac:dyDescent="0.2">
      <c r="A815" s="71">
        <v>41067</v>
      </c>
      <c r="B815" s="17">
        <v>2016</v>
      </c>
      <c r="C815" s="18" t="str">
        <f t="shared" si="37"/>
        <v>Elkhorn Slough_41067_Seal Bend_0</v>
      </c>
      <c r="D815" s="4" t="s">
        <v>45</v>
      </c>
      <c r="E815" s="72" t="s">
        <v>157</v>
      </c>
      <c r="F815" s="70" t="s">
        <v>288</v>
      </c>
      <c r="G815" s="70">
        <v>1</v>
      </c>
      <c r="H815" s="88" t="s">
        <v>275</v>
      </c>
      <c r="I815" s="72">
        <v>39</v>
      </c>
      <c r="J815" s="72" t="s">
        <v>292</v>
      </c>
      <c r="L815" s="74"/>
      <c r="M815" s="74"/>
      <c r="N815" s="12">
        <v>0</v>
      </c>
    </row>
    <row r="816" spans="1:14" x14ac:dyDescent="0.2">
      <c r="A816" s="71">
        <v>41067</v>
      </c>
      <c r="B816" s="17">
        <v>2016</v>
      </c>
      <c r="C816" s="18" t="str">
        <f t="shared" si="37"/>
        <v>Elkhorn Slough_41067_Seal Bend_0</v>
      </c>
      <c r="D816" s="4" t="s">
        <v>45</v>
      </c>
      <c r="E816" s="72" t="s">
        <v>157</v>
      </c>
      <c r="F816" s="70" t="s">
        <v>288</v>
      </c>
      <c r="G816" s="70">
        <v>1</v>
      </c>
      <c r="H816" s="88" t="s">
        <v>275</v>
      </c>
      <c r="I816" s="72">
        <v>39</v>
      </c>
      <c r="J816" s="72" t="s">
        <v>292</v>
      </c>
      <c r="L816" s="74"/>
      <c r="M816" s="74"/>
      <c r="N816" s="12">
        <v>0</v>
      </c>
    </row>
    <row r="817" spans="1:14" x14ac:dyDescent="0.2">
      <c r="A817" s="72" t="s">
        <v>302</v>
      </c>
      <c r="B817" s="17">
        <v>2016</v>
      </c>
      <c r="C817" s="18" t="str">
        <f t="shared" si="37"/>
        <v>Elkhorn Slough_6/26/16_Seal Bend_0</v>
      </c>
      <c r="D817" s="4" t="s">
        <v>45</v>
      </c>
      <c r="E817" s="72" t="s">
        <v>157</v>
      </c>
      <c r="F817" s="70" t="s">
        <v>288</v>
      </c>
      <c r="G817" s="70">
        <v>1</v>
      </c>
      <c r="H817" s="88" t="s">
        <v>276</v>
      </c>
      <c r="I817" s="72">
        <v>42</v>
      </c>
      <c r="J817" s="72"/>
      <c r="L817" s="74"/>
      <c r="M817" s="74"/>
      <c r="N817" s="12">
        <v>0</v>
      </c>
    </row>
    <row r="818" spans="1:14" x14ac:dyDescent="0.2">
      <c r="A818" s="72" t="s">
        <v>305</v>
      </c>
      <c r="B818" s="17">
        <v>2016</v>
      </c>
      <c r="C818" s="18" t="str">
        <f t="shared" si="37"/>
        <v>Elkhorn Slough_6/30/16_Seal Bend_0</v>
      </c>
      <c r="D818" s="4" t="s">
        <v>45</v>
      </c>
      <c r="E818" s="72" t="s">
        <v>157</v>
      </c>
      <c r="F818" s="70" t="s">
        <v>288</v>
      </c>
      <c r="G818" s="70">
        <v>1</v>
      </c>
      <c r="H818" s="88" t="s">
        <v>275</v>
      </c>
      <c r="I818" s="72">
        <v>53</v>
      </c>
      <c r="J818" s="72"/>
      <c r="L818" s="74"/>
      <c r="M818" s="74"/>
      <c r="N818" s="12">
        <v>0</v>
      </c>
    </row>
    <row r="819" spans="1:14" x14ac:dyDescent="0.2">
      <c r="A819" s="72" t="s">
        <v>305</v>
      </c>
      <c r="B819" s="17">
        <v>2016</v>
      </c>
      <c r="C819" s="18" t="str">
        <f t="shared" si="37"/>
        <v>Elkhorn Slough_6/30/16_Seal Bend_0</v>
      </c>
      <c r="D819" s="4" t="s">
        <v>45</v>
      </c>
      <c r="E819" s="72" t="s">
        <v>157</v>
      </c>
      <c r="F819" s="70" t="s">
        <v>288</v>
      </c>
      <c r="G819" s="70">
        <v>1</v>
      </c>
      <c r="H819" s="88" t="s">
        <v>275</v>
      </c>
      <c r="I819" s="72">
        <v>46</v>
      </c>
      <c r="J819" s="72"/>
      <c r="L819" s="74"/>
      <c r="M819" s="74"/>
      <c r="N819" s="12">
        <v>0</v>
      </c>
    </row>
    <row r="820" spans="1:14" x14ac:dyDescent="0.2">
      <c r="A820" s="72" t="s">
        <v>305</v>
      </c>
      <c r="B820" s="17">
        <v>2016</v>
      </c>
      <c r="C820" s="18" t="str">
        <f t="shared" si="37"/>
        <v>Elkhorn Slough_6/30/16_Seal Bend_0</v>
      </c>
      <c r="D820" s="4" t="s">
        <v>45</v>
      </c>
      <c r="E820" s="72" t="s">
        <v>157</v>
      </c>
      <c r="F820" s="70" t="s">
        <v>288</v>
      </c>
      <c r="G820" s="70">
        <v>1</v>
      </c>
      <c r="H820" s="88" t="s">
        <v>306</v>
      </c>
      <c r="I820" s="72">
        <v>45</v>
      </c>
      <c r="J820" s="72"/>
      <c r="L820" s="74"/>
      <c r="M820" s="74"/>
      <c r="N820" s="12">
        <v>0</v>
      </c>
    </row>
    <row r="821" spans="1:14" x14ac:dyDescent="0.2">
      <c r="A821" s="72" t="s">
        <v>305</v>
      </c>
      <c r="B821" s="17">
        <v>2016</v>
      </c>
      <c r="C821" s="18" t="str">
        <f t="shared" si="37"/>
        <v>Elkhorn Slough_6/30/16_Seal Bend_0</v>
      </c>
      <c r="D821" s="4" t="s">
        <v>45</v>
      </c>
      <c r="E821" s="72" t="s">
        <v>157</v>
      </c>
      <c r="F821" s="70" t="s">
        <v>288</v>
      </c>
      <c r="G821" s="70">
        <v>1</v>
      </c>
      <c r="H821" s="88" t="s">
        <v>307</v>
      </c>
      <c r="I821" s="72">
        <v>32</v>
      </c>
      <c r="J821" s="72"/>
      <c r="L821" s="74"/>
      <c r="M821" s="74"/>
      <c r="N821" s="12">
        <v>0</v>
      </c>
    </row>
    <row r="822" spans="1:14" x14ac:dyDescent="0.2">
      <c r="A822" s="73">
        <v>41127</v>
      </c>
      <c r="B822" s="17">
        <v>2016</v>
      </c>
      <c r="C822" s="18" t="str">
        <f t="shared" si="37"/>
        <v>Elkhorn Slough_41127_Seal Bend_0</v>
      </c>
      <c r="D822" s="4" t="s">
        <v>45</v>
      </c>
      <c r="E822" s="72" t="s">
        <v>157</v>
      </c>
      <c r="F822" s="70" t="s">
        <v>288</v>
      </c>
      <c r="G822" s="70">
        <v>1</v>
      </c>
      <c r="H822" s="88" t="s">
        <v>275</v>
      </c>
      <c r="I822" s="72">
        <v>57</v>
      </c>
      <c r="J822" s="72"/>
      <c r="L822" s="74"/>
      <c r="M822" s="74"/>
      <c r="N822" s="12">
        <v>0</v>
      </c>
    </row>
    <row r="823" spans="1:14" x14ac:dyDescent="0.2">
      <c r="A823" s="73">
        <v>41128</v>
      </c>
      <c r="B823" s="17">
        <v>2016</v>
      </c>
      <c r="C823" s="18" t="str">
        <f t="shared" si="37"/>
        <v>Elkhorn Slough_41128_Seal Bend_0</v>
      </c>
      <c r="D823" s="4" t="s">
        <v>45</v>
      </c>
      <c r="E823" s="72" t="s">
        <v>157</v>
      </c>
      <c r="F823" s="70" t="s">
        <v>288</v>
      </c>
      <c r="G823" s="70">
        <v>1</v>
      </c>
      <c r="H823" s="88" t="s">
        <v>275</v>
      </c>
      <c r="I823" s="72">
        <v>51</v>
      </c>
      <c r="J823" s="72" t="s">
        <v>309</v>
      </c>
      <c r="L823" s="74"/>
      <c r="M823" s="74"/>
      <c r="N823" s="12">
        <v>0</v>
      </c>
    </row>
    <row r="824" spans="1:14" x14ac:dyDescent="0.2">
      <c r="A824" s="73">
        <v>41128</v>
      </c>
      <c r="B824" s="17">
        <v>2016</v>
      </c>
      <c r="C824" s="18" t="str">
        <f t="shared" si="37"/>
        <v>Elkhorn Slough_41128_Seal Bend_0</v>
      </c>
      <c r="D824" s="4" t="s">
        <v>45</v>
      </c>
      <c r="E824" s="72" t="s">
        <v>157</v>
      </c>
      <c r="F824" s="70" t="s">
        <v>288</v>
      </c>
      <c r="G824" s="70">
        <v>1</v>
      </c>
      <c r="H824" s="88" t="s">
        <v>306</v>
      </c>
      <c r="I824" s="72">
        <v>37</v>
      </c>
      <c r="J824" s="72" t="s">
        <v>310</v>
      </c>
      <c r="L824" s="74"/>
      <c r="M824" s="74"/>
      <c r="N824" s="12">
        <v>0</v>
      </c>
    </row>
    <row r="825" spans="1:14" x14ac:dyDescent="0.2">
      <c r="A825" s="73">
        <v>41128</v>
      </c>
      <c r="B825" s="17">
        <v>2016</v>
      </c>
      <c r="C825" s="18" t="str">
        <f t="shared" si="37"/>
        <v>Elkhorn Slough_41128_Seal Bend_0</v>
      </c>
      <c r="D825" s="4" t="s">
        <v>45</v>
      </c>
      <c r="E825" s="72" t="s">
        <v>157</v>
      </c>
      <c r="F825" s="70" t="s">
        <v>288</v>
      </c>
      <c r="G825" s="70">
        <v>1</v>
      </c>
      <c r="H825" s="88" t="s">
        <v>306</v>
      </c>
      <c r="I825" s="72">
        <v>48</v>
      </c>
      <c r="J825" s="72" t="s">
        <v>309</v>
      </c>
      <c r="L825" s="74"/>
      <c r="M825" s="74"/>
      <c r="N825" s="12">
        <v>0</v>
      </c>
    </row>
    <row r="826" spans="1:14" x14ac:dyDescent="0.2">
      <c r="A826" s="73">
        <v>41129</v>
      </c>
      <c r="B826" s="17">
        <v>2016</v>
      </c>
      <c r="C826" s="18" t="str">
        <f t="shared" si="37"/>
        <v>Elkhorn Slough_41129_Seal Bend_0</v>
      </c>
      <c r="D826" s="4" t="s">
        <v>45</v>
      </c>
      <c r="E826" s="72" t="s">
        <v>157</v>
      </c>
      <c r="F826" s="70" t="s">
        <v>288</v>
      </c>
      <c r="G826" s="70">
        <v>1</v>
      </c>
      <c r="H826" s="88" t="s">
        <v>278</v>
      </c>
      <c r="I826" s="72">
        <v>38</v>
      </c>
      <c r="J826" s="72" t="s">
        <v>309</v>
      </c>
      <c r="L826" s="74"/>
      <c r="M826" s="74"/>
      <c r="N826" s="12">
        <v>0</v>
      </c>
    </row>
    <row r="827" spans="1:14" x14ac:dyDescent="0.2">
      <c r="A827" s="73">
        <v>41131</v>
      </c>
      <c r="B827" s="17">
        <v>2016</v>
      </c>
      <c r="C827" s="18" t="str">
        <f t="shared" si="37"/>
        <v>Elkhorn Slough_41131_Seal Bend_0.5319</v>
      </c>
      <c r="D827" s="4" t="s">
        <v>45</v>
      </c>
      <c r="E827" s="72" t="s">
        <v>157</v>
      </c>
      <c r="F827" s="70" t="s">
        <v>288</v>
      </c>
      <c r="G827" s="70">
        <v>1</v>
      </c>
      <c r="H827" s="88" t="s">
        <v>275</v>
      </c>
      <c r="I827" s="72">
        <v>48</v>
      </c>
      <c r="J827" s="72" t="s">
        <v>309</v>
      </c>
      <c r="L827" s="74" t="s">
        <v>316</v>
      </c>
      <c r="M827" s="74" t="s">
        <v>330</v>
      </c>
      <c r="N827" s="12">
        <f t="shared" ref="N827" si="42">L827-M827</f>
        <v>-4.1666666666666741E-2</v>
      </c>
    </row>
    <row r="828" spans="1:14" x14ac:dyDescent="0.2">
      <c r="A828" s="73">
        <v>41131</v>
      </c>
      <c r="B828" s="17">
        <v>2016</v>
      </c>
      <c r="C828" s="18" t="str">
        <f t="shared" si="37"/>
        <v>Elkhorn Slough_41131_Seal Bend_0</v>
      </c>
      <c r="D828" s="4" t="s">
        <v>45</v>
      </c>
      <c r="E828" s="72" t="s">
        <v>157</v>
      </c>
      <c r="F828" s="70" t="s">
        <v>288</v>
      </c>
      <c r="G828" s="70">
        <v>1</v>
      </c>
      <c r="H828" s="88" t="s">
        <v>275</v>
      </c>
      <c r="I828" s="72">
        <v>54</v>
      </c>
      <c r="J828" s="72" t="s">
        <v>310</v>
      </c>
      <c r="L828" s="74"/>
      <c r="M828" s="74" t="s">
        <v>331</v>
      </c>
      <c r="N828" s="12">
        <v>0</v>
      </c>
    </row>
    <row r="829" spans="1:14" x14ac:dyDescent="0.2">
      <c r="A829" s="73">
        <v>41131</v>
      </c>
      <c r="B829" s="17">
        <v>2016</v>
      </c>
      <c r="C829" s="18" t="str">
        <f t="shared" si="37"/>
        <v>Elkhorn Slough_41131_Seal Bend_0</v>
      </c>
      <c r="D829" s="4" t="s">
        <v>45</v>
      </c>
      <c r="E829" s="72" t="s">
        <v>157</v>
      </c>
      <c r="F829" s="70" t="s">
        <v>288</v>
      </c>
      <c r="G829" s="70">
        <v>1</v>
      </c>
      <c r="H829" s="88" t="s">
        <v>275</v>
      </c>
      <c r="I829" s="72">
        <v>47</v>
      </c>
      <c r="J829" s="72" t="s">
        <v>309</v>
      </c>
      <c r="L829" s="74"/>
      <c r="M829" s="74" t="s">
        <v>331</v>
      </c>
      <c r="N829" s="12">
        <v>0</v>
      </c>
    </row>
    <row r="830" spans="1:14" x14ac:dyDescent="0.2">
      <c r="A830" s="73">
        <v>41131</v>
      </c>
      <c r="B830" s="17">
        <v>2016</v>
      </c>
      <c r="C830" s="18" t="str">
        <f t="shared" si="37"/>
        <v>Elkhorn Slough_41131_Seal Bend_0</v>
      </c>
      <c r="D830" s="4" t="s">
        <v>45</v>
      </c>
      <c r="E830" s="72" t="s">
        <v>157</v>
      </c>
      <c r="F830" s="70" t="s">
        <v>288</v>
      </c>
      <c r="G830" s="70">
        <v>1</v>
      </c>
      <c r="H830" s="88" t="s">
        <v>275</v>
      </c>
      <c r="I830" s="72">
        <v>80</v>
      </c>
      <c r="J830" s="72" t="s">
        <v>309</v>
      </c>
      <c r="L830" s="74"/>
      <c r="M830" s="74" t="s">
        <v>331</v>
      </c>
      <c r="N830" s="12">
        <v>0</v>
      </c>
    </row>
    <row r="831" spans="1:14" x14ac:dyDescent="0.2">
      <c r="A831" s="73">
        <v>41137</v>
      </c>
      <c r="B831" s="17">
        <v>2016</v>
      </c>
      <c r="C831" s="18" t="str">
        <f t="shared" si="37"/>
        <v>Elkhorn Slough_41137_Seal Bend_0</v>
      </c>
      <c r="D831" s="4" t="s">
        <v>45</v>
      </c>
      <c r="E831" s="72" t="s">
        <v>157</v>
      </c>
      <c r="F831" s="70" t="s">
        <v>288</v>
      </c>
      <c r="G831" s="70">
        <v>1</v>
      </c>
      <c r="H831" s="88" t="s">
        <v>306</v>
      </c>
      <c r="I831" s="72">
        <v>51</v>
      </c>
      <c r="J831" s="72" t="s">
        <v>309</v>
      </c>
      <c r="L831" s="74"/>
      <c r="M831" s="74" t="s">
        <v>331</v>
      </c>
      <c r="N831" s="12">
        <v>0</v>
      </c>
    </row>
    <row r="832" spans="1:14" x14ac:dyDescent="0.2">
      <c r="A832" s="73">
        <v>41137</v>
      </c>
      <c r="B832" s="17">
        <v>2016</v>
      </c>
      <c r="C832" s="18" t="str">
        <f t="shared" si="37"/>
        <v>Elkhorn Slough_41137_Seal Bend_0.3972</v>
      </c>
      <c r="D832" s="4" t="s">
        <v>45</v>
      </c>
      <c r="E832" s="72" t="s">
        <v>157</v>
      </c>
      <c r="F832" s="70" t="s">
        <v>288</v>
      </c>
      <c r="G832" s="70">
        <v>1</v>
      </c>
      <c r="H832" s="88" t="s">
        <v>276</v>
      </c>
      <c r="I832" s="72">
        <v>32</v>
      </c>
      <c r="J832" s="72" t="s">
        <v>309</v>
      </c>
      <c r="L832" s="74" t="s">
        <v>317</v>
      </c>
      <c r="M832" s="74" t="s">
        <v>332</v>
      </c>
      <c r="N832" s="12">
        <f t="shared" ref="N832:N836" si="43">L832-M832</f>
        <v>-0.16597222222222224</v>
      </c>
    </row>
    <row r="833" spans="1:14" x14ac:dyDescent="0.2">
      <c r="A833" s="73">
        <v>41139</v>
      </c>
      <c r="B833" s="17">
        <v>2016</v>
      </c>
      <c r="C833" s="18" t="str">
        <f t="shared" si="37"/>
        <v>Elkhorn Slough_41139_Seal Bend_0.3972</v>
      </c>
      <c r="D833" s="4" t="s">
        <v>45</v>
      </c>
      <c r="E833" s="72" t="s">
        <v>157</v>
      </c>
      <c r="F833" s="70" t="s">
        <v>288</v>
      </c>
      <c r="G833" s="70">
        <v>1</v>
      </c>
      <c r="H833" s="88" t="s">
        <v>275</v>
      </c>
      <c r="I833" s="72">
        <v>37</v>
      </c>
      <c r="J833" s="72" t="s">
        <v>309</v>
      </c>
      <c r="L833" s="74" t="s">
        <v>317</v>
      </c>
      <c r="M833" s="74" t="s">
        <v>332</v>
      </c>
      <c r="N833" s="12">
        <f t="shared" si="43"/>
        <v>-0.16597222222222224</v>
      </c>
    </row>
    <row r="834" spans="1:14" x14ac:dyDescent="0.2">
      <c r="A834" s="73">
        <v>41139</v>
      </c>
      <c r="B834" s="17">
        <v>2016</v>
      </c>
      <c r="C834" s="18" t="str">
        <f t="shared" si="37"/>
        <v>Elkhorn Slough_41139_Seal Bend_0.5653</v>
      </c>
      <c r="D834" s="4" t="s">
        <v>45</v>
      </c>
      <c r="E834" s="72" t="s">
        <v>157</v>
      </c>
      <c r="F834" s="70" t="s">
        <v>288</v>
      </c>
      <c r="G834" s="70">
        <v>1</v>
      </c>
      <c r="H834" s="88" t="s">
        <v>278</v>
      </c>
      <c r="I834" s="72">
        <v>44</v>
      </c>
      <c r="J834" s="72" t="s">
        <v>309</v>
      </c>
      <c r="L834" s="74" t="s">
        <v>318</v>
      </c>
      <c r="M834" s="74" t="s">
        <v>333</v>
      </c>
      <c r="N834" s="12">
        <f t="shared" si="43"/>
        <v>1.2499999999999956E-2</v>
      </c>
    </row>
    <row r="835" spans="1:14" x14ac:dyDescent="0.2">
      <c r="A835" s="73">
        <v>41139</v>
      </c>
      <c r="B835" s="17">
        <v>2016</v>
      </c>
      <c r="C835" s="18" t="str">
        <f t="shared" ref="C835:C842" si="44">CONCATENATE(D835,"_",A835,"_",E835,"_",ROUND(L835,4))</f>
        <v>Elkhorn Slough_41139_Seal Bend_0.5653</v>
      </c>
      <c r="D835" s="4" t="s">
        <v>45</v>
      </c>
      <c r="E835" s="72" t="s">
        <v>157</v>
      </c>
      <c r="F835" s="70" t="s">
        <v>288</v>
      </c>
      <c r="G835" s="70">
        <v>1</v>
      </c>
      <c r="H835" s="88" t="s">
        <v>306</v>
      </c>
      <c r="I835" s="72">
        <v>49</v>
      </c>
      <c r="J835" s="72" t="s">
        <v>309</v>
      </c>
      <c r="L835" s="74" t="s">
        <v>318</v>
      </c>
      <c r="M835" s="74" t="s">
        <v>333</v>
      </c>
      <c r="N835" s="12">
        <f t="shared" si="43"/>
        <v>1.2499999999999956E-2</v>
      </c>
    </row>
    <row r="836" spans="1:14" x14ac:dyDescent="0.2">
      <c r="A836" s="73">
        <v>41140</v>
      </c>
      <c r="B836" s="17">
        <v>2016</v>
      </c>
      <c r="C836" s="18" t="str">
        <f t="shared" si="44"/>
        <v>Elkhorn Slough_41140_Seal Bend_0.5653</v>
      </c>
      <c r="D836" s="4" t="s">
        <v>45</v>
      </c>
      <c r="E836" s="72" t="s">
        <v>157</v>
      </c>
      <c r="F836" s="70" t="s">
        <v>288</v>
      </c>
      <c r="G836" s="70">
        <v>1</v>
      </c>
      <c r="H836" s="88" t="s">
        <v>306</v>
      </c>
      <c r="I836" s="72">
        <v>46</v>
      </c>
      <c r="J836" s="72" t="s">
        <v>309</v>
      </c>
      <c r="L836" s="74" t="s">
        <v>318</v>
      </c>
      <c r="M836" s="74" t="s">
        <v>333</v>
      </c>
      <c r="N836" s="12">
        <f t="shared" si="43"/>
        <v>1.2499999999999956E-2</v>
      </c>
    </row>
    <row r="837" spans="1:14" x14ac:dyDescent="0.2">
      <c r="A837" s="73">
        <v>41140</v>
      </c>
      <c r="B837" s="17">
        <v>2016</v>
      </c>
      <c r="C837" s="18" t="str">
        <f t="shared" si="44"/>
        <v>Elkhorn Slough_41140_Seal Bend_0</v>
      </c>
      <c r="D837" s="4" t="s">
        <v>45</v>
      </c>
      <c r="E837" s="72" t="s">
        <v>157</v>
      </c>
      <c r="F837" s="70" t="s">
        <v>288</v>
      </c>
      <c r="G837" s="70">
        <v>1</v>
      </c>
      <c r="H837" s="88" t="s">
        <v>306</v>
      </c>
      <c r="I837" s="72">
        <v>45</v>
      </c>
      <c r="J837" s="72" t="s">
        <v>309</v>
      </c>
      <c r="L837" s="74"/>
      <c r="M837" s="74" t="s">
        <v>334</v>
      </c>
      <c r="N837" s="12">
        <v>0</v>
      </c>
    </row>
    <row r="838" spans="1:14" x14ac:dyDescent="0.2">
      <c r="A838" s="73">
        <v>41140</v>
      </c>
      <c r="B838" s="17">
        <v>2016</v>
      </c>
      <c r="C838" s="18" t="str">
        <f t="shared" si="44"/>
        <v>Elkhorn Slough_41140_Seal Bend_0</v>
      </c>
      <c r="D838" s="4" t="s">
        <v>45</v>
      </c>
      <c r="E838" s="72" t="s">
        <v>157</v>
      </c>
      <c r="F838" s="70" t="s">
        <v>288</v>
      </c>
      <c r="G838" s="70">
        <v>1</v>
      </c>
      <c r="H838" s="88" t="s">
        <v>306</v>
      </c>
      <c r="I838" s="72">
        <v>39</v>
      </c>
      <c r="J838" s="72" t="s">
        <v>309</v>
      </c>
      <c r="L838" s="74"/>
      <c r="M838" s="74" t="s">
        <v>334</v>
      </c>
      <c r="N838" s="12">
        <v>0</v>
      </c>
    </row>
    <row r="839" spans="1:14" x14ac:dyDescent="0.2">
      <c r="A839" s="73">
        <v>41143</v>
      </c>
      <c r="B839" s="17">
        <v>2016</v>
      </c>
      <c r="C839" s="18" t="str">
        <f t="shared" si="44"/>
        <v>Elkhorn Slough_41143_Seal Bend_0</v>
      </c>
      <c r="D839" s="4" t="s">
        <v>45</v>
      </c>
      <c r="E839" s="72" t="s">
        <v>157</v>
      </c>
      <c r="F839" s="70" t="s">
        <v>288</v>
      </c>
      <c r="G839" s="70">
        <v>1</v>
      </c>
      <c r="H839" s="88" t="s">
        <v>306</v>
      </c>
      <c r="I839" s="72">
        <v>50</v>
      </c>
      <c r="J839" s="72" t="s">
        <v>309</v>
      </c>
      <c r="L839" s="74"/>
      <c r="M839" s="74" t="s">
        <v>334</v>
      </c>
      <c r="N839" s="12">
        <v>0</v>
      </c>
    </row>
    <row r="840" spans="1:14" x14ac:dyDescent="0.2">
      <c r="A840" s="73">
        <v>41143</v>
      </c>
      <c r="B840" s="17">
        <v>2016</v>
      </c>
      <c r="C840" s="18" t="str">
        <f t="shared" si="44"/>
        <v>Elkhorn Slough_41143_Seal Bend_0.4583</v>
      </c>
      <c r="D840" s="4" t="s">
        <v>45</v>
      </c>
      <c r="E840" s="72" t="s">
        <v>157</v>
      </c>
      <c r="F840" s="70" t="s">
        <v>288</v>
      </c>
      <c r="G840" s="70">
        <v>1</v>
      </c>
      <c r="H840" s="88" t="s">
        <v>306</v>
      </c>
      <c r="I840" s="72">
        <v>34</v>
      </c>
      <c r="J840" s="72" t="s">
        <v>310</v>
      </c>
      <c r="L840" s="74" t="s">
        <v>319</v>
      </c>
      <c r="M840" s="74" t="s">
        <v>335</v>
      </c>
      <c r="N840" s="12">
        <f t="shared" ref="N840:N842" si="45">L840-M840</f>
        <v>-2.7777777777777679E-3</v>
      </c>
    </row>
    <row r="841" spans="1:14" x14ac:dyDescent="0.2">
      <c r="A841" s="73">
        <v>41143</v>
      </c>
      <c r="B841" s="17">
        <v>2016</v>
      </c>
      <c r="C841" s="18" t="str">
        <f t="shared" si="44"/>
        <v>Elkhorn Slough_41143_Seal Bend_0.4583</v>
      </c>
      <c r="D841" s="4" t="s">
        <v>45</v>
      </c>
      <c r="E841" s="72" t="s">
        <v>157</v>
      </c>
      <c r="F841" s="70" t="s">
        <v>288</v>
      </c>
      <c r="G841" s="70">
        <v>1</v>
      </c>
      <c r="H841" s="88" t="s">
        <v>306</v>
      </c>
      <c r="I841" s="72">
        <v>40</v>
      </c>
      <c r="J841" s="72" t="s">
        <v>310</v>
      </c>
      <c r="L841" s="74" t="s">
        <v>319</v>
      </c>
      <c r="M841" s="74" t="s">
        <v>335</v>
      </c>
      <c r="N841" s="12">
        <f t="shared" si="45"/>
        <v>-2.7777777777777679E-3</v>
      </c>
    </row>
    <row r="842" spans="1:14" x14ac:dyDescent="0.2">
      <c r="A842" s="73">
        <v>41143</v>
      </c>
      <c r="B842" s="17">
        <v>2016</v>
      </c>
      <c r="C842" s="18" t="str">
        <f t="shared" si="44"/>
        <v>Elkhorn Slough_41143_Seal Bend_0.4583</v>
      </c>
      <c r="D842" s="4" t="s">
        <v>45</v>
      </c>
      <c r="E842" s="72" t="s">
        <v>157</v>
      </c>
      <c r="F842" s="70" t="s">
        <v>288</v>
      </c>
      <c r="G842" s="70">
        <v>1</v>
      </c>
      <c r="H842" s="88" t="s">
        <v>308</v>
      </c>
      <c r="I842" s="72">
        <v>38</v>
      </c>
      <c r="J842" s="72" t="s">
        <v>310</v>
      </c>
      <c r="L842" s="74" t="s">
        <v>319</v>
      </c>
      <c r="M842" s="74" t="s">
        <v>335</v>
      </c>
      <c r="N842" s="12">
        <f t="shared" si="45"/>
        <v>-2.7777777777777679E-3</v>
      </c>
    </row>
    <row r="843" spans="1:14" x14ac:dyDescent="0.2">
      <c r="A843"/>
      <c r="C843"/>
      <c r="D843"/>
      <c r="F843" s="70"/>
      <c r="G843" s="70"/>
    </row>
    <row r="844" spans="1:14" x14ac:dyDescent="0.2">
      <c r="A844"/>
      <c r="C844"/>
      <c r="D844"/>
      <c r="F844" s="70"/>
      <c r="G844" s="70"/>
    </row>
    <row r="845" spans="1:14" x14ac:dyDescent="0.2">
      <c r="A845"/>
      <c r="C845"/>
      <c r="D845"/>
      <c r="F845" s="70"/>
      <c r="G845" s="70"/>
    </row>
    <row r="846" spans="1:14" x14ac:dyDescent="0.2">
      <c r="A846"/>
      <c r="C846"/>
      <c r="D846"/>
      <c r="F846" s="70"/>
      <c r="G846" s="70"/>
    </row>
    <row r="847" spans="1:14" x14ac:dyDescent="0.2">
      <c r="A847"/>
      <c r="C847"/>
      <c r="D847"/>
      <c r="F847" s="70"/>
      <c r="G847" s="70"/>
    </row>
    <row r="848" spans="1:14" x14ac:dyDescent="0.2">
      <c r="A848"/>
      <c r="C848"/>
      <c r="D848"/>
      <c r="F848" s="70"/>
      <c r="G848" s="70"/>
    </row>
    <row r="849" spans="1:7" x14ac:dyDescent="0.2">
      <c r="A849"/>
      <c r="C849"/>
      <c r="D849"/>
      <c r="F849" s="70"/>
      <c r="G849" s="70"/>
    </row>
    <row r="850" spans="1:7" x14ac:dyDescent="0.2">
      <c r="A850"/>
      <c r="C850"/>
      <c r="D850"/>
      <c r="F850" s="70"/>
      <c r="G850" s="70"/>
    </row>
  </sheetData>
  <sortState xmlns:xlrd2="http://schemas.microsoft.com/office/spreadsheetml/2017/richdata2" ref="A2:U739">
    <sortCondition ref="H2:H739"/>
    <sortCondition ref="D2:D739"/>
  </sortState>
  <phoneticPr fontId="7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0"/>
  <sheetViews>
    <sheetView zoomScale="150" zoomScaleNormal="150" zoomScalePageLayoutView="150" workbookViewId="0">
      <pane ySplit="2" topLeftCell="A12" activePane="bottomLeft" state="frozen"/>
      <selection activeCell="H861" sqref="H861"/>
      <selection pane="bottomLeft" activeCell="A18" sqref="A18:I23"/>
    </sheetView>
  </sheetViews>
  <sheetFormatPr defaultColWidth="10.125" defaultRowHeight="12.75" x14ac:dyDescent="0.2"/>
  <cols>
    <col min="1" max="1" width="37.125" style="29" customWidth="1"/>
    <col min="2" max="2" width="14.125" style="29" customWidth="1"/>
    <col min="3" max="3" width="14.375" style="29" customWidth="1"/>
    <col min="4" max="5" width="10.625" style="24" customWidth="1"/>
    <col min="6" max="6" width="9.875" style="24" customWidth="1"/>
    <col min="7" max="7" width="10.625" style="25" customWidth="1"/>
    <col min="8" max="8" width="12.5" style="25" customWidth="1"/>
    <col min="9" max="9" width="13.125" style="25" customWidth="1"/>
    <col min="10" max="10" width="5.125" style="25" customWidth="1"/>
    <col min="11" max="11" width="10.625" style="26" customWidth="1"/>
    <col min="12" max="12" width="12.5" style="29" customWidth="1"/>
    <col min="13" max="22" width="7.5" style="29" customWidth="1"/>
    <col min="23" max="16384" width="10.125" style="29"/>
  </cols>
  <sheetData>
    <row r="1" spans="1:22" ht="24" customHeight="1" x14ac:dyDescent="0.25">
      <c r="A1" s="22" t="s">
        <v>70</v>
      </c>
      <c r="B1" s="23" t="s">
        <v>71</v>
      </c>
      <c r="C1" s="23" t="s">
        <v>72</v>
      </c>
      <c r="L1" s="27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8" t="s">
        <v>79</v>
      </c>
      <c r="S1" s="28" t="s">
        <v>80</v>
      </c>
      <c r="T1" s="28" t="s">
        <v>81</v>
      </c>
      <c r="U1" s="28" t="s">
        <v>82</v>
      </c>
      <c r="V1" s="28" t="s">
        <v>83</v>
      </c>
    </row>
    <row r="2" spans="1:22" ht="15.75" x14ac:dyDescent="0.3">
      <c r="A2" s="30" t="s">
        <v>84</v>
      </c>
      <c r="B2" s="29" t="s">
        <v>85</v>
      </c>
      <c r="C2" s="30" t="s">
        <v>86</v>
      </c>
      <c r="D2" s="31" t="s">
        <v>87</v>
      </c>
      <c r="E2" s="32" t="s">
        <v>88</v>
      </c>
      <c r="F2" s="32" t="s">
        <v>89</v>
      </c>
      <c r="G2" s="33" t="s">
        <v>90</v>
      </c>
      <c r="H2" s="34" t="s">
        <v>91</v>
      </c>
      <c r="I2" s="34" t="s">
        <v>92</v>
      </c>
      <c r="J2" s="34"/>
      <c r="K2" s="26" t="s">
        <v>214</v>
      </c>
      <c r="L2" s="35" t="s">
        <v>93</v>
      </c>
      <c r="M2" s="22">
        <v>13</v>
      </c>
      <c r="N2" s="22">
        <v>26</v>
      </c>
      <c r="O2" s="22">
        <v>39</v>
      </c>
      <c r="P2" s="22">
        <v>65</v>
      </c>
      <c r="Q2" s="22">
        <v>78</v>
      </c>
      <c r="R2" s="22">
        <v>91</v>
      </c>
      <c r="S2" s="22">
        <v>117</v>
      </c>
      <c r="T2" s="22">
        <v>130</v>
      </c>
      <c r="U2" s="22">
        <v>143</v>
      </c>
      <c r="V2" s="22">
        <v>170</v>
      </c>
    </row>
    <row r="3" spans="1:22" x14ac:dyDescent="0.2">
      <c r="A3" s="36" t="s">
        <v>94</v>
      </c>
      <c r="B3" s="29" t="s">
        <v>95</v>
      </c>
      <c r="C3" s="29" t="s">
        <v>96</v>
      </c>
      <c r="D3" s="24">
        <v>1.57909464691E-4</v>
      </c>
      <c r="E3" s="37">
        <v>-7.6915842011000005E-5</v>
      </c>
      <c r="F3" s="24">
        <v>3.9273477139299998E-4</v>
      </c>
      <c r="G3" s="25">
        <v>2.9269209632184201</v>
      </c>
      <c r="H3" s="25">
        <v>2.6104538413295999</v>
      </c>
      <c r="I3" s="25">
        <v>3.2433880851072501</v>
      </c>
      <c r="K3" s="26">
        <v>7</v>
      </c>
      <c r="M3" s="29">
        <f t="shared" ref="M3:V12" si="0">$D3*M$2^$G3</f>
        <v>0.28762876133131726</v>
      </c>
      <c r="N3" s="29">
        <f t="shared" si="0"/>
        <v>2.1873753611587321</v>
      </c>
      <c r="O3" s="29">
        <f t="shared" si="0"/>
        <v>7.1668532760544776</v>
      </c>
      <c r="P3" s="29">
        <f t="shared" si="0"/>
        <v>31.96408444527022</v>
      </c>
      <c r="Q3" s="29">
        <f t="shared" si="0"/>
        <v>54.50288837778487</v>
      </c>
      <c r="R3" s="29">
        <f t="shared" si="0"/>
        <v>85.579053774085054</v>
      </c>
      <c r="S3" s="29">
        <f t="shared" si="0"/>
        <v>178.57666821200567</v>
      </c>
      <c r="T3" s="29">
        <f t="shared" si="0"/>
        <v>243.08226490967579</v>
      </c>
      <c r="U3" s="29">
        <f t="shared" si="0"/>
        <v>321.29679406138797</v>
      </c>
      <c r="V3" s="29">
        <f t="shared" si="0"/>
        <v>533.03517204320576</v>
      </c>
    </row>
    <row r="4" spans="1:22" x14ac:dyDescent="0.2">
      <c r="A4" s="38" t="s">
        <v>97</v>
      </c>
      <c r="B4" s="29" t="s">
        <v>95</v>
      </c>
      <c r="C4" s="29" t="s">
        <v>96</v>
      </c>
      <c r="D4" s="24">
        <v>1.080733099E-4</v>
      </c>
      <c r="E4" s="37">
        <v>-5.3826977208000001E-5</v>
      </c>
      <c r="F4" s="24">
        <v>2.6997359700899997E-4</v>
      </c>
      <c r="G4" s="25">
        <v>2.9747220741911402</v>
      </c>
      <c r="H4" s="25">
        <v>2.6663999469946198</v>
      </c>
      <c r="I4" s="25">
        <v>3.2830442013876699</v>
      </c>
      <c r="K4" s="26">
        <v>8</v>
      </c>
      <c r="M4" s="29">
        <f t="shared" si="0"/>
        <v>0.22253090393655783</v>
      </c>
      <c r="N4" s="29">
        <f t="shared" si="0"/>
        <v>1.7493266207649831</v>
      </c>
      <c r="O4" s="29">
        <f t="shared" si="0"/>
        <v>5.8437746554174614</v>
      </c>
      <c r="P4" s="29">
        <f t="shared" si="0"/>
        <v>26.707413665370208</v>
      </c>
      <c r="Q4" s="29">
        <f t="shared" si="0"/>
        <v>45.938206287913609</v>
      </c>
      <c r="R4" s="29">
        <f t="shared" si="0"/>
        <v>72.664472729081425</v>
      </c>
      <c r="S4" s="29">
        <f t="shared" si="0"/>
        <v>153.46049298858432</v>
      </c>
      <c r="T4" s="29">
        <f t="shared" si="0"/>
        <v>209.94832120007101</v>
      </c>
      <c r="U4" s="29">
        <f t="shared" si="0"/>
        <v>278.76878389323463</v>
      </c>
      <c r="V4" s="29">
        <f t="shared" si="0"/>
        <v>466.32005586766581</v>
      </c>
    </row>
    <row r="5" spans="1:22" x14ac:dyDescent="0.2">
      <c r="A5" s="39" t="s">
        <v>98</v>
      </c>
      <c r="B5" s="29" t="s">
        <v>95</v>
      </c>
      <c r="C5" s="40" t="s">
        <v>99</v>
      </c>
      <c r="D5" s="32">
        <v>2.4864775720700002E-4</v>
      </c>
      <c r="E5" s="24">
        <v>-2.7054682004999999E-5</v>
      </c>
      <c r="F5" s="24">
        <v>5.2435019641999998E-4</v>
      </c>
      <c r="G5" s="25">
        <v>2.6970703363285899</v>
      </c>
      <c r="H5" s="25">
        <v>2.42841847312555</v>
      </c>
      <c r="I5" s="25">
        <v>2.9657221995316299</v>
      </c>
      <c r="K5" s="41">
        <v>35</v>
      </c>
      <c r="L5" s="42"/>
      <c r="M5" s="29">
        <f t="shared" si="0"/>
        <v>0.25117020388548705</v>
      </c>
      <c r="N5" s="29">
        <f t="shared" si="0"/>
        <v>1.6287978589356498</v>
      </c>
      <c r="O5" s="29">
        <f t="shared" si="0"/>
        <v>4.8618068485854975</v>
      </c>
      <c r="P5" s="29">
        <f t="shared" si="0"/>
        <v>19.281436337869586</v>
      </c>
      <c r="Q5" s="29">
        <f t="shared" si="0"/>
        <v>31.528025470509704</v>
      </c>
      <c r="R5" s="29">
        <f t="shared" si="0"/>
        <v>47.781191253922252</v>
      </c>
      <c r="S5" s="29">
        <f t="shared" si="0"/>
        <v>94.108160392024431</v>
      </c>
      <c r="T5" s="29">
        <f t="shared" si="0"/>
        <v>125.03697388661764</v>
      </c>
      <c r="U5" s="29">
        <f t="shared" si="0"/>
        <v>161.68786919957043</v>
      </c>
      <c r="V5" s="29">
        <f t="shared" si="0"/>
        <v>257.78768640035099</v>
      </c>
    </row>
    <row r="6" spans="1:22" x14ac:dyDescent="0.2">
      <c r="A6" s="36" t="s">
        <v>100</v>
      </c>
      <c r="B6" s="29" t="s">
        <v>95</v>
      </c>
      <c r="C6" s="29" t="s">
        <v>101</v>
      </c>
      <c r="D6" s="24">
        <v>7.8196421185899997E-4</v>
      </c>
      <c r="E6" s="24">
        <v>-8.1644266767000003E-5</v>
      </c>
      <c r="F6" s="24">
        <v>1.645572690485E-3</v>
      </c>
      <c r="G6" s="25">
        <v>2.4937601229277</v>
      </c>
      <c r="H6" s="25">
        <v>2.15344594781758</v>
      </c>
      <c r="I6" s="25">
        <v>2.83407429803782</v>
      </c>
      <c r="K6" s="26">
        <v>1</v>
      </c>
      <c r="M6" s="29">
        <f t="shared" si="0"/>
        <v>0.46891528381051084</v>
      </c>
      <c r="N6" s="29">
        <f t="shared" si="0"/>
        <v>2.6411373527364335</v>
      </c>
      <c r="O6" s="29">
        <f t="shared" si="0"/>
        <v>7.2597279643036421</v>
      </c>
      <c r="P6" s="29">
        <f t="shared" si="0"/>
        <v>25.951227940454242</v>
      </c>
      <c r="Q6" s="29">
        <f t="shared" si="0"/>
        <v>40.889984522184513</v>
      </c>
      <c r="R6" s="29">
        <f t="shared" si="0"/>
        <v>60.057352107473342</v>
      </c>
      <c r="S6" s="29">
        <f t="shared" si="0"/>
        <v>112.39482255176397</v>
      </c>
      <c r="T6" s="29">
        <f t="shared" si="0"/>
        <v>146.16874269043547</v>
      </c>
      <c r="U6" s="29">
        <f t="shared" si="0"/>
        <v>185.38642898382727</v>
      </c>
      <c r="V6" s="29">
        <f t="shared" si="0"/>
        <v>285.35892057285787</v>
      </c>
    </row>
    <row r="7" spans="1:22" x14ac:dyDescent="0.2">
      <c r="A7" s="36" t="s">
        <v>102</v>
      </c>
      <c r="B7" s="29" t="s">
        <v>95</v>
      </c>
      <c r="C7" s="29" t="s">
        <v>101</v>
      </c>
      <c r="D7" s="24">
        <v>1.86394519439E-4</v>
      </c>
      <c r="E7" s="24">
        <v>1.14921297369E-4</v>
      </c>
      <c r="F7" s="24">
        <v>2.5786774150800002E-4</v>
      </c>
      <c r="G7" s="25">
        <v>2.9687314575855699</v>
      </c>
      <c r="H7" s="25">
        <v>2.8605981864680299</v>
      </c>
      <c r="I7" s="25">
        <v>3.0768647287031201</v>
      </c>
      <c r="K7" s="26">
        <v>10</v>
      </c>
      <c r="M7" s="29">
        <f t="shared" si="0"/>
        <v>0.37794779034354969</v>
      </c>
      <c r="N7" s="29">
        <f t="shared" si="0"/>
        <v>2.958755160456934</v>
      </c>
      <c r="O7" s="29">
        <f t="shared" si="0"/>
        <v>9.859994860557082</v>
      </c>
      <c r="P7" s="29">
        <f t="shared" si="0"/>
        <v>44.924789451303504</v>
      </c>
      <c r="Q7" s="29">
        <f t="shared" si="0"/>
        <v>77.188731938964153</v>
      </c>
      <c r="R7" s="29">
        <f t="shared" si="0"/>
        <v>121.98345971667624</v>
      </c>
      <c r="S7" s="29">
        <f t="shared" si="0"/>
        <v>257.22996967872388</v>
      </c>
      <c r="T7" s="29">
        <f t="shared" si="0"/>
        <v>351.69263061615322</v>
      </c>
      <c r="U7" s="29">
        <f t="shared" si="0"/>
        <v>466.70992294560182</v>
      </c>
      <c r="V7" s="29">
        <f t="shared" si="0"/>
        <v>779.89658034654167</v>
      </c>
    </row>
    <row r="8" spans="1:22" x14ac:dyDescent="0.2">
      <c r="A8" s="36" t="s">
        <v>103</v>
      </c>
      <c r="B8" s="29" t="s">
        <v>95</v>
      </c>
      <c r="C8" s="29" t="s">
        <v>101</v>
      </c>
      <c r="D8" s="24">
        <v>2.57323478403E-4</v>
      </c>
      <c r="E8" s="24">
        <v>-2.1110544645999998E-5</v>
      </c>
      <c r="F8" s="24">
        <v>5.3575750145299999E-4</v>
      </c>
      <c r="G8" s="25">
        <v>3.1303867405726802</v>
      </c>
      <c r="H8" s="25">
        <v>2.7885943066530099</v>
      </c>
      <c r="I8" s="25">
        <v>3.4721791744923398</v>
      </c>
      <c r="K8" s="26">
        <v>15</v>
      </c>
      <c r="M8" s="29">
        <f t="shared" si="0"/>
        <v>0.78986507846155019</v>
      </c>
      <c r="N8" s="29">
        <f t="shared" si="0"/>
        <v>6.9166089156272283</v>
      </c>
      <c r="O8" s="29">
        <f t="shared" si="0"/>
        <v>24.610869787147543</v>
      </c>
      <c r="P8" s="29">
        <f t="shared" si="0"/>
        <v>121.78655532760855</v>
      </c>
      <c r="Q8" s="29">
        <f t="shared" si="0"/>
        <v>215.50992192575092</v>
      </c>
      <c r="R8" s="29">
        <f t="shared" si="0"/>
        <v>349.16975015577151</v>
      </c>
      <c r="S8" s="29">
        <f t="shared" si="0"/>
        <v>766.83338483537921</v>
      </c>
      <c r="T8" s="29">
        <f t="shared" si="0"/>
        <v>1066.447925540833</v>
      </c>
      <c r="U8" s="29">
        <f t="shared" si="0"/>
        <v>1437.1919188573008</v>
      </c>
      <c r="V8" s="29">
        <f t="shared" si="0"/>
        <v>2469.7167227364284</v>
      </c>
    </row>
    <row r="9" spans="1:22" x14ac:dyDescent="0.2">
      <c r="A9" s="43" t="s">
        <v>104</v>
      </c>
      <c r="B9" s="29" t="s">
        <v>95</v>
      </c>
      <c r="C9" s="29" t="s">
        <v>101</v>
      </c>
      <c r="D9" s="24">
        <v>7.2218612300760003E-3</v>
      </c>
      <c r="E9" s="24">
        <v>-1.3879911552511E-2</v>
      </c>
      <c r="F9" s="24">
        <v>2.8323634012662999E-2</v>
      </c>
      <c r="G9" s="25">
        <v>2.0710977731065499</v>
      </c>
      <c r="H9" s="25">
        <v>1.11436345862967</v>
      </c>
      <c r="I9" s="25">
        <v>3.0278320875834299</v>
      </c>
      <c r="K9" s="26">
        <v>28</v>
      </c>
      <c r="M9" s="29">
        <f t="shared" si="0"/>
        <v>1.464652966056365</v>
      </c>
      <c r="N9" s="29">
        <f t="shared" si="0"/>
        <v>6.1545639560152541</v>
      </c>
      <c r="O9" s="29">
        <f t="shared" si="0"/>
        <v>14.252777439217182</v>
      </c>
      <c r="P9" s="29">
        <f t="shared" si="0"/>
        <v>41.055368527943081</v>
      </c>
      <c r="Q9" s="29">
        <f t="shared" si="0"/>
        <v>59.891067941303461</v>
      </c>
      <c r="R9" s="29">
        <f t="shared" si="0"/>
        <v>82.416734718875787</v>
      </c>
      <c r="S9" s="29">
        <f t="shared" si="0"/>
        <v>138.69610715965388</v>
      </c>
      <c r="T9" s="29">
        <f t="shared" si="0"/>
        <v>172.51724278642374</v>
      </c>
      <c r="U9" s="29">
        <f t="shared" si="0"/>
        <v>210.16520056347909</v>
      </c>
      <c r="V9" s="29">
        <f t="shared" si="0"/>
        <v>300.69550303642063</v>
      </c>
    </row>
    <row r="10" spans="1:22" x14ac:dyDescent="0.2">
      <c r="A10" s="36" t="s">
        <v>105</v>
      </c>
      <c r="B10" s="29" t="s">
        <v>95</v>
      </c>
      <c r="C10" s="29" t="s">
        <v>101</v>
      </c>
      <c r="D10" s="24">
        <v>1.8679412636230001E-3</v>
      </c>
      <c r="E10" s="24">
        <v>-7.6473577822300004E-4</v>
      </c>
      <c r="F10" s="24">
        <v>4.5006183054680004E-3</v>
      </c>
      <c r="G10" s="25">
        <v>2.4997532233707398</v>
      </c>
      <c r="H10" s="25">
        <v>2.0299770368114598</v>
      </c>
      <c r="I10" s="25">
        <v>2.9695294099300198</v>
      </c>
      <c r="K10" s="26">
        <v>16</v>
      </c>
      <c r="M10" s="29">
        <f t="shared" si="0"/>
        <v>1.1374876799495177</v>
      </c>
      <c r="N10" s="29">
        <f t="shared" si="0"/>
        <v>6.4335014552762653</v>
      </c>
      <c r="O10" s="29">
        <f t="shared" si="0"/>
        <v>17.726871475671832</v>
      </c>
      <c r="P10" s="29">
        <f t="shared" si="0"/>
        <v>63.562244262144034</v>
      </c>
      <c r="Q10" s="29">
        <f t="shared" si="0"/>
        <v>100.26117684306828</v>
      </c>
      <c r="R10" s="29">
        <f t="shared" si="0"/>
        <v>147.39516959046182</v>
      </c>
      <c r="S10" s="29">
        <f t="shared" si="0"/>
        <v>276.25967107523701</v>
      </c>
      <c r="T10" s="29">
        <f t="shared" si="0"/>
        <v>359.5008527734355</v>
      </c>
      <c r="U10" s="29">
        <f t="shared" si="0"/>
        <v>456.21695663208874</v>
      </c>
      <c r="V10" s="29">
        <f t="shared" si="0"/>
        <v>702.96725689369339</v>
      </c>
    </row>
    <row r="11" spans="1:22" x14ac:dyDescent="0.2">
      <c r="A11" s="36" t="s">
        <v>106</v>
      </c>
      <c r="B11" s="29" t="s">
        <v>95</v>
      </c>
      <c r="C11" s="29" t="s">
        <v>101</v>
      </c>
      <c r="D11" s="24">
        <v>1.6429316538999999E-4</v>
      </c>
      <c r="E11" s="24">
        <v>5.6030782143000002E-5</v>
      </c>
      <c r="F11" s="24">
        <v>2.7255554863699999E-4</v>
      </c>
      <c r="G11" s="25">
        <v>3.1510569137210598</v>
      </c>
      <c r="H11" s="25">
        <v>2.9624839127576799</v>
      </c>
      <c r="I11" s="25">
        <v>3.3396299146844401</v>
      </c>
      <c r="K11" s="26">
        <v>17</v>
      </c>
      <c r="M11" s="29">
        <f t="shared" si="0"/>
        <v>0.53176334652479673</v>
      </c>
      <c r="N11" s="29">
        <f t="shared" si="0"/>
        <v>4.723686295364204</v>
      </c>
      <c r="O11" s="29">
        <f t="shared" si="0"/>
        <v>16.949411640298322</v>
      </c>
      <c r="P11" s="29">
        <f t="shared" si="0"/>
        <v>84.76423825944083</v>
      </c>
      <c r="Q11" s="29">
        <f t="shared" si="0"/>
        <v>150.56265912834991</v>
      </c>
      <c r="R11" s="29">
        <f t="shared" si="0"/>
        <v>244.72053908172464</v>
      </c>
      <c r="S11" s="29">
        <f t="shared" si="0"/>
        <v>540.24512375616337</v>
      </c>
      <c r="T11" s="29">
        <f t="shared" si="0"/>
        <v>752.96590714613126</v>
      </c>
      <c r="U11" s="29">
        <f t="shared" si="0"/>
        <v>1016.7308923699844</v>
      </c>
      <c r="V11" s="29">
        <f t="shared" si="0"/>
        <v>1753.440330851379</v>
      </c>
    </row>
    <row r="12" spans="1:22" x14ac:dyDescent="0.2">
      <c r="A12" s="36" t="s">
        <v>107</v>
      </c>
      <c r="B12" s="29" t="s">
        <v>95</v>
      </c>
      <c r="C12" s="29" t="s">
        <v>101</v>
      </c>
      <c r="D12" s="24">
        <v>2.37865631451E-4</v>
      </c>
      <c r="E12" s="24">
        <v>4.1080760267000003E-5</v>
      </c>
      <c r="F12" s="24">
        <v>4.3465050263499999E-4</v>
      </c>
      <c r="G12" s="25">
        <v>3.0424878077594699</v>
      </c>
      <c r="H12" s="25">
        <v>2.7820239313861901</v>
      </c>
      <c r="I12" s="25">
        <v>3.3029516841327502</v>
      </c>
      <c r="K12" s="26">
        <v>18</v>
      </c>
      <c r="M12" s="29">
        <f t="shared" si="0"/>
        <v>0.58276138192006477</v>
      </c>
      <c r="N12" s="29">
        <f t="shared" si="0"/>
        <v>4.8014328124945713</v>
      </c>
      <c r="O12" s="29">
        <f t="shared" si="0"/>
        <v>16.486420200090599</v>
      </c>
      <c r="P12" s="29">
        <f t="shared" si="0"/>
        <v>78.000696494310276</v>
      </c>
      <c r="Q12" s="29">
        <f t="shared" si="0"/>
        <v>135.83336398935597</v>
      </c>
      <c r="R12" s="29">
        <f t="shared" si="0"/>
        <v>217.115709218603</v>
      </c>
      <c r="S12" s="29">
        <f t="shared" si="0"/>
        <v>466.40367643859707</v>
      </c>
      <c r="T12" s="29">
        <f t="shared" si="0"/>
        <v>642.65600838420482</v>
      </c>
      <c r="U12" s="29">
        <f t="shared" si="0"/>
        <v>858.84602939741796</v>
      </c>
      <c r="V12" s="29">
        <f t="shared" si="0"/>
        <v>1453.6014438525078</v>
      </c>
    </row>
    <row r="13" spans="1:22" x14ac:dyDescent="0.2">
      <c r="A13" s="36"/>
      <c r="L13" s="44" t="s">
        <v>108</v>
      </c>
      <c r="M13" s="29">
        <f>AVERAGE(M8:M12)</f>
        <v>0.90130609058245881</v>
      </c>
      <c r="N13" s="29">
        <f>AVERAGE(N8:N12)</f>
        <v>5.8059586869555044</v>
      </c>
      <c r="O13" s="29">
        <f>AVERAGE(O8:O12)</f>
        <v>18.005270108485099</v>
      </c>
      <c r="P13" s="29">
        <f>AVERAGE(P8:P12)</f>
        <v>77.833820574289362</v>
      </c>
      <c r="Q13" s="29">
        <f>AVERAGE(Q8:Q12)</f>
        <v>132.41163796556572</v>
      </c>
    </row>
    <row r="14" spans="1:22" x14ac:dyDescent="0.2">
      <c r="A14" s="45" t="s">
        <v>109</v>
      </c>
      <c r="B14" s="29" t="s">
        <v>110</v>
      </c>
      <c r="C14" s="42" t="s">
        <v>111</v>
      </c>
      <c r="D14" s="32">
        <v>4.5520082354099999E-4</v>
      </c>
      <c r="E14" s="24">
        <v>7.7020994250000003E-5</v>
      </c>
      <c r="F14" s="24">
        <v>8.33380652833E-4</v>
      </c>
      <c r="G14" s="25">
        <v>2.3714929179910702</v>
      </c>
      <c r="H14" s="25">
        <v>2.1629912761270398</v>
      </c>
      <c r="I14" s="25">
        <v>2.5799945598551002</v>
      </c>
      <c r="K14" s="46">
        <v>36</v>
      </c>
      <c r="L14" s="42"/>
      <c r="M14" s="29">
        <f>$D14*M$2^$G14</f>
        <v>0.19948571888655989</v>
      </c>
      <c r="N14" s="29">
        <f t="shared" ref="M14:V23" si="1">$D14*N$2^$G14</f>
        <v>1.0322914088128823</v>
      </c>
      <c r="O14" s="29">
        <f t="shared" si="1"/>
        <v>2.7002345306763287</v>
      </c>
      <c r="P14" s="29">
        <f t="shared" si="1"/>
        <v>9.068056665161274</v>
      </c>
      <c r="Q14" s="29">
        <f t="shared" si="1"/>
        <v>13.973074981784379</v>
      </c>
      <c r="R14" s="29">
        <f t="shared" si="1"/>
        <v>20.139831237540218</v>
      </c>
      <c r="S14" s="29">
        <f t="shared" si="1"/>
        <v>36.550318295231399</v>
      </c>
      <c r="T14" s="29">
        <f t="shared" si="1"/>
        <v>46.92504828076224</v>
      </c>
      <c r="U14" s="29">
        <f t="shared" si="1"/>
        <v>58.825711384976074</v>
      </c>
      <c r="V14" s="29">
        <f t="shared" si="1"/>
        <v>88.653698839310508</v>
      </c>
    </row>
    <row r="15" spans="1:22" x14ac:dyDescent="0.2">
      <c r="A15" s="47" t="s">
        <v>112</v>
      </c>
      <c r="B15" s="29" t="s">
        <v>110</v>
      </c>
      <c r="C15" s="29" t="s">
        <v>113</v>
      </c>
      <c r="D15" s="24">
        <v>7.7635554813968999E-2</v>
      </c>
      <c r="E15" s="24">
        <v>-0.23595915429804001</v>
      </c>
      <c r="F15" s="24">
        <v>0.39123026392597798</v>
      </c>
      <c r="G15" s="25">
        <v>1.4002697324078499</v>
      </c>
      <c r="H15" s="25">
        <v>0.52055161544367401</v>
      </c>
      <c r="I15" s="25">
        <v>2.2799878493720298</v>
      </c>
      <c r="K15" s="26">
        <v>26</v>
      </c>
      <c r="M15" s="29">
        <f t="shared" si="1"/>
        <v>2.8176161040931764</v>
      </c>
      <c r="N15" s="29">
        <f t="shared" si="1"/>
        <v>7.4371238241049875</v>
      </c>
      <c r="O15" s="29">
        <f t="shared" si="1"/>
        <v>13.121402947226461</v>
      </c>
      <c r="P15" s="29">
        <f t="shared" si="1"/>
        <v>26.830475024330067</v>
      </c>
      <c r="Q15" s="29">
        <f t="shared" si="1"/>
        <v>34.634064705527457</v>
      </c>
      <c r="R15" s="29">
        <f t="shared" si="1"/>
        <v>42.978081706676441</v>
      </c>
      <c r="S15" s="29">
        <f t="shared" si="1"/>
        <v>61.10527798778854</v>
      </c>
      <c r="T15" s="29">
        <f t="shared" si="1"/>
        <v>70.819287526651777</v>
      </c>
      <c r="U15" s="29">
        <f t="shared" si="1"/>
        <v>80.930547311605324</v>
      </c>
      <c r="V15" s="29">
        <f t="shared" si="1"/>
        <v>103.10762308266982</v>
      </c>
    </row>
    <row r="16" spans="1:22" x14ac:dyDescent="0.2">
      <c r="A16" s="47" t="s">
        <v>114</v>
      </c>
      <c r="B16" s="29" t="s">
        <v>110</v>
      </c>
      <c r="C16" s="29" t="s">
        <v>115</v>
      </c>
      <c r="D16" s="24">
        <v>1.852657672E-6</v>
      </c>
      <c r="E16" s="24">
        <v>-2.9981438079999998E-6</v>
      </c>
      <c r="F16" s="24">
        <v>6.703459151E-6</v>
      </c>
      <c r="G16" s="25">
        <v>4.0647113274800803</v>
      </c>
      <c r="H16" s="25">
        <v>3.5055434362510902</v>
      </c>
      <c r="I16" s="25">
        <v>4.6238792187090798</v>
      </c>
      <c r="K16" s="26">
        <v>32</v>
      </c>
      <c r="M16" s="29">
        <f t="shared" si="1"/>
        <v>6.2467387237872825E-2</v>
      </c>
      <c r="N16" s="29">
        <f t="shared" si="1"/>
        <v>1.0453299046370896</v>
      </c>
      <c r="O16" s="29">
        <f t="shared" si="1"/>
        <v>5.4326723134222377</v>
      </c>
      <c r="P16" s="29">
        <f t="shared" si="1"/>
        <v>43.327600241943401</v>
      </c>
      <c r="Q16" s="29">
        <f t="shared" si="1"/>
        <v>90.910394726276976</v>
      </c>
      <c r="R16" s="29">
        <f t="shared" si="1"/>
        <v>170.11120368239079</v>
      </c>
      <c r="S16" s="29">
        <f t="shared" si="1"/>
        <v>472.46939195066631</v>
      </c>
      <c r="T16" s="29">
        <f t="shared" si="1"/>
        <v>725.0445109317003</v>
      </c>
      <c r="U16" s="29">
        <f t="shared" si="1"/>
        <v>1068.1050913648005</v>
      </c>
      <c r="V16" s="29">
        <f t="shared" si="1"/>
        <v>2157.377650495298</v>
      </c>
    </row>
    <row r="17" spans="1:22" x14ac:dyDescent="0.2">
      <c r="A17" s="36" t="s">
        <v>116</v>
      </c>
      <c r="B17" s="29" t="s">
        <v>110</v>
      </c>
      <c r="C17" s="29" t="s">
        <v>115</v>
      </c>
      <c r="D17" s="24">
        <v>5.07777505782E-4</v>
      </c>
      <c r="E17" s="24">
        <v>3.0759680932199997E-4</v>
      </c>
      <c r="F17" s="24">
        <v>7.0795820224200002E-4</v>
      </c>
      <c r="G17" s="25">
        <v>2.9035099851393</v>
      </c>
      <c r="H17" s="25">
        <v>2.7934069635636698</v>
      </c>
      <c r="I17" s="25">
        <v>3.0136130067149298</v>
      </c>
      <c r="K17" s="26">
        <v>14</v>
      </c>
      <c r="M17" s="29">
        <f t="shared" si="1"/>
        <v>0.87100190385510734</v>
      </c>
      <c r="N17" s="29">
        <f t="shared" si="1"/>
        <v>6.5172248160786648</v>
      </c>
      <c r="O17" s="29">
        <f t="shared" si="1"/>
        <v>21.151707469229493</v>
      </c>
      <c r="P17" s="29">
        <f t="shared" si="1"/>
        <v>93.214932881632777</v>
      </c>
      <c r="Q17" s="29">
        <f t="shared" si="1"/>
        <v>158.26651148609938</v>
      </c>
      <c r="R17" s="29">
        <f t="shared" si="1"/>
        <v>247.61086761302684</v>
      </c>
      <c r="S17" s="29">
        <f t="shared" si="1"/>
        <v>513.65528236351963</v>
      </c>
      <c r="T17" s="29">
        <f t="shared" si="1"/>
        <v>697.47571287323251</v>
      </c>
      <c r="U17" s="29">
        <f t="shared" si="1"/>
        <v>919.84184861180154</v>
      </c>
      <c r="V17" s="29">
        <f t="shared" si="1"/>
        <v>1519.8620552040566</v>
      </c>
    </row>
    <row r="18" spans="1:22" x14ac:dyDescent="0.2">
      <c r="A18" s="48" t="s">
        <v>197</v>
      </c>
      <c r="B18" s="29" t="s">
        <v>117</v>
      </c>
      <c r="C18" s="29" t="s">
        <v>118</v>
      </c>
      <c r="D18" s="24">
        <v>8.8602486897739995E-3</v>
      </c>
      <c r="E18" s="24">
        <v>-3.1577749651335002E-2</v>
      </c>
      <c r="F18" s="24">
        <v>4.9298247030884E-2</v>
      </c>
      <c r="G18" s="25">
        <v>2.16944544090626</v>
      </c>
      <c r="H18" s="25">
        <v>1.2275070434427999</v>
      </c>
      <c r="I18" s="25">
        <v>3.1113838383697301</v>
      </c>
      <c r="K18" s="26">
        <v>3</v>
      </c>
      <c r="M18" s="29">
        <f>$D18*M$2^$G18</f>
        <v>2.3125186234702442</v>
      </c>
      <c r="N18" s="29">
        <f t="shared" si="1"/>
        <v>10.402875252326622</v>
      </c>
      <c r="O18" s="29">
        <f t="shared" si="1"/>
        <v>25.071121972009525</v>
      </c>
      <c r="P18" s="29">
        <f t="shared" si="1"/>
        <v>75.93858984623067</v>
      </c>
      <c r="Q18" s="29">
        <f t="shared" si="1"/>
        <v>112.78255304136634</v>
      </c>
      <c r="R18" s="29">
        <f t="shared" si="1"/>
        <v>157.57210216671675</v>
      </c>
      <c r="S18" s="29">
        <f t="shared" si="1"/>
        <v>271.80804104926068</v>
      </c>
      <c r="T18" s="29">
        <f t="shared" si="1"/>
        <v>341.61008218064205</v>
      </c>
      <c r="U18" s="29">
        <f t="shared" si="1"/>
        <v>420.07791715528487</v>
      </c>
      <c r="V18" s="29">
        <f t="shared" si="1"/>
        <v>611.34048266664217</v>
      </c>
    </row>
    <row r="19" spans="1:22" x14ac:dyDescent="0.2">
      <c r="A19" s="36" t="s">
        <v>198</v>
      </c>
      <c r="B19" s="29" t="s">
        <v>117</v>
      </c>
      <c r="C19" s="29" t="s">
        <v>118</v>
      </c>
      <c r="D19" s="24">
        <v>5.311359026232E-3</v>
      </c>
      <c r="E19" s="24">
        <v>-1.181924318866E-3</v>
      </c>
      <c r="F19" s="24">
        <v>1.180464237133E-2</v>
      </c>
      <c r="G19" s="25">
        <v>2.1948898207470702</v>
      </c>
      <c r="H19" s="25">
        <v>1.9551329834131601</v>
      </c>
      <c r="I19" s="25">
        <v>2.43464665808099</v>
      </c>
      <c r="K19" s="26">
        <v>5</v>
      </c>
      <c r="M19" s="29">
        <f t="shared" si="1"/>
        <v>1.4797508012911424</v>
      </c>
      <c r="N19" s="29">
        <f t="shared" si="1"/>
        <v>6.7751085378446261</v>
      </c>
      <c r="O19" s="29">
        <f t="shared" si="1"/>
        <v>16.497463229799106</v>
      </c>
      <c r="P19" s="29">
        <f t="shared" si="1"/>
        <v>50.623332530695635</v>
      </c>
      <c r="Q19" s="29">
        <f t="shared" si="1"/>
        <v>75.534410174648457</v>
      </c>
      <c r="R19" s="29">
        <f t="shared" si="1"/>
        <v>105.94626952682277</v>
      </c>
      <c r="S19" s="29">
        <f t="shared" si="1"/>
        <v>183.92711312005935</v>
      </c>
      <c r="T19" s="29">
        <f t="shared" si="1"/>
        <v>231.78130543575412</v>
      </c>
      <c r="U19" s="29">
        <f t="shared" si="1"/>
        <v>285.71351745498953</v>
      </c>
      <c r="V19" s="29">
        <f t="shared" si="1"/>
        <v>417.63346571302486</v>
      </c>
    </row>
    <row r="20" spans="1:22" x14ac:dyDescent="0.2">
      <c r="A20" s="47" t="s">
        <v>199</v>
      </c>
      <c r="B20" s="29" t="s">
        <v>117</v>
      </c>
      <c r="C20" s="29" t="s">
        <v>118</v>
      </c>
      <c r="D20" s="24">
        <v>1.419013548911E-3</v>
      </c>
      <c r="E20" s="37">
        <v>-7.8066663319729997E-3</v>
      </c>
      <c r="F20" s="24">
        <v>1.0644693429795E-2</v>
      </c>
      <c r="G20" s="25">
        <v>2.4625478657389501</v>
      </c>
      <c r="H20" s="25">
        <v>1.2346695294875401</v>
      </c>
      <c r="I20" s="25">
        <v>3.69042620199036</v>
      </c>
      <c r="K20" s="26">
        <v>27</v>
      </c>
      <c r="M20" s="29">
        <f t="shared" si="1"/>
        <v>0.78546233978543434</v>
      </c>
      <c r="N20" s="29">
        <f t="shared" si="1"/>
        <v>4.3293843239357246</v>
      </c>
      <c r="O20" s="29">
        <f t="shared" si="1"/>
        <v>11.750579752844009</v>
      </c>
      <c r="P20" s="29">
        <f t="shared" si="1"/>
        <v>41.340189145675275</v>
      </c>
      <c r="Q20" s="29">
        <f t="shared" si="1"/>
        <v>64.767937560209759</v>
      </c>
      <c r="R20" s="29">
        <f t="shared" si="1"/>
        <v>94.671605393524885</v>
      </c>
      <c r="S20" s="29">
        <f t="shared" si="1"/>
        <v>175.789617826446</v>
      </c>
      <c r="T20" s="29">
        <f t="shared" si="1"/>
        <v>227.86269661854928</v>
      </c>
      <c r="U20" s="29">
        <f t="shared" si="1"/>
        <v>288.14076255433071</v>
      </c>
      <c r="V20" s="29">
        <f t="shared" si="1"/>
        <v>441.13729229099607</v>
      </c>
    </row>
    <row r="21" spans="1:22" x14ac:dyDescent="0.2">
      <c r="A21" s="36" t="s">
        <v>255</v>
      </c>
      <c r="B21" s="29" t="s">
        <v>117</v>
      </c>
      <c r="C21" s="29" t="s">
        <v>256</v>
      </c>
      <c r="D21" s="24">
        <v>4.3095490142100001E-4</v>
      </c>
      <c r="E21" s="24">
        <v>-3.90267876993E-4</v>
      </c>
      <c r="F21" s="24">
        <v>1.2521776798350001E-3</v>
      </c>
      <c r="G21" s="25">
        <v>3.00035857004849</v>
      </c>
      <c r="H21" s="25">
        <v>2.4975669355213999</v>
      </c>
      <c r="I21" s="25">
        <v>3.5031502045755798</v>
      </c>
      <c r="K21" s="26">
        <v>9</v>
      </c>
      <c r="M21" s="29">
        <f t="shared" si="1"/>
        <v>0.94767911149730777</v>
      </c>
      <c r="N21" s="29">
        <f t="shared" si="1"/>
        <v>7.5833174292770291</v>
      </c>
      <c r="O21" s="29">
        <f t="shared" si="1"/>
        <v>25.59741760151368</v>
      </c>
      <c r="P21" s="29">
        <f t="shared" si="1"/>
        <v>118.52827142225034</v>
      </c>
      <c r="Q21" s="29">
        <f t="shared" si="1"/>
        <v>204.83024336723787</v>
      </c>
      <c r="R21" s="29">
        <f t="shared" si="1"/>
        <v>325.28081917736307</v>
      </c>
      <c r="S21" s="29">
        <f t="shared" si="1"/>
        <v>691.40258545008965</v>
      </c>
      <c r="T21" s="29">
        <f t="shared" si="1"/>
        <v>948.46187452448089</v>
      </c>
      <c r="U21" s="29">
        <f t="shared" si="1"/>
        <v>1262.4458988178633</v>
      </c>
      <c r="V21" s="29">
        <f t="shared" si="1"/>
        <v>2121.1840888807924</v>
      </c>
    </row>
    <row r="22" spans="1:22" x14ac:dyDescent="0.2">
      <c r="A22" s="36" t="s">
        <v>257</v>
      </c>
      <c r="B22" s="29" t="s">
        <v>117</v>
      </c>
      <c r="C22" s="29" t="s">
        <v>256</v>
      </c>
      <c r="D22" s="24">
        <v>8.8366994327599997E-4</v>
      </c>
      <c r="E22" s="24">
        <v>-5.6007314761799998E-4</v>
      </c>
      <c r="F22" s="24">
        <v>2.3274130341700001E-3</v>
      </c>
      <c r="G22" s="25">
        <v>2.7998170779871301</v>
      </c>
      <c r="H22" s="25">
        <v>2.3569027718650499</v>
      </c>
      <c r="I22" s="25">
        <v>3.24273138410922</v>
      </c>
      <c r="K22" s="26">
        <v>12</v>
      </c>
      <c r="M22" s="29">
        <f t="shared" si="1"/>
        <v>1.1617901900766581</v>
      </c>
      <c r="N22" s="29">
        <f t="shared" si="1"/>
        <v>8.0901510047580398</v>
      </c>
      <c r="O22" s="29">
        <f t="shared" si="1"/>
        <v>25.175606526109753</v>
      </c>
      <c r="P22" s="29">
        <f t="shared" si="1"/>
        <v>105.22425515156696</v>
      </c>
      <c r="Q22" s="29">
        <f t="shared" si="1"/>
        <v>175.31087813640522</v>
      </c>
      <c r="R22" s="29">
        <f t="shared" si="1"/>
        <v>269.92780932191147</v>
      </c>
      <c r="S22" s="29">
        <f t="shared" si="1"/>
        <v>545.54700958155036</v>
      </c>
      <c r="T22" s="29">
        <f t="shared" si="1"/>
        <v>732.73136648123773</v>
      </c>
      <c r="U22" s="29">
        <f t="shared" si="1"/>
        <v>956.8342881371442</v>
      </c>
      <c r="V22" s="29">
        <f t="shared" si="1"/>
        <v>1552.8841778890162</v>
      </c>
    </row>
    <row r="23" spans="1:22" x14ac:dyDescent="0.2">
      <c r="A23" s="48" t="s">
        <v>200</v>
      </c>
      <c r="B23" s="29" t="s">
        <v>117</v>
      </c>
      <c r="C23" s="29" t="s">
        <v>258</v>
      </c>
      <c r="D23" s="24">
        <v>8.8183405828309996E-3</v>
      </c>
      <c r="E23" s="24">
        <v>1.462164095401E-3</v>
      </c>
      <c r="F23" s="24">
        <v>1.6174517070262E-2</v>
      </c>
      <c r="G23" s="25">
        <v>2.1524839552016002</v>
      </c>
      <c r="H23" s="25">
        <v>1.9380570013619101</v>
      </c>
      <c r="I23" s="25">
        <v>2.3669109090412999</v>
      </c>
      <c r="K23" s="26">
        <v>13</v>
      </c>
      <c r="M23" s="29">
        <f t="shared" si="1"/>
        <v>2.2035964346299894</v>
      </c>
      <c r="N23" s="29">
        <f t="shared" si="1"/>
        <v>9.7970268146802511</v>
      </c>
      <c r="O23" s="29">
        <f t="shared" si="1"/>
        <v>23.449193289159595</v>
      </c>
      <c r="P23" s="29">
        <f t="shared" si="1"/>
        <v>70.413151165608767</v>
      </c>
      <c r="Q23" s="29">
        <f t="shared" si="1"/>
        <v>104.25337953275995</v>
      </c>
      <c r="R23" s="29">
        <f t="shared" si="1"/>
        <v>145.27538422155104</v>
      </c>
      <c r="S23" s="29">
        <f t="shared" si="1"/>
        <v>249.53056615591109</v>
      </c>
      <c r="T23" s="29">
        <f t="shared" si="1"/>
        <v>313.05166374143067</v>
      </c>
      <c r="U23" s="29">
        <f t="shared" si="1"/>
        <v>384.33780622734548</v>
      </c>
      <c r="V23" s="29">
        <f t="shared" si="1"/>
        <v>557.68939281641656</v>
      </c>
    </row>
    <row r="24" spans="1:22" x14ac:dyDescent="0.2">
      <c r="A24" s="48"/>
      <c r="C24" s="49"/>
      <c r="L24" s="44" t="s">
        <v>259</v>
      </c>
      <c r="M24" s="29">
        <f>AVERAGE(M18:M23)</f>
        <v>1.4817995834584627</v>
      </c>
      <c r="N24" s="29">
        <f>AVERAGE(N18:N23)</f>
        <v>7.8296438938037154</v>
      </c>
      <c r="O24" s="29">
        <f>AVERAGE(O18:O23)</f>
        <v>21.256897061905942</v>
      </c>
      <c r="P24" s="29">
        <f>AVERAGE(P18:P23)</f>
        <v>77.011298210337955</v>
      </c>
      <c r="Q24" s="29">
        <f>AVERAGE(Q19:Q20,Q23)</f>
        <v>81.518575755872732</v>
      </c>
      <c r="R24" s="29">
        <f>AVERAGE(R19:R20)</f>
        <v>100.30893746017384</v>
      </c>
      <c r="S24" s="29">
        <f>AVERAGE(S19:S20)</f>
        <v>179.85836547325266</v>
      </c>
      <c r="T24" s="29">
        <f>AVERAGE(T19:T20)</f>
        <v>229.82200102715171</v>
      </c>
      <c r="U24" s="29">
        <f>AVERAGE(U19:U20)</f>
        <v>286.92714000466015</v>
      </c>
      <c r="V24" s="29">
        <f>AVERAGE(V19:V20)</f>
        <v>429.3853790020105</v>
      </c>
    </row>
    <row r="25" spans="1:22" x14ac:dyDescent="0.2">
      <c r="A25" s="36" t="s">
        <v>260</v>
      </c>
      <c r="B25" s="29" t="s">
        <v>117</v>
      </c>
      <c r="C25" s="29" t="s">
        <v>261</v>
      </c>
      <c r="D25" s="24">
        <v>4.3695953689899998E-4</v>
      </c>
      <c r="E25" s="24">
        <v>-1.01337971742E-4</v>
      </c>
      <c r="F25" s="24">
        <v>9.7525704554000004E-4</v>
      </c>
      <c r="G25" s="25">
        <v>2.92210779757698</v>
      </c>
      <c r="H25" s="25">
        <v>2.5950954263284101</v>
      </c>
      <c r="I25" s="25">
        <v>3.2491201688255398</v>
      </c>
      <c r="K25" s="26">
        <v>2</v>
      </c>
      <c r="M25" s="29">
        <f t="shared" ref="M25:V35" si="2">$D25*M$2^$G25</f>
        <v>0.78614703058351831</v>
      </c>
      <c r="N25" s="29">
        <f t="shared" si="2"/>
        <v>5.9586225521028995</v>
      </c>
      <c r="O25" s="29">
        <f t="shared" si="2"/>
        <v>19.485139400174976</v>
      </c>
      <c r="P25" s="29">
        <f t="shared" si="2"/>
        <v>86.690094884288385</v>
      </c>
      <c r="Q25" s="29">
        <f t="shared" si="2"/>
        <v>147.68813789778324</v>
      </c>
      <c r="R25" s="29">
        <f t="shared" si="2"/>
        <v>231.72417829095821</v>
      </c>
      <c r="S25" s="29">
        <f t="shared" si="2"/>
        <v>482.95120718377751</v>
      </c>
      <c r="T25" s="29">
        <f t="shared" si="2"/>
        <v>657.06990464372689</v>
      </c>
      <c r="U25" s="29">
        <f t="shared" si="2"/>
        <v>868.09142042225574</v>
      </c>
      <c r="V25" s="29">
        <f t="shared" si="2"/>
        <v>1438.9755267562684</v>
      </c>
    </row>
    <row r="26" spans="1:22" x14ac:dyDescent="0.2">
      <c r="A26" s="48" t="s">
        <v>262</v>
      </c>
      <c r="B26" s="29" t="s">
        <v>117</v>
      </c>
      <c r="C26" s="29" t="s">
        <v>261</v>
      </c>
      <c r="D26" s="24">
        <v>8.1326068841999999E-5</v>
      </c>
      <c r="E26" s="24">
        <v>1.0665966851E-5</v>
      </c>
      <c r="F26" s="24">
        <v>1.5198617083300001E-4</v>
      </c>
      <c r="G26" s="25">
        <v>3.4325921686653702</v>
      </c>
      <c r="H26" s="25">
        <v>3.17023641713353</v>
      </c>
      <c r="I26" s="25">
        <v>3.6949479201972202</v>
      </c>
      <c r="K26" s="26">
        <v>6</v>
      </c>
      <c r="M26" s="29">
        <f t="shared" si="2"/>
        <v>0.54192976793254799</v>
      </c>
      <c r="N26" s="29">
        <f t="shared" si="2"/>
        <v>5.8513518400875508</v>
      </c>
      <c r="O26" s="29">
        <f t="shared" si="2"/>
        <v>23.534538676857572</v>
      </c>
      <c r="P26" s="29">
        <f t="shared" si="2"/>
        <v>135.90078653962439</v>
      </c>
      <c r="Q26" s="29">
        <f t="shared" si="2"/>
        <v>254.10832609878392</v>
      </c>
      <c r="R26" s="29">
        <f t="shared" si="2"/>
        <v>431.3401858864521</v>
      </c>
      <c r="S26" s="29">
        <f t="shared" si="2"/>
        <v>1022.0411269259614</v>
      </c>
      <c r="T26" s="29">
        <f t="shared" si="2"/>
        <v>1467.3549312887239</v>
      </c>
      <c r="U26" s="29">
        <f t="shared" si="2"/>
        <v>2035.257589124428</v>
      </c>
      <c r="V26" s="29">
        <f t="shared" si="2"/>
        <v>3685.1169910058716</v>
      </c>
    </row>
    <row r="27" spans="1:22" x14ac:dyDescent="0.2">
      <c r="A27" s="36" t="s">
        <v>263</v>
      </c>
      <c r="B27" s="29" t="s">
        <v>264</v>
      </c>
      <c r="C27" s="29" t="s">
        <v>265</v>
      </c>
      <c r="D27" s="24">
        <v>1.43174754959E-4</v>
      </c>
      <c r="E27" s="24">
        <v>-3.2867949716600001E-4</v>
      </c>
      <c r="F27" s="24">
        <v>6.1502900708299999E-4</v>
      </c>
      <c r="G27" s="25">
        <v>2.6306070194179201</v>
      </c>
      <c r="H27" s="25">
        <v>1.95542618153422</v>
      </c>
      <c r="I27" s="25">
        <v>3.3057878573016102</v>
      </c>
      <c r="K27" s="26">
        <v>11</v>
      </c>
      <c r="M27" s="29">
        <f t="shared" si="2"/>
        <v>0.12195894259761567</v>
      </c>
      <c r="N27" s="29">
        <f t="shared" si="2"/>
        <v>0.75527527895103985</v>
      </c>
      <c r="O27" s="29">
        <f t="shared" si="2"/>
        <v>2.1944827536414708</v>
      </c>
      <c r="P27" s="29">
        <f t="shared" si="2"/>
        <v>8.412576956393174</v>
      </c>
      <c r="Q27" s="29">
        <f t="shared" si="2"/>
        <v>13.590135652276569</v>
      </c>
      <c r="R27" s="29">
        <f t="shared" si="2"/>
        <v>20.386115783436985</v>
      </c>
      <c r="S27" s="29">
        <f t="shared" si="2"/>
        <v>39.486686695199438</v>
      </c>
      <c r="T27" s="29">
        <f t="shared" si="2"/>
        <v>52.097954213987869</v>
      </c>
      <c r="U27" s="29">
        <f t="shared" si="2"/>
        <v>66.943522053348843</v>
      </c>
      <c r="V27" s="29">
        <f t="shared" si="2"/>
        <v>105.51180133498073</v>
      </c>
    </row>
    <row r="28" spans="1:22" x14ac:dyDescent="0.2">
      <c r="A28" s="47" t="s">
        <v>266</v>
      </c>
      <c r="B28" s="29" t="s">
        <v>267</v>
      </c>
      <c r="C28" s="29" t="s">
        <v>268</v>
      </c>
      <c r="D28" s="24">
        <v>7.0295764220199995E-4</v>
      </c>
      <c r="E28" s="24">
        <v>-2.0468361661309998E-3</v>
      </c>
      <c r="F28" s="24">
        <v>3.4527514505339999E-3</v>
      </c>
      <c r="G28" s="25">
        <v>2.4455459952575098</v>
      </c>
      <c r="H28" s="25">
        <v>1.5230192051962801</v>
      </c>
      <c r="I28" s="25">
        <v>3.3680727853187298</v>
      </c>
      <c r="K28" s="26">
        <v>33</v>
      </c>
      <c r="M28" s="29">
        <f t="shared" si="2"/>
        <v>0.37250221617999163</v>
      </c>
      <c r="N28" s="29">
        <f t="shared" si="2"/>
        <v>2.029137893486348</v>
      </c>
      <c r="O28" s="29">
        <f t="shared" si="2"/>
        <v>5.4695404012210327</v>
      </c>
      <c r="P28" s="29">
        <f t="shared" si="2"/>
        <v>19.076212683880112</v>
      </c>
      <c r="Q28" s="29">
        <f t="shared" si="2"/>
        <v>29.794323915402941</v>
      </c>
      <c r="R28" s="29">
        <f t="shared" si="2"/>
        <v>43.436516461227107</v>
      </c>
      <c r="S28" s="29">
        <f t="shared" si="2"/>
        <v>80.310588504348601</v>
      </c>
      <c r="T28" s="29">
        <f t="shared" si="2"/>
        <v>103.91418987521504</v>
      </c>
      <c r="U28" s="29">
        <f t="shared" si="2"/>
        <v>131.19055567508951</v>
      </c>
      <c r="V28" s="29">
        <f t="shared" si="2"/>
        <v>200.26017162615219</v>
      </c>
    </row>
    <row r="29" spans="1:22" x14ac:dyDescent="0.2">
      <c r="A29" s="47" t="s">
        <v>269</v>
      </c>
      <c r="B29" s="29" t="s">
        <v>267</v>
      </c>
      <c r="C29" s="29" t="s">
        <v>270</v>
      </c>
      <c r="D29" s="24">
        <v>1.7072009628100001E-4</v>
      </c>
      <c r="E29" s="24">
        <v>-9.3359289245000007E-5</v>
      </c>
      <c r="F29" s="24">
        <v>4.34799481808E-4</v>
      </c>
      <c r="G29" s="25">
        <v>2.9867529334932801</v>
      </c>
      <c r="H29" s="25">
        <v>2.5785284922314702</v>
      </c>
      <c r="I29" s="25">
        <v>3.3949773747550802</v>
      </c>
      <c r="K29" s="26">
        <v>25</v>
      </c>
      <c r="M29" s="29">
        <f t="shared" si="2"/>
        <v>0.3625419131890153</v>
      </c>
      <c r="N29" s="29">
        <f t="shared" si="2"/>
        <v>2.8738258364007554</v>
      </c>
      <c r="O29" s="29">
        <f t="shared" si="2"/>
        <v>9.6472054927622111</v>
      </c>
      <c r="P29" s="29">
        <f t="shared" si="2"/>
        <v>44.361776874272017</v>
      </c>
      <c r="Q29" s="29">
        <f t="shared" si="2"/>
        <v>76.472229514916521</v>
      </c>
      <c r="R29" s="29">
        <f t="shared" si="2"/>
        <v>121.18734539170784</v>
      </c>
      <c r="S29" s="29">
        <f t="shared" si="2"/>
        <v>256.71121168012201</v>
      </c>
      <c r="T29" s="29">
        <f t="shared" si="2"/>
        <v>351.65043238314115</v>
      </c>
      <c r="U29" s="29">
        <f t="shared" si="2"/>
        <v>467.45615183303551</v>
      </c>
      <c r="V29" s="29">
        <f t="shared" si="2"/>
        <v>783.58209900269128</v>
      </c>
    </row>
    <row r="30" spans="1:22" x14ac:dyDescent="0.2">
      <c r="A30" s="47" t="s">
        <v>271</v>
      </c>
      <c r="B30" s="29" t="s">
        <v>267</v>
      </c>
      <c r="C30" s="29" t="s">
        <v>268</v>
      </c>
      <c r="D30" s="24">
        <v>2.42560101933E-4</v>
      </c>
      <c r="E30" s="24">
        <v>-9.9141981004199995E-4</v>
      </c>
      <c r="F30" s="24">
        <v>1.4765400139079999E-3</v>
      </c>
      <c r="G30" s="25">
        <v>2.9071079812131599</v>
      </c>
      <c r="H30" s="25">
        <v>1.7902246361273799</v>
      </c>
      <c r="I30" s="25">
        <v>4.0239913262989502</v>
      </c>
      <c r="K30" s="26">
        <v>34</v>
      </c>
      <c r="M30" s="29">
        <f t="shared" si="2"/>
        <v>0.41992620446882806</v>
      </c>
      <c r="N30" s="29">
        <f t="shared" si="2"/>
        <v>3.1499211285646012</v>
      </c>
      <c r="O30" s="29">
        <f t="shared" si="2"/>
        <v>10.238020248966384</v>
      </c>
      <c r="P30" s="29">
        <f t="shared" si="2"/>
        <v>45.201646524872885</v>
      </c>
      <c r="Q30" s="29">
        <f t="shared" si="2"/>
        <v>76.796722742472568</v>
      </c>
      <c r="R30" s="29">
        <f t="shared" si="2"/>
        <v>120.21654259985527</v>
      </c>
      <c r="S30" s="29">
        <f t="shared" si="2"/>
        <v>249.6082823667335</v>
      </c>
      <c r="T30" s="29">
        <f t="shared" si="2"/>
        <v>339.06343524026329</v>
      </c>
      <c r="U30" s="29">
        <f t="shared" si="2"/>
        <v>447.31551640769652</v>
      </c>
      <c r="V30" s="29">
        <f t="shared" si="2"/>
        <v>739.56308856925216</v>
      </c>
    </row>
    <row r="31" spans="1:22" x14ac:dyDescent="0.2">
      <c r="A31" s="47" t="s">
        <v>272</v>
      </c>
      <c r="B31" s="29" t="s">
        <v>267</v>
      </c>
      <c r="C31" s="29" t="s">
        <v>270</v>
      </c>
      <c r="D31" s="24">
        <v>4.63131015092E-4</v>
      </c>
      <c r="E31" s="24">
        <v>-3.0619681218099998E-4</v>
      </c>
      <c r="F31" s="24">
        <v>1.2324588423659999E-3</v>
      </c>
      <c r="G31" s="25">
        <v>2.521221750849</v>
      </c>
      <c r="H31" s="25">
        <v>2.0636918066726699</v>
      </c>
      <c r="I31" s="25">
        <v>2.9787516950253199</v>
      </c>
      <c r="K31" s="26">
        <v>20</v>
      </c>
      <c r="M31" s="29">
        <f t="shared" si="2"/>
        <v>0.29799026401913514</v>
      </c>
      <c r="N31" s="29">
        <f t="shared" si="2"/>
        <v>1.7106668822020257</v>
      </c>
      <c r="O31" s="29">
        <f t="shared" si="2"/>
        <v>4.7547814550253991</v>
      </c>
      <c r="P31" s="29">
        <f t="shared" si="2"/>
        <v>17.236951240223235</v>
      </c>
      <c r="Q31" s="29">
        <f t="shared" si="2"/>
        <v>27.295680931032035</v>
      </c>
      <c r="R31" s="29">
        <f t="shared" si="2"/>
        <v>40.260729062752752</v>
      </c>
      <c r="S31" s="29">
        <f t="shared" si="2"/>
        <v>75.868071594452289</v>
      </c>
      <c r="T31" s="29">
        <f t="shared" si="2"/>
        <v>98.951828959376883</v>
      </c>
      <c r="U31" s="29">
        <f t="shared" si="2"/>
        <v>125.82993259870021</v>
      </c>
      <c r="V31" s="29">
        <f t="shared" si="2"/>
        <v>194.60778099722671</v>
      </c>
    </row>
    <row r="32" spans="1:22" x14ac:dyDescent="0.2">
      <c r="A32" s="47" t="s">
        <v>273</v>
      </c>
      <c r="B32" s="29" t="s">
        <v>267</v>
      </c>
      <c r="C32" s="50" t="s">
        <v>270</v>
      </c>
      <c r="D32" s="24">
        <v>1.19085032944E-4</v>
      </c>
      <c r="E32" s="24">
        <v>-6.9250330053000002E-5</v>
      </c>
      <c r="F32" s="24">
        <v>3.0742039594100002E-4</v>
      </c>
      <c r="G32" s="25">
        <v>2.8563364028274498</v>
      </c>
      <c r="H32" s="25">
        <v>2.4644426176517502</v>
      </c>
      <c r="I32" s="25">
        <v>3.2482301880031499</v>
      </c>
      <c r="K32" s="26">
        <v>21</v>
      </c>
      <c r="M32" s="29">
        <f t="shared" si="2"/>
        <v>0.1809898120440151</v>
      </c>
      <c r="N32" s="29">
        <f t="shared" si="2"/>
        <v>1.3106811815725377</v>
      </c>
      <c r="O32" s="29">
        <f t="shared" si="2"/>
        <v>4.1732359262089016</v>
      </c>
      <c r="P32" s="29">
        <f t="shared" si="2"/>
        <v>17.953436786315585</v>
      </c>
      <c r="Q32" s="29">
        <f t="shared" si="2"/>
        <v>30.221489999747803</v>
      </c>
      <c r="R32" s="29">
        <f t="shared" si="2"/>
        <v>46.939496271025043</v>
      </c>
      <c r="S32" s="29">
        <f t="shared" si="2"/>
        <v>96.225847737580438</v>
      </c>
      <c r="T32" s="29">
        <f t="shared" si="2"/>
        <v>130.01412330685966</v>
      </c>
      <c r="U32" s="29">
        <f t="shared" si="2"/>
        <v>170.69545802554998</v>
      </c>
      <c r="V32" s="29">
        <f t="shared" si="2"/>
        <v>279.74970029351113</v>
      </c>
    </row>
    <row r="33" spans="1:22" x14ac:dyDescent="0.2">
      <c r="A33" s="47" t="s">
        <v>174</v>
      </c>
      <c r="B33" s="29" t="s">
        <v>267</v>
      </c>
      <c r="C33" s="29" t="s">
        <v>270</v>
      </c>
      <c r="D33" s="24">
        <v>4.5738562242099998E-4</v>
      </c>
      <c r="E33" s="24">
        <v>1.4252874994300001E-4</v>
      </c>
      <c r="F33" s="24">
        <v>7.7224249489899995E-4</v>
      </c>
      <c r="G33" s="25">
        <v>2.7079740533524599</v>
      </c>
      <c r="H33" s="25">
        <v>2.5247909609396699</v>
      </c>
      <c r="I33" s="25">
        <v>2.8911571457652601</v>
      </c>
      <c r="K33" s="26">
        <v>22</v>
      </c>
      <c r="M33" s="29">
        <f t="shared" si="2"/>
        <v>0.47512972737432846</v>
      </c>
      <c r="N33" s="29">
        <f t="shared" si="2"/>
        <v>3.1045139898844645</v>
      </c>
      <c r="O33" s="29">
        <f t="shared" si="2"/>
        <v>9.3077386815104486</v>
      </c>
      <c r="P33" s="29">
        <f t="shared" si="2"/>
        <v>37.119732642741944</v>
      </c>
      <c r="Q33" s="29">
        <f t="shared" si="2"/>
        <v>60.817084863588072</v>
      </c>
      <c r="R33" s="29">
        <f t="shared" si="2"/>
        <v>92.324245807985335</v>
      </c>
      <c r="S33" s="29">
        <f t="shared" si="2"/>
        <v>182.33756881945624</v>
      </c>
      <c r="T33" s="29">
        <f t="shared" si="2"/>
        <v>242.54161053444895</v>
      </c>
      <c r="U33" s="29">
        <f t="shared" si="2"/>
        <v>313.96162950759123</v>
      </c>
      <c r="V33" s="29">
        <f t="shared" si="2"/>
        <v>501.51082912465131</v>
      </c>
    </row>
    <row r="34" spans="1:22" x14ac:dyDescent="0.2">
      <c r="A34" s="47" t="s">
        <v>175</v>
      </c>
      <c r="B34" s="29" t="s">
        <v>267</v>
      </c>
      <c r="C34" s="29" t="s">
        <v>270</v>
      </c>
      <c r="D34" s="24">
        <v>1.87750992E-7</v>
      </c>
      <c r="E34" s="24">
        <v>-6.9411570799999997E-7</v>
      </c>
      <c r="F34" s="24">
        <v>1.0696176919999999E-6</v>
      </c>
      <c r="G34" s="25">
        <v>4.3283526546853697</v>
      </c>
      <c r="H34" s="25">
        <v>3.3802944224506799</v>
      </c>
      <c r="I34" s="25">
        <v>5.2764108869200701</v>
      </c>
      <c r="K34" s="26">
        <v>24</v>
      </c>
      <c r="M34" s="29">
        <f t="shared" si="2"/>
        <v>1.2448639960088284E-2</v>
      </c>
      <c r="N34" s="29">
        <f t="shared" si="2"/>
        <v>0.25008398860303632</v>
      </c>
      <c r="O34" s="29">
        <f t="shared" si="2"/>
        <v>1.4463418606308189</v>
      </c>
      <c r="P34" s="29">
        <f t="shared" si="2"/>
        <v>13.198074643903119</v>
      </c>
      <c r="Q34" s="29">
        <f t="shared" si="2"/>
        <v>29.05594045211074</v>
      </c>
      <c r="R34" s="29">
        <f t="shared" si="2"/>
        <v>56.624483211320495</v>
      </c>
      <c r="S34" s="29">
        <f t="shared" si="2"/>
        <v>168.04283717095981</v>
      </c>
      <c r="T34" s="29">
        <f t="shared" si="2"/>
        <v>265.13957825192637</v>
      </c>
      <c r="U34" s="29">
        <f t="shared" si="2"/>
        <v>400.53152098035599</v>
      </c>
      <c r="V34" s="29">
        <f t="shared" si="2"/>
        <v>846.74326374383804</v>
      </c>
    </row>
    <row r="35" spans="1:22" x14ac:dyDescent="0.2">
      <c r="A35" s="51" t="s">
        <v>176</v>
      </c>
      <c r="B35" s="52" t="s">
        <v>267</v>
      </c>
      <c r="C35" s="52" t="s">
        <v>270</v>
      </c>
      <c r="D35" s="53">
        <v>2.3243999999999999E-4</v>
      </c>
      <c r="E35" s="53">
        <v>-1.8503999999999998E-4</v>
      </c>
      <c r="F35" s="53">
        <v>6.4992000000000001E-4</v>
      </c>
      <c r="G35" s="53">
        <v>2.8275000000000001</v>
      </c>
      <c r="H35" s="54">
        <v>2.6890828400000002</v>
      </c>
      <c r="I35" s="54">
        <v>2.9659171600000001</v>
      </c>
      <c r="J35" s="54"/>
      <c r="M35" s="29">
        <f t="shared" si="2"/>
        <v>0.32808448664392187</v>
      </c>
      <c r="N35" s="29">
        <f t="shared" si="2"/>
        <v>2.3288848095681796</v>
      </c>
      <c r="O35" s="29">
        <f t="shared" si="2"/>
        <v>7.3290223002057147</v>
      </c>
      <c r="P35" s="29">
        <f t="shared" si="2"/>
        <v>31.068721541401505</v>
      </c>
      <c r="Q35" s="29">
        <f t="shared" si="2"/>
        <v>52.02455281727579</v>
      </c>
      <c r="R35" s="29">
        <f t="shared" si="2"/>
        <v>80.445249606422479</v>
      </c>
      <c r="S35" s="29">
        <f t="shared" si="2"/>
        <v>163.72175480278165</v>
      </c>
      <c r="T35" s="29">
        <f t="shared" si="2"/>
        <v>220.53914950572718</v>
      </c>
      <c r="U35" s="29">
        <f t="shared" si="2"/>
        <v>288.75101047272403</v>
      </c>
      <c r="V35" s="29">
        <f t="shared" si="2"/>
        <v>470.87452158655412</v>
      </c>
    </row>
    <row r="36" spans="1:22" x14ac:dyDescent="0.2">
      <c r="A36" s="51"/>
      <c r="B36" s="52"/>
      <c r="C36" s="52"/>
      <c r="D36" s="53"/>
      <c r="E36" s="53"/>
      <c r="F36" s="53"/>
      <c r="G36" s="53"/>
      <c r="H36" s="54"/>
      <c r="I36" s="54"/>
      <c r="J36" s="54"/>
      <c r="L36" s="44" t="s">
        <v>177</v>
      </c>
      <c r="M36" s="29">
        <f t="shared" ref="M36:V36" si="3">AVERAGE(M31:M35)</f>
        <v>0.25892858600829777</v>
      </c>
      <c r="N36" s="29">
        <f t="shared" si="3"/>
        <v>1.7409661703660486</v>
      </c>
      <c r="O36" s="29">
        <f t="shared" si="3"/>
        <v>5.4022240447162568</v>
      </c>
      <c r="P36" s="29">
        <f t="shared" si="3"/>
        <v>23.315383370917075</v>
      </c>
      <c r="Q36" s="29">
        <f t="shared" si="3"/>
        <v>39.882949812750894</v>
      </c>
      <c r="R36" s="29">
        <f t="shared" si="3"/>
        <v>63.318840791901223</v>
      </c>
      <c r="S36" s="29">
        <f t="shared" si="3"/>
        <v>137.23921602504609</v>
      </c>
      <c r="T36" s="29">
        <f t="shared" si="3"/>
        <v>191.43725811166783</v>
      </c>
      <c r="U36" s="29">
        <f t="shared" si="3"/>
        <v>259.95391031698426</v>
      </c>
      <c r="V36" s="29">
        <f t="shared" si="3"/>
        <v>458.69721914915624</v>
      </c>
    </row>
    <row r="37" spans="1:22" x14ac:dyDescent="0.2">
      <c r="A37" s="47" t="s">
        <v>178</v>
      </c>
      <c r="B37" s="29" t="s">
        <v>267</v>
      </c>
      <c r="C37" s="29" t="s">
        <v>179</v>
      </c>
      <c r="D37" s="24">
        <v>3.4109367924970001E-3</v>
      </c>
      <c r="E37" s="24">
        <v>-3.5400327863019999E-3</v>
      </c>
      <c r="F37" s="24">
        <v>1.0361906371295001E-2</v>
      </c>
      <c r="G37" s="25">
        <v>2.04637750011742</v>
      </c>
      <c r="H37" s="25">
        <v>1.5550838597347101</v>
      </c>
      <c r="I37" s="25">
        <v>2.53767114050012</v>
      </c>
      <c r="K37" s="26">
        <v>19</v>
      </c>
      <c r="M37" s="29">
        <f t="shared" ref="M37:V39" si="4">$D37*M$2^$G37</f>
        <v>0.6492654369342209</v>
      </c>
      <c r="N37" s="29">
        <f t="shared" si="4"/>
        <v>2.6819044086535837</v>
      </c>
      <c r="O37" s="29">
        <f t="shared" si="4"/>
        <v>6.1488299809861759</v>
      </c>
      <c r="P37" s="29">
        <f t="shared" si="4"/>
        <v>17.489555596161964</v>
      </c>
      <c r="Q37" s="29">
        <f t="shared" si="4"/>
        <v>25.39881733414812</v>
      </c>
      <c r="R37" s="29">
        <f t="shared" si="4"/>
        <v>34.818647609769023</v>
      </c>
      <c r="S37" s="29">
        <f t="shared" si="4"/>
        <v>58.232131242964883</v>
      </c>
      <c r="T37" s="29">
        <f t="shared" si="4"/>
        <v>72.243667366958363</v>
      </c>
      <c r="U37" s="29">
        <f t="shared" si="4"/>
        <v>87.80208800484256</v>
      </c>
      <c r="V37" s="29">
        <f t="shared" si="4"/>
        <v>125.08757106141607</v>
      </c>
    </row>
    <row r="38" spans="1:22" x14ac:dyDescent="0.2">
      <c r="A38" s="47" t="s">
        <v>180</v>
      </c>
      <c r="B38" s="29" t="s">
        <v>181</v>
      </c>
      <c r="C38" s="29" t="s">
        <v>182</v>
      </c>
      <c r="D38" s="24">
        <v>3.2494081849000001E-5</v>
      </c>
      <c r="E38" s="24">
        <v>-9.9493588762E-5</v>
      </c>
      <c r="F38" s="24">
        <v>1.6448175246E-4</v>
      </c>
      <c r="G38" s="25">
        <v>2.2252497447310202</v>
      </c>
      <c r="H38" s="25">
        <v>1.46090425156488</v>
      </c>
      <c r="I38" s="25">
        <v>2.98959523789715</v>
      </c>
      <c r="K38" s="26">
        <v>31</v>
      </c>
      <c r="M38" s="29">
        <f t="shared" si="4"/>
        <v>9.7860274682679341E-3</v>
      </c>
      <c r="N38" s="29">
        <f t="shared" si="4"/>
        <v>4.5758665625266717E-2</v>
      </c>
      <c r="O38" s="29">
        <f t="shared" si="4"/>
        <v>0.11280293008691275</v>
      </c>
      <c r="P38" s="29">
        <f t="shared" si="4"/>
        <v>0.35155174190523231</v>
      </c>
      <c r="Q38" s="29">
        <f t="shared" si="4"/>
        <v>0.52745729317996393</v>
      </c>
      <c r="R38" s="29">
        <f t="shared" si="4"/>
        <v>0.74329400195066353</v>
      </c>
      <c r="S38" s="29">
        <f t="shared" si="4"/>
        <v>1.3002723605112769</v>
      </c>
      <c r="T38" s="29">
        <f t="shared" si="4"/>
        <v>1.6438272485933261</v>
      </c>
      <c r="U38" s="29">
        <f t="shared" si="4"/>
        <v>2.0321943390949753</v>
      </c>
      <c r="V38" s="29">
        <f t="shared" si="4"/>
        <v>2.9861399862296008</v>
      </c>
    </row>
    <row r="39" spans="1:22" x14ac:dyDescent="0.2">
      <c r="A39" s="47" t="s">
        <v>183</v>
      </c>
      <c r="B39" s="29" t="s">
        <v>181</v>
      </c>
      <c r="C39" s="29" t="s">
        <v>182</v>
      </c>
      <c r="D39" s="24">
        <v>5.1662702181010003E-2</v>
      </c>
      <c r="E39" s="24">
        <v>-4.3939867490447003E-2</v>
      </c>
      <c r="F39" s="24">
        <v>0.14726527185246699</v>
      </c>
      <c r="G39" s="25">
        <v>1.28732233781419</v>
      </c>
      <c r="H39" s="25">
        <v>0.94914907605683496</v>
      </c>
      <c r="I39" s="25">
        <v>1.6254955995715501</v>
      </c>
      <c r="K39" s="26">
        <v>30</v>
      </c>
      <c r="M39" s="29">
        <f t="shared" si="4"/>
        <v>1.403399373705998</v>
      </c>
      <c r="N39" s="29">
        <f t="shared" si="4"/>
        <v>3.4253418141783745</v>
      </c>
      <c r="O39" s="29">
        <f t="shared" si="4"/>
        <v>5.7728480640734015</v>
      </c>
      <c r="P39" s="29">
        <f t="shared" si="4"/>
        <v>11.142457299010792</v>
      </c>
      <c r="Q39" s="29">
        <f t="shared" si="4"/>
        <v>14.090057492723247</v>
      </c>
      <c r="R39" s="29">
        <f t="shared" si="4"/>
        <v>17.182836708330306</v>
      </c>
      <c r="S39" s="29">
        <f t="shared" si="4"/>
        <v>23.746465471814851</v>
      </c>
      <c r="T39" s="29">
        <f t="shared" si="4"/>
        <v>27.195911309416282</v>
      </c>
      <c r="U39" s="29">
        <f t="shared" si="4"/>
        <v>30.746051084179363</v>
      </c>
      <c r="V39" s="29">
        <f t="shared" si="4"/>
        <v>38.413496333832647</v>
      </c>
    </row>
    <row r="40" spans="1:22" x14ac:dyDescent="0.2">
      <c r="A40" s="36"/>
      <c r="M40" s="29">
        <f t="shared" ref="M40:V40" si="5">AVERAGE(M38:M39)</f>
        <v>0.70659270058713297</v>
      </c>
      <c r="N40" s="29">
        <f t="shared" si="5"/>
        <v>1.7355502399018206</v>
      </c>
      <c r="O40" s="29">
        <f t="shared" si="5"/>
        <v>2.9428254970801571</v>
      </c>
      <c r="P40" s="29">
        <f t="shared" si="5"/>
        <v>5.7470045204580122</v>
      </c>
      <c r="Q40" s="29">
        <f t="shared" si="5"/>
        <v>7.3087573929516054</v>
      </c>
      <c r="R40" s="29">
        <f t="shared" si="5"/>
        <v>8.9630653551404844</v>
      </c>
      <c r="S40" s="29">
        <f t="shared" si="5"/>
        <v>12.523368916163063</v>
      </c>
      <c r="T40" s="29">
        <f t="shared" si="5"/>
        <v>14.419869279004804</v>
      </c>
      <c r="U40" s="29">
        <f t="shared" si="5"/>
        <v>16.389122711637171</v>
      </c>
      <c r="V40" s="29">
        <f t="shared" si="5"/>
        <v>20.699818160031125</v>
      </c>
    </row>
    <row r="41" spans="1:22" x14ac:dyDescent="0.2">
      <c r="A41" s="47" t="s">
        <v>184</v>
      </c>
      <c r="D41" s="24">
        <v>3.5999999999999999E-3</v>
      </c>
      <c r="G41" s="55">
        <v>3.343</v>
      </c>
      <c r="M41" s="29">
        <f t="shared" ref="M41:V44" si="6">($D41)*(M$2/10)^$G41</f>
        <v>8.6539648628772056E-3</v>
      </c>
      <c r="N41" s="29">
        <f t="shared" si="6"/>
        <v>8.7812916817133657E-2</v>
      </c>
      <c r="O41" s="29">
        <f t="shared" si="6"/>
        <v>0.3405896780573951</v>
      </c>
      <c r="P41" s="29">
        <f t="shared" si="6"/>
        <v>1.8787623655540442</v>
      </c>
      <c r="Q41" s="29">
        <f t="shared" si="6"/>
        <v>3.4560081467773327</v>
      </c>
      <c r="R41" s="29">
        <f t="shared" si="6"/>
        <v>5.7859926189938173</v>
      </c>
      <c r="S41" s="29">
        <f t="shared" si="6"/>
        <v>13.404414119688594</v>
      </c>
      <c r="T41" s="29">
        <f t="shared" si="6"/>
        <v>19.064048206766955</v>
      </c>
      <c r="U41" s="29">
        <f t="shared" si="6"/>
        <v>26.217475692017739</v>
      </c>
      <c r="V41" s="29">
        <f t="shared" si="6"/>
        <v>46.740488274257451</v>
      </c>
    </row>
    <row r="42" spans="1:22" x14ac:dyDescent="0.2">
      <c r="A42" s="47" t="s">
        <v>185</v>
      </c>
      <c r="D42" s="24">
        <v>1.5599999999999999E-2</v>
      </c>
      <c r="G42" s="55">
        <v>3</v>
      </c>
      <c r="M42" s="29">
        <f t="shared" si="6"/>
        <v>3.4273200000000004E-2</v>
      </c>
      <c r="N42" s="29">
        <f t="shared" si="6"/>
        <v>0.27418560000000003</v>
      </c>
      <c r="O42" s="29">
        <f t="shared" si="6"/>
        <v>0.92537639999999988</v>
      </c>
      <c r="P42" s="29">
        <f t="shared" si="6"/>
        <v>4.2841499999999995</v>
      </c>
      <c r="Q42" s="29">
        <f t="shared" si="6"/>
        <v>7.403011199999999</v>
      </c>
      <c r="R42" s="29">
        <f t="shared" si="6"/>
        <v>11.755707599999997</v>
      </c>
      <c r="S42" s="29">
        <f t="shared" si="6"/>
        <v>24.985162799999998</v>
      </c>
      <c r="T42" s="29">
        <f t="shared" si="6"/>
        <v>34.273199999999996</v>
      </c>
      <c r="U42" s="29">
        <f t="shared" si="6"/>
        <v>45.617629200000003</v>
      </c>
      <c r="V42" s="29">
        <f t="shared" si="6"/>
        <v>76.642799999999994</v>
      </c>
    </row>
    <row r="43" spans="1:22" x14ac:dyDescent="0.2">
      <c r="A43" s="45" t="s">
        <v>186</v>
      </c>
      <c r="D43" s="24">
        <v>0.04</v>
      </c>
      <c r="G43" s="25">
        <v>2.82</v>
      </c>
      <c r="M43" s="29">
        <f t="shared" si="6"/>
        <v>8.3826289872138346E-2</v>
      </c>
      <c r="N43" s="29">
        <f t="shared" si="6"/>
        <v>0.59194973790452399</v>
      </c>
      <c r="O43" s="29">
        <f t="shared" si="6"/>
        <v>1.8572150021703697</v>
      </c>
      <c r="P43" s="29">
        <f t="shared" si="6"/>
        <v>7.8428815697413112</v>
      </c>
      <c r="Q43" s="29">
        <f t="shared" si="6"/>
        <v>13.114953977373935</v>
      </c>
      <c r="R43" s="29">
        <f t="shared" si="6"/>
        <v>20.256141292257524</v>
      </c>
      <c r="S43" s="29">
        <f t="shared" si="6"/>
        <v>41.147563247137462</v>
      </c>
      <c r="T43" s="29">
        <f t="shared" si="6"/>
        <v>55.383480489307274</v>
      </c>
      <c r="U43" s="29">
        <f t="shared" si="6"/>
        <v>72.461549555886506</v>
      </c>
      <c r="V43" s="29">
        <f t="shared" si="6"/>
        <v>118.01193995078761</v>
      </c>
    </row>
    <row r="44" spans="1:22" ht="15" customHeight="1" x14ac:dyDescent="0.2">
      <c r="A44" s="39" t="s">
        <v>187</v>
      </c>
      <c r="D44" s="24">
        <v>1E-3</v>
      </c>
      <c r="G44" s="25">
        <v>3.5</v>
      </c>
      <c r="M44" s="29">
        <f t="shared" si="6"/>
        <v>2.5049654089428063E-3</v>
      </c>
      <c r="N44" s="29">
        <f t="shared" si="6"/>
        <v>2.8340448436819057E-2</v>
      </c>
      <c r="O44" s="29">
        <f t="shared" si="6"/>
        <v>0.11714563870627021</v>
      </c>
      <c r="P44" s="29">
        <f t="shared" si="6"/>
        <v>0.70015911696020916</v>
      </c>
      <c r="Q44" s="29">
        <f t="shared" si="6"/>
        <v>1.3253516082501289</v>
      </c>
      <c r="R44" s="29">
        <f t="shared" si="6"/>
        <v>2.2732378216044831</v>
      </c>
      <c r="S44" s="29">
        <f t="shared" si="6"/>
        <v>5.4783593493579135</v>
      </c>
      <c r="T44" s="29">
        <f t="shared" si="6"/>
        <v>7.9213961521943865</v>
      </c>
      <c r="U44" s="29">
        <f t="shared" si="6"/>
        <v>11.057988428169953</v>
      </c>
      <c r="V44" s="29">
        <f t="shared" si="6"/>
        <v>20.25681793865958</v>
      </c>
    </row>
    <row r="45" spans="1:22" ht="18.75" x14ac:dyDescent="0.25">
      <c r="A45" s="47"/>
      <c r="C45" s="56" t="s">
        <v>101</v>
      </c>
      <c r="E45" s="23" t="s">
        <v>71</v>
      </c>
    </row>
    <row r="46" spans="1:22" x14ac:dyDescent="0.2">
      <c r="A46" s="47"/>
      <c r="C46" s="30" t="s">
        <v>215</v>
      </c>
      <c r="D46" s="31" t="s">
        <v>87</v>
      </c>
      <c r="E46" s="33" t="s">
        <v>90</v>
      </c>
      <c r="F46" s="57" t="s">
        <v>188</v>
      </c>
    </row>
    <row r="47" spans="1:22" x14ac:dyDescent="0.2">
      <c r="A47" s="45"/>
      <c r="C47" s="26">
        <v>17.899999999999999</v>
      </c>
      <c r="D47" s="24">
        <v>2.57323478403E-4</v>
      </c>
      <c r="E47" s="25">
        <v>3.1303867405726802</v>
      </c>
      <c r="F47" s="24">
        <f>D47*C47^E47</f>
        <v>2.1497795607248915</v>
      </c>
      <c r="K47" s="46"/>
      <c r="L47" s="58"/>
      <c r="N47" s="59"/>
    </row>
    <row r="48" spans="1:22" x14ac:dyDescent="0.2">
      <c r="A48" s="39"/>
      <c r="C48" s="26">
        <v>17.899999999999999</v>
      </c>
      <c r="D48" s="24">
        <v>7.2218612300760003E-3</v>
      </c>
      <c r="E48" s="25">
        <v>2.0710977731065499</v>
      </c>
      <c r="F48" s="24">
        <f>D48*C48^E48</f>
        <v>2.8407319874782231</v>
      </c>
      <c r="K48" s="41"/>
      <c r="L48" s="58"/>
    </row>
    <row r="49" spans="1:12" x14ac:dyDescent="0.2">
      <c r="A49" s="39"/>
      <c r="C49" s="26">
        <v>17.899999999999999</v>
      </c>
      <c r="D49" s="24">
        <v>1.8679412636230001E-3</v>
      </c>
      <c r="E49" s="25">
        <v>2.4997532233707398</v>
      </c>
      <c r="F49" s="24">
        <f>D49*C49^E49</f>
        <v>2.5303850822858243</v>
      </c>
      <c r="K49" s="41"/>
      <c r="L49" s="42"/>
    </row>
    <row r="50" spans="1:12" x14ac:dyDescent="0.2">
      <c r="A50" s="39"/>
      <c r="C50" s="26">
        <v>17.899999999999999</v>
      </c>
      <c r="D50" s="24">
        <v>1.6429316538999999E-4</v>
      </c>
      <c r="E50" s="25">
        <v>3.1510569137210598</v>
      </c>
      <c r="F50" s="24">
        <f>D50*C50^E50</f>
        <v>1.4569032169877902</v>
      </c>
      <c r="K50" s="41"/>
      <c r="L50" s="42"/>
    </row>
    <row r="51" spans="1:12" x14ac:dyDescent="0.2">
      <c r="A51" s="39"/>
      <c r="B51" s="40"/>
      <c r="D51" s="40"/>
      <c r="E51" s="40"/>
      <c r="F51" s="32" t="s">
        <v>189</v>
      </c>
      <c r="G51" s="25" t="s">
        <v>190</v>
      </c>
      <c r="K51" s="41"/>
      <c r="L51" s="42"/>
    </row>
    <row r="52" spans="1:12" x14ac:dyDescent="0.2">
      <c r="A52" s="39"/>
      <c r="B52" s="40"/>
      <c r="C52" s="40"/>
      <c r="D52" s="40"/>
      <c r="E52" s="60" t="s">
        <v>191</v>
      </c>
      <c r="F52" s="32">
        <f>AVERAGE(F47:F51)</f>
        <v>2.2444499618691824</v>
      </c>
      <c r="K52" s="41"/>
      <c r="L52" s="42"/>
    </row>
    <row r="53" spans="1:12" x14ac:dyDescent="0.2">
      <c r="A53" s="40"/>
      <c r="B53" s="40"/>
      <c r="C53" s="40"/>
      <c r="D53" s="37"/>
      <c r="E53" s="37"/>
      <c r="K53" s="41"/>
      <c r="L53" s="40"/>
    </row>
    <row r="54" spans="1:12" x14ac:dyDescent="0.2">
      <c r="A54" s="61" t="s">
        <v>192</v>
      </c>
      <c r="B54" s="40" t="s">
        <v>193</v>
      </c>
      <c r="C54" s="40">
        <v>25</v>
      </c>
      <c r="D54" s="37">
        <f>D17</f>
        <v>5.07777505782E-4</v>
      </c>
      <c r="E54" s="37">
        <f>G17</f>
        <v>2.9035099851393</v>
      </c>
      <c r="F54" s="24">
        <f>D54*C54^E54</f>
        <v>5.8157567283546223</v>
      </c>
      <c r="G54" s="25">
        <f>F54*2</f>
        <v>11.631513456709245</v>
      </c>
      <c r="H54" s="25">
        <v>0.39613453115415392</v>
      </c>
      <c r="I54" s="25">
        <f>G54*H54</f>
        <v>4.607644129786749</v>
      </c>
      <c r="K54" s="41"/>
      <c r="L54" s="40"/>
    </row>
    <row r="55" spans="1:12" x14ac:dyDescent="0.2">
      <c r="A55" s="62" t="s">
        <v>194</v>
      </c>
      <c r="B55" s="29" t="s">
        <v>195</v>
      </c>
      <c r="C55" s="29">
        <v>66.7</v>
      </c>
      <c r="D55" s="24">
        <f>D23</f>
        <v>8.8183405828309996E-3</v>
      </c>
      <c r="E55" s="24">
        <f>G23</f>
        <v>2.1524839552016002</v>
      </c>
      <c r="F55" s="24">
        <f>D55*C55^E55</f>
        <v>74.436930808823377</v>
      </c>
      <c r="G55" s="25">
        <f>F55*1</f>
        <v>74.436930808823377</v>
      </c>
      <c r="H55" s="25">
        <v>0.73253843279593644</v>
      </c>
      <c r="I55" s="25">
        <f>G55*H55</f>
        <v>54.527912636835033</v>
      </c>
    </row>
    <row r="60" spans="1:12" x14ac:dyDescent="0.2">
      <c r="D60" s="24">
        <v>1.3200000000000001E-4</v>
      </c>
      <c r="E60" s="24">
        <v>3.169</v>
      </c>
    </row>
    <row r="62" spans="1:12" x14ac:dyDescent="0.2">
      <c r="D62" s="24">
        <v>2.3243999999999999E-4</v>
      </c>
      <c r="E62" s="24">
        <v>2.8275000000000001</v>
      </c>
    </row>
    <row r="63" spans="1:12" x14ac:dyDescent="0.2">
      <c r="D63" s="24">
        <v>2.13E-4</v>
      </c>
      <c r="E63" s="24">
        <v>7.0621000000000003E-2</v>
      </c>
    </row>
    <row r="64" spans="1:12" x14ac:dyDescent="0.2">
      <c r="D64" s="24">
        <f>D62-1.96*D63</f>
        <v>-1.8503999999999998E-4</v>
      </c>
      <c r="E64" s="24">
        <f>E62-1.96*E63</f>
        <v>2.6890828400000002</v>
      </c>
    </row>
    <row r="65" spans="2:18" x14ac:dyDescent="0.2">
      <c r="D65" s="24">
        <f>D62+1.96*D63</f>
        <v>6.4992000000000001E-4</v>
      </c>
      <c r="E65" s="24">
        <f>E62+1.96*E63</f>
        <v>2.9659171600000001</v>
      </c>
    </row>
    <row r="75" spans="2:18" x14ac:dyDescent="0.2">
      <c r="B75" s="29" t="s">
        <v>267</v>
      </c>
      <c r="C75" s="29" t="s">
        <v>196</v>
      </c>
      <c r="D75" s="24">
        <v>1</v>
      </c>
      <c r="E75" s="24">
        <v>3</v>
      </c>
      <c r="F75" s="24">
        <v>309</v>
      </c>
      <c r="G75" s="25">
        <v>6.7420000000000002E-5</v>
      </c>
      <c r="H75" s="25">
        <v>1.5E-5</v>
      </c>
      <c r="I75" s="25">
        <v>0.22120000000000001</v>
      </c>
      <c r="K75" s="26">
        <v>5.0869999999999999E-2</v>
      </c>
      <c r="L75" s="29">
        <v>1.5299999999999999E-2</v>
      </c>
      <c r="M75" s="29">
        <v>11.81</v>
      </c>
      <c r="N75" s="29">
        <v>9.7200000000000006</v>
      </c>
      <c r="O75" s="29">
        <v>12.07</v>
      </c>
      <c r="P75" s="29">
        <v>53.76</v>
      </c>
      <c r="Q75" s="29">
        <v>46.05</v>
      </c>
      <c r="R75" s="29">
        <v>54.33</v>
      </c>
    </row>
    <row r="76" spans="2:18" x14ac:dyDescent="0.2">
      <c r="B76" s="29" t="s">
        <v>267</v>
      </c>
      <c r="C76" s="29" t="s">
        <v>196</v>
      </c>
      <c r="D76" s="24">
        <v>5</v>
      </c>
      <c r="E76" s="24">
        <v>4</v>
      </c>
      <c r="F76" s="24">
        <v>1754</v>
      </c>
      <c r="G76" s="25">
        <v>1.3200000000000001E-4</v>
      </c>
      <c r="H76" s="25">
        <v>1.0000000000000001E-5</v>
      </c>
      <c r="I76" s="25">
        <v>7.8600000000000003E-2</v>
      </c>
      <c r="K76" s="26">
        <v>1.763E-2</v>
      </c>
      <c r="L76" s="29">
        <v>5.5999999999999999E-3</v>
      </c>
      <c r="M76" s="29">
        <v>13.39</v>
      </c>
      <c r="N76" s="29">
        <v>12.86</v>
      </c>
      <c r="O76" s="29">
        <v>13.65</v>
      </c>
      <c r="P76" s="29">
        <v>56.96</v>
      </c>
      <c r="Q76" s="29">
        <v>55.39</v>
      </c>
      <c r="R76" s="29">
        <v>57.4</v>
      </c>
    </row>
    <row r="77" spans="2:18" x14ac:dyDescent="0.2">
      <c r="B77" s="29" t="s">
        <v>267</v>
      </c>
      <c r="C77" s="29" t="s">
        <v>196</v>
      </c>
      <c r="D77" s="24">
        <v>7</v>
      </c>
      <c r="E77" s="24">
        <v>3</v>
      </c>
      <c r="F77" s="24">
        <v>255</v>
      </c>
      <c r="G77" s="25">
        <v>6.5709999999999998E-4</v>
      </c>
      <c r="H77" s="25">
        <v>2.13E-4</v>
      </c>
      <c r="I77" s="25">
        <v>0.32340000000000002</v>
      </c>
      <c r="K77" s="26">
        <v>7.0621000000000003E-2</v>
      </c>
      <c r="L77" s="29">
        <v>2.5000000000000001E-2</v>
      </c>
      <c r="M77" s="29">
        <v>19.25</v>
      </c>
      <c r="N77" s="29">
        <v>11.76</v>
      </c>
      <c r="O77" s="29">
        <v>19.850000000000001</v>
      </c>
      <c r="P77" s="29">
        <v>70.05</v>
      </c>
      <c r="Q77" s="29">
        <v>47.34</v>
      </c>
      <c r="R77" s="29">
        <v>71.02</v>
      </c>
    </row>
    <row r="78" spans="2:18" x14ac:dyDescent="0.2">
      <c r="B78" s="29" t="s">
        <v>267</v>
      </c>
      <c r="C78" s="29" t="s">
        <v>196</v>
      </c>
      <c r="D78" s="24">
        <v>8</v>
      </c>
      <c r="E78" s="24">
        <v>14</v>
      </c>
      <c r="F78" s="24">
        <v>5052</v>
      </c>
      <c r="G78" s="25">
        <v>7.3239999999999997E-5</v>
      </c>
      <c r="H78" s="25">
        <v>3.0000000000000001E-6</v>
      </c>
      <c r="I78" s="25">
        <v>4.4600000000000001E-2</v>
      </c>
      <c r="K78" s="26">
        <v>1.048E-2</v>
      </c>
      <c r="L78" s="29">
        <v>3.2000000000000002E-3</v>
      </c>
      <c r="M78" s="29">
        <v>12.41</v>
      </c>
      <c r="N78" s="29">
        <v>12.19</v>
      </c>
      <c r="O78" s="29">
        <v>12.53</v>
      </c>
      <c r="P78" s="29">
        <v>56.29</v>
      </c>
      <c r="Q78" s="29">
        <v>55.84</v>
      </c>
      <c r="R78" s="29">
        <v>56.48</v>
      </c>
    </row>
    <row r="80" spans="2:18" x14ac:dyDescent="0.2">
      <c r="G80" s="25">
        <f>AVERAGE(G75:G79)</f>
        <v>2.3243999999999999E-4</v>
      </c>
    </row>
  </sheetData>
  <phoneticPr fontId="7" type="noConversion"/>
  <hyperlinks>
    <hyperlink ref="D41" r:id="rId1" display="http://www.fishbase.org/PopDyn/FishLWSummary.php?ID=4249%09&amp;id2=4417%09&amp;genusname=Platichthys%09&amp;speciesname=stellatus%09&amp;fc=440&amp;variable_Length=10%09&amp;gm_a=0.0088238859082543%09&amp;gm_b=3.1100843664971" xr:uid="{00000000-0004-0000-0500-000000000000}"/>
    <hyperlink ref="D42" r:id="rId2" display="http://www.fishbase.org/PopDyn/FishLWSummary.php?ID=4032%09&amp;id2=4364%09&amp;genusname=Hexagrammos%09&amp;speciesname=decagrammus%09&amp;fc=271&amp;variable_Length=10%09&amp;gm_a=0.01558%09&amp;gm_b=3" xr:uid="{00000000-0004-0000-0500-000001000000}"/>
  </hyperlinks>
  <pageMargins left="0.75" right="0.75" top="1" bottom="1" header="0.5" footer="0.5"/>
  <headerFooter alignWithMargins="0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functions and szcl estimates</vt:lpstr>
      <vt:lpstr>'functions and szcl estimates'!LWRelationshipList</vt:lpstr>
    </vt:vector>
  </TitlesOfParts>
  <Company>Elkhorn Slough National Estuarine Research Reserve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Hughes</dc:creator>
  <cp:lastModifiedBy>Martin Tinker</cp:lastModifiedBy>
  <dcterms:created xsi:type="dcterms:W3CDTF">2012-07-15T22:27:59Z</dcterms:created>
  <dcterms:modified xsi:type="dcterms:W3CDTF">2021-12-07T02:03:42Z</dcterms:modified>
</cp:coreProperties>
</file>