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362cec7e0913ab/Documents/Nhydra/Projects/Estuaries_Drakes/"/>
    </mc:Choice>
  </mc:AlternateContent>
  <xr:revisionPtr revIDLastSave="285" documentId="8_{CE46AAF9-3692-4DF0-89E7-C4F32DD4B777}" xr6:coauthVersionLast="47" xr6:coauthVersionMax="47" xr10:uidLastSave="{18D4B81E-29D3-4F07-B885-85D0632BB18B}"/>
  <bookViews>
    <workbookView xWindow="1035" yWindow="75" windowWidth="27195" windowHeight="15375" xr2:uid="{2E085D0B-8CBF-462B-81E8-653F34C9896F}"/>
  </bookViews>
  <sheets>
    <sheet name="Data" sheetId="2" r:id="rId1"/>
    <sheet name="Calculati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2" l="1"/>
  <c r="P4" i="2"/>
  <c r="R4" i="2" s="1"/>
  <c r="P3" i="2"/>
  <c r="R3" i="2" s="1"/>
  <c r="L4" i="2"/>
  <c r="Q12" i="1" l="1"/>
  <c r="Q7" i="1"/>
  <c r="Q2" i="1"/>
  <c r="L4" i="1"/>
  <c r="K4" i="1"/>
  <c r="L2" i="1"/>
  <c r="K2" i="1"/>
  <c r="M2" i="1"/>
  <c r="O3" i="2"/>
  <c r="R2" i="2"/>
  <c r="K4" i="2"/>
  <c r="T4" i="2" s="1"/>
  <c r="K3" i="2" l="1"/>
  <c r="K2" i="2"/>
  <c r="L2" i="2" s="1"/>
  <c r="O9" i="1"/>
  <c r="O7" i="1"/>
  <c r="O6" i="1"/>
  <c r="O2" i="1"/>
  <c r="L14" i="1"/>
  <c r="L12" i="1"/>
  <c r="L9" i="1"/>
  <c r="L7" i="1"/>
  <c r="K14" i="1"/>
  <c r="K12" i="1"/>
  <c r="K9" i="1"/>
  <c r="K7" i="1"/>
  <c r="N16" i="1"/>
  <c r="O16" i="1" s="1"/>
  <c r="M16" i="1"/>
  <c r="N14" i="1"/>
  <c r="O14" i="1" s="1"/>
  <c r="M14" i="1"/>
  <c r="N12" i="1"/>
  <c r="O12" i="1" s="1"/>
  <c r="M12" i="1"/>
  <c r="N11" i="1"/>
  <c r="O11" i="1" s="1"/>
  <c r="M11" i="1"/>
  <c r="N9" i="1"/>
  <c r="M9" i="1"/>
  <c r="N7" i="1"/>
  <c r="M7" i="1"/>
  <c r="N6" i="1"/>
  <c r="M6" i="1"/>
  <c r="N4" i="1"/>
  <c r="N2" i="1"/>
  <c r="M4" i="1"/>
  <c r="O4" i="1" s="1"/>
  <c r="L3" i="2" l="1"/>
  <c r="T3" i="2" s="1"/>
  <c r="T2" i="2"/>
</calcChain>
</file>

<file path=xl/sharedStrings.xml><?xml version="1.0" encoding="utf-8"?>
<sst xmlns="http://schemas.openxmlformats.org/spreadsheetml/2006/main" count="67" uniqueCount="28">
  <si>
    <t>Crab</t>
  </si>
  <si>
    <t>Crab_L</t>
  </si>
  <si>
    <t>Crab_S</t>
  </si>
  <si>
    <t>Clam_L</t>
  </si>
  <si>
    <t>Clam_S</t>
  </si>
  <si>
    <t>Other</t>
  </si>
  <si>
    <t>Prey</t>
  </si>
  <si>
    <t>Year</t>
  </si>
  <si>
    <t>P_effort</t>
  </si>
  <si>
    <t>E_rate</t>
  </si>
  <si>
    <t>ER_sd</t>
  </si>
  <si>
    <t>P_sd</t>
  </si>
  <si>
    <t>P_cv</t>
  </si>
  <si>
    <t>Clam</t>
  </si>
  <si>
    <t>MASS</t>
  </si>
  <si>
    <t>Edens</t>
  </si>
  <si>
    <t>par1</t>
  </si>
  <si>
    <t>par2</t>
  </si>
  <si>
    <t>psi1</t>
  </si>
  <si>
    <t>psi2</t>
  </si>
  <si>
    <t>sig_h</t>
  </si>
  <si>
    <t>SZmm</t>
  </si>
  <si>
    <t>HT_min</t>
  </si>
  <si>
    <t>HT_sec</t>
  </si>
  <si>
    <t>a_base</t>
  </si>
  <si>
    <t>EG_item</t>
  </si>
  <si>
    <t>ER-calc</t>
  </si>
  <si>
    <t>Ppn_ed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</si>
</sst>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9C7B-3317-4D8C-98C3-5F051289D0D3}">
  <dimension ref="A1:T10"/>
  <sheetViews>
    <sheetView tabSelected="1" workbookViewId="0">
      <selection activeCell="N5" sqref="N5"/>
    </sheetView>
  </sheetViews>
  <sheetFormatPr defaultRowHeight="15" x14ac:dyDescent="0.25"/>
  <cols>
    <col min="4" max="4" width="9.5703125" bestFit="1" customWidth="1"/>
  </cols>
  <sheetData>
    <row r="1" spans="1:20" x14ac:dyDescent="0.25">
      <c r="A1" t="s">
        <v>7</v>
      </c>
      <c r="B1" t="s">
        <v>6</v>
      </c>
      <c r="C1" t="s">
        <v>9</v>
      </c>
      <c r="D1" t="s">
        <v>10</v>
      </c>
      <c r="E1" t="s">
        <v>8</v>
      </c>
      <c r="F1" t="s">
        <v>11</v>
      </c>
      <c r="G1" t="s">
        <v>21</v>
      </c>
      <c r="H1" t="s">
        <v>18</v>
      </c>
      <c r="I1" t="s">
        <v>19</v>
      </c>
      <c r="J1" t="s">
        <v>20</v>
      </c>
      <c r="K1" t="s">
        <v>23</v>
      </c>
      <c r="L1" t="s">
        <v>22</v>
      </c>
      <c r="M1" t="s">
        <v>16</v>
      </c>
      <c r="N1" t="s">
        <v>17</v>
      </c>
      <c r="O1" t="s">
        <v>27</v>
      </c>
      <c r="P1" t="s">
        <v>14</v>
      </c>
      <c r="Q1" t="s">
        <v>15</v>
      </c>
      <c r="R1" t="s">
        <v>25</v>
      </c>
      <c r="S1" t="s">
        <v>24</v>
      </c>
      <c r="T1" t="s">
        <v>26</v>
      </c>
    </row>
    <row r="2" spans="1:20" x14ac:dyDescent="0.25">
      <c r="A2">
        <v>2008</v>
      </c>
      <c r="B2" t="s">
        <v>0</v>
      </c>
      <c r="C2">
        <v>11.158039199217813</v>
      </c>
      <c r="D2">
        <v>3.8910113792231806</v>
      </c>
      <c r="E2">
        <v>0.4317124</v>
      </c>
      <c r="F2">
        <v>4.7199286659228228E-2</v>
      </c>
      <c r="G2" s="1">
        <v>75</v>
      </c>
      <c r="H2" s="1">
        <v>0.66784560000000004</v>
      </c>
      <c r="I2" s="1">
        <v>0.67288369999999997</v>
      </c>
      <c r="J2" s="1">
        <v>1.9</v>
      </c>
      <c r="K2">
        <f>EXP(H2+I2*(2.5*LN(G2)-7) + (J2^2)/2)</f>
        <v>152.25825746701571</v>
      </c>
      <c r="L2" s="1">
        <f>ROUND(K2/60, 2)</f>
        <v>2.54</v>
      </c>
      <c r="M2" s="1">
        <v>-2.2811349999999999</v>
      </c>
      <c r="N2" s="1">
        <v>1.723498</v>
      </c>
      <c r="O2" s="1">
        <v>0.65</v>
      </c>
      <c r="P2">
        <f xml:space="preserve"> ROUND(EXP(M2+N2*LN(G2))*O2,0)</f>
        <v>113</v>
      </c>
      <c r="Q2">
        <v>0.60799999999999998</v>
      </c>
      <c r="R2">
        <f>ROUND(P2*Q2,2)</f>
        <v>68.7</v>
      </c>
      <c r="S2">
        <v>0.8</v>
      </c>
      <c r="T2">
        <f>R2*S2/(1+S2*L2)</f>
        <v>18.126649076517154</v>
      </c>
    </row>
    <row r="3" spans="1:20" x14ac:dyDescent="0.25">
      <c r="A3">
        <v>2008</v>
      </c>
      <c r="B3" t="s">
        <v>13</v>
      </c>
      <c r="C3">
        <v>10.214812773907404</v>
      </c>
      <c r="D3">
        <v>2.8035260591670439</v>
      </c>
      <c r="E3">
        <v>0.53674690000000003</v>
      </c>
      <c r="F3">
        <v>4.9394053558095438E-2</v>
      </c>
      <c r="G3" s="1">
        <v>100</v>
      </c>
      <c r="H3" s="1">
        <v>2.3751658</v>
      </c>
      <c r="I3" s="1">
        <v>0.16623789999999999</v>
      </c>
      <c r="J3" s="1">
        <v>1.6</v>
      </c>
      <c r="K3">
        <f>EXP(H3+I3*(2.5*LN(G3)-7) + (J3^2)/2)</f>
        <v>81.890668951584871</v>
      </c>
      <c r="L3" s="1">
        <f>ROUND(K3/60, 2)</f>
        <v>1.36</v>
      </c>
      <c r="M3" s="1">
        <v>-9.2239799999999992</v>
      </c>
      <c r="N3" s="1">
        <v>3.108886</v>
      </c>
      <c r="O3" s="1">
        <f>AVERAGE(0.48,0.74)</f>
        <v>0.61</v>
      </c>
      <c r="P3">
        <f xml:space="preserve"> ROUND(EXP(M3+N3*LN(G3))*O3,0)</f>
        <v>99</v>
      </c>
      <c r="Q3">
        <v>0.71</v>
      </c>
      <c r="R3">
        <f>ROUND(P3*Q3,2)</f>
        <v>70.290000000000006</v>
      </c>
      <c r="S3">
        <v>0.2</v>
      </c>
      <c r="T3">
        <f t="shared" ref="T3:T4" si="0">R3*S3/(1+S3*L3)</f>
        <v>11.051886792452832</v>
      </c>
    </row>
    <row r="4" spans="1:20" x14ac:dyDescent="0.25">
      <c r="A4">
        <v>2008</v>
      </c>
      <c r="B4" t="s">
        <v>5</v>
      </c>
      <c r="C4">
        <v>4.6407609999999995</v>
      </c>
      <c r="D4">
        <v>2.08</v>
      </c>
      <c r="E4">
        <v>3.1540700000000088E-2</v>
      </c>
      <c r="F4">
        <v>4.5546180770181903E-3</v>
      </c>
      <c r="G4" s="1">
        <v>50</v>
      </c>
      <c r="H4" s="1">
        <v>1.8051674</v>
      </c>
      <c r="I4" s="1">
        <v>0.2141226</v>
      </c>
      <c r="J4" s="1">
        <v>1.7</v>
      </c>
      <c r="K4">
        <f>EXP(H4+I4*(2.5*LN(G4)-7) + (J4^2)/2)</f>
        <v>46.779288097982992</v>
      </c>
      <c r="L4" s="1">
        <f>ROUND(K4/60, 2)</f>
        <v>0.78</v>
      </c>
      <c r="M4" s="1">
        <v>-5.24817</v>
      </c>
      <c r="N4" s="1">
        <v>2.0727769999999999</v>
      </c>
      <c r="O4" s="1">
        <v>0.57999999999999996</v>
      </c>
      <c r="P4">
        <f xml:space="preserve"> ROUND(EXP(M4+N4*LN(G4))*O4,0)</f>
        <v>10</v>
      </c>
      <c r="Q4">
        <v>0.54700000000000004</v>
      </c>
      <c r="R4">
        <f>ROUND(P4*Q4,2)</f>
        <v>5.47</v>
      </c>
      <c r="S4">
        <v>2.5</v>
      </c>
      <c r="T4">
        <f t="shared" si="0"/>
        <v>4.6355932203389827</v>
      </c>
    </row>
    <row r="5" spans="1:20" x14ac:dyDescent="0.25">
      <c r="A5">
        <v>2013</v>
      </c>
      <c r="B5" t="s">
        <v>0</v>
      </c>
      <c r="C5">
        <v>9.8521957379447134</v>
      </c>
      <c r="D5">
        <v>1.1235425057133381</v>
      </c>
      <c r="E5">
        <v>0.17362840000000002</v>
      </c>
      <c r="F5">
        <v>1.4723948477225801E-2</v>
      </c>
      <c r="M5" s="1"/>
      <c r="N5" s="1"/>
    </row>
    <row r="6" spans="1:20" x14ac:dyDescent="0.25">
      <c r="A6">
        <v>2013</v>
      </c>
      <c r="B6" t="s">
        <v>13</v>
      </c>
      <c r="C6">
        <v>8.9426284237851323</v>
      </c>
      <c r="D6">
        <v>1.0301976319748214</v>
      </c>
      <c r="E6">
        <v>0.78616590000000008</v>
      </c>
      <c r="F6">
        <v>2.9671563795829838E-2</v>
      </c>
      <c r="M6" s="1"/>
      <c r="N6" s="1"/>
    </row>
    <row r="7" spans="1:20" x14ac:dyDescent="0.25">
      <c r="A7">
        <v>2013</v>
      </c>
      <c r="B7" t="s">
        <v>5</v>
      </c>
      <c r="E7">
        <v>4.02056999999999E-2</v>
      </c>
      <c r="F7">
        <v>3.5792035649156494E-3</v>
      </c>
    </row>
    <row r="8" spans="1:20" x14ac:dyDescent="0.25">
      <c r="A8">
        <v>2015</v>
      </c>
      <c r="B8" t="s">
        <v>0</v>
      </c>
      <c r="C8">
        <v>6.3154383027035657</v>
      </c>
      <c r="D8">
        <v>0.8137611886415288</v>
      </c>
      <c r="E8">
        <v>0.17976630000000002</v>
      </c>
      <c r="F8">
        <v>1.4584673202372415E-2</v>
      </c>
    </row>
    <row r="9" spans="1:20" x14ac:dyDescent="0.25">
      <c r="A9">
        <v>2015</v>
      </c>
      <c r="B9" t="s">
        <v>13</v>
      </c>
      <c r="C9">
        <v>6.4971619587536615</v>
      </c>
      <c r="D9">
        <v>0.66219613983858816</v>
      </c>
      <c r="E9">
        <v>0.73748799999999992</v>
      </c>
      <c r="F9">
        <v>2.981995075046235E-2</v>
      </c>
    </row>
    <row r="10" spans="1:20" x14ac:dyDescent="0.25">
      <c r="A10">
        <v>2015</v>
      </c>
      <c r="B10" t="s">
        <v>5</v>
      </c>
      <c r="E10">
        <v>8.2745700000000033E-2</v>
      </c>
      <c r="F10">
        <v>8.2849819512676726E-3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7D988-0279-4CAB-926F-B3C619882605}">
  <dimension ref="A1:Q16"/>
  <sheetViews>
    <sheetView workbookViewId="0">
      <selection activeCell="M14" sqref="M14"/>
    </sheetView>
  </sheetViews>
  <sheetFormatPr defaultRowHeight="15" x14ac:dyDescent="0.25"/>
  <sheetData>
    <row r="1" spans="1:17" x14ac:dyDescent="0.25">
      <c r="A1" t="s">
        <v>7</v>
      </c>
      <c r="B1" t="s">
        <v>6</v>
      </c>
      <c r="C1" t="s">
        <v>9</v>
      </c>
      <c r="D1" t="s">
        <v>10</v>
      </c>
      <c r="E1" t="s">
        <v>8</v>
      </c>
      <c r="F1" t="s">
        <v>11</v>
      </c>
      <c r="G1" t="s">
        <v>12</v>
      </c>
      <c r="I1" t="s">
        <v>7</v>
      </c>
      <c r="J1" t="s">
        <v>6</v>
      </c>
      <c r="K1" t="s">
        <v>9</v>
      </c>
      <c r="L1" t="s">
        <v>10</v>
      </c>
      <c r="M1" t="s">
        <v>8</v>
      </c>
      <c r="N1" t="s">
        <v>11</v>
      </c>
      <c r="O1" t="s">
        <v>12</v>
      </c>
    </row>
    <row r="2" spans="1:17" ht="15.75" thickBot="1" x14ac:dyDescent="0.3">
      <c r="A2">
        <v>2008</v>
      </c>
      <c r="B2" t="s">
        <v>1</v>
      </c>
      <c r="C2">
        <v>13.782866</v>
      </c>
      <c r="D2">
        <v>4.9955144999999996</v>
      </c>
      <c r="E2">
        <v>0.30880489999999999</v>
      </c>
      <c r="F2">
        <v>3.41833E-2</v>
      </c>
      <c r="G2">
        <v>0.16370928076879424</v>
      </c>
      <c r="I2">
        <v>2008</v>
      </c>
      <c r="J2" t="s">
        <v>0</v>
      </c>
      <c r="K2">
        <f>C2*(E2/(E2+E3)) + C3*(E3/(E2+E3))</f>
        <v>11.158039199217813</v>
      </c>
      <c r="L2">
        <f>SQRT(D2^2*(E2/(E2+E3))^2 + D3^2*(E3/(E2+E3))^2)</f>
        <v>3.8910113792231806</v>
      </c>
      <c r="M2">
        <f>E2+E3</f>
        <v>0.4317124</v>
      </c>
      <c r="N2">
        <f>SQRT(F2^2+F3^2)</f>
        <v>4.7199286659228228E-2</v>
      </c>
      <c r="O2">
        <f>N2/M2</f>
        <v>0.10933039370476323</v>
      </c>
      <c r="Q2">
        <f>SUM(M2:M6)</f>
        <v>1</v>
      </c>
    </row>
    <row r="3" spans="1:17" x14ac:dyDescent="0.25">
      <c r="A3">
        <v>2008</v>
      </c>
      <c r="B3" t="s">
        <v>2</v>
      </c>
      <c r="C3" s="1">
        <v>4.5631659999999998</v>
      </c>
      <c r="D3" s="2">
        <v>5.4091025999999998</v>
      </c>
      <c r="E3">
        <v>0.1229075</v>
      </c>
      <c r="F3">
        <v>3.2546499999999999E-2</v>
      </c>
      <c r="G3">
        <v>0.14600899476240142</v>
      </c>
      <c r="I3">
        <v>2008</v>
      </c>
    </row>
    <row r="4" spans="1:17" ht="15.75" thickBot="1" x14ac:dyDescent="0.3">
      <c r="A4">
        <v>2008</v>
      </c>
      <c r="B4" t="s">
        <v>3</v>
      </c>
      <c r="C4">
        <v>12.027302000000001</v>
      </c>
      <c r="D4">
        <v>3.4180934999999999</v>
      </c>
      <c r="E4">
        <v>0.44010460000000001</v>
      </c>
      <c r="F4">
        <v>3.9250100000000003E-2</v>
      </c>
      <c r="G4">
        <v>0.11540596628213792</v>
      </c>
      <c r="I4">
        <v>2008</v>
      </c>
      <c r="J4" t="s">
        <v>13</v>
      </c>
      <c r="K4">
        <f>C4*(E4/(E4+E5)) + C5*(E5/(E4+E5))</f>
        <v>10.214812773907404</v>
      </c>
      <c r="L4">
        <f>SQRT(D4^2*(E4/(E4+E5))^2 + D5^2*(E5/(E4+E5))^2)</f>
        <v>2.8035260591670439</v>
      </c>
      <c r="M4">
        <f>E4+E5</f>
        <v>0.53674690000000003</v>
      </c>
      <c r="N4">
        <f>SQRT(F4^2+F5^2)</f>
        <v>4.9394053558095438E-2</v>
      </c>
      <c r="O4">
        <f>N4/M4</f>
        <v>9.2024851113430631E-2</v>
      </c>
    </row>
    <row r="5" spans="1:17" x14ac:dyDescent="0.25">
      <c r="A5">
        <v>2008</v>
      </c>
      <c r="B5" t="s">
        <v>4</v>
      </c>
      <c r="C5" s="1">
        <v>1.96082</v>
      </c>
      <c r="D5" s="2">
        <v>0.38716299999999998</v>
      </c>
      <c r="E5">
        <v>9.66423E-2</v>
      </c>
      <c r="F5">
        <v>2.9986700000000002E-2</v>
      </c>
      <c r="G5">
        <v>0.15249363946617794</v>
      </c>
      <c r="I5">
        <v>2008</v>
      </c>
    </row>
    <row r="6" spans="1:17" x14ac:dyDescent="0.25">
      <c r="A6">
        <v>2008</v>
      </c>
      <c r="B6" t="s">
        <v>5</v>
      </c>
      <c r="C6">
        <v>4.6407609999999995</v>
      </c>
      <c r="D6">
        <v>2.08</v>
      </c>
      <c r="E6">
        <v>3.1540700000000088E-2</v>
      </c>
      <c r="F6">
        <v>4.5546180770181903E-3</v>
      </c>
      <c r="G6">
        <v>0.14440447031987791</v>
      </c>
      <c r="I6">
        <v>2008</v>
      </c>
      <c r="J6" t="s">
        <v>5</v>
      </c>
      <c r="K6">
        <v>4.6407609999999995</v>
      </c>
      <c r="L6">
        <v>2.08</v>
      </c>
      <c r="M6">
        <f>E6</f>
        <v>3.1540700000000088E-2</v>
      </c>
      <c r="N6">
        <f>F6</f>
        <v>4.5546180770181903E-3</v>
      </c>
      <c r="O6">
        <f>N6/M6</f>
        <v>0.14440447031987805</v>
      </c>
    </row>
    <row r="7" spans="1:17" x14ac:dyDescent="0.25">
      <c r="A7">
        <v>2013</v>
      </c>
      <c r="B7" t="s">
        <v>1</v>
      </c>
      <c r="C7">
        <v>13.378879400000001</v>
      </c>
      <c r="D7">
        <v>2.3813344999999999</v>
      </c>
      <c r="E7">
        <v>5.5594400000000002E-2</v>
      </c>
      <c r="F7">
        <v>8.0675999999999994E-3</v>
      </c>
      <c r="G7">
        <v>0.145115335357518</v>
      </c>
      <c r="I7">
        <v>2013</v>
      </c>
      <c r="J7" t="s">
        <v>0</v>
      </c>
      <c r="K7">
        <f>C7*(E7/(E7+E8)) + C8*(E8/(E7+E8))</f>
        <v>9.8521957379447134</v>
      </c>
      <c r="L7">
        <f>SQRT(D7^2*(E7/(E7+E8))^2 + D8^2*(E8/(E7+E8))^2)</f>
        <v>1.1235425057133381</v>
      </c>
      <c r="M7">
        <f>E7+E8</f>
        <v>0.17362840000000002</v>
      </c>
      <c r="N7">
        <f>SQRT(F7^2+F8^2)</f>
        <v>1.4723948477225801E-2</v>
      </c>
      <c r="O7">
        <f>N7/M7</f>
        <v>8.4801498356408281E-2</v>
      </c>
      <c r="Q7">
        <f>SUM(M7:M11)</f>
        <v>1</v>
      </c>
    </row>
    <row r="8" spans="1:17" x14ac:dyDescent="0.25">
      <c r="A8">
        <v>2013</v>
      </c>
      <c r="B8" t="s">
        <v>2</v>
      </c>
      <c r="C8">
        <v>8.1911161999999997</v>
      </c>
      <c r="D8">
        <v>1.2138817</v>
      </c>
      <c r="E8">
        <v>0.118034</v>
      </c>
      <c r="F8">
        <v>1.2317E-2</v>
      </c>
      <c r="G8">
        <v>0.10435128861175594</v>
      </c>
      <c r="I8">
        <v>2013</v>
      </c>
    </row>
    <row r="9" spans="1:17" x14ac:dyDescent="0.25">
      <c r="A9">
        <v>2013</v>
      </c>
      <c r="B9" t="s">
        <v>3</v>
      </c>
      <c r="C9">
        <v>14.7608698</v>
      </c>
      <c r="D9">
        <v>1.8878139</v>
      </c>
      <c r="E9">
        <v>0.42595290000000002</v>
      </c>
      <c r="F9">
        <v>2.2382800000000001E-2</v>
      </c>
      <c r="G9">
        <v>5.2547593877163415E-2</v>
      </c>
      <c r="I9">
        <v>2013</v>
      </c>
      <c r="J9" t="s">
        <v>13</v>
      </c>
      <c r="K9">
        <f>C9*(E9/(E9+E10)) + C10*(E10/(E9+E10))</f>
        <v>8.9426284237851323</v>
      </c>
      <c r="L9">
        <f>SQRT(D9^2*(E9/(E9+E10))^2 + D10^2*(E10/(E9+E10))^2)</f>
        <v>1.0301976319748214</v>
      </c>
      <c r="M9">
        <f>E9+E10</f>
        <v>0.78616590000000008</v>
      </c>
      <c r="N9">
        <f>SQRT(F9^2+F10^2)</f>
        <v>2.9671563795829838E-2</v>
      </c>
      <c r="O9">
        <f>N9/M9</f>
        <v>3.7742114985946137E-2</v>
      </c>
    </row>
    <row r="10" spans="1:17" x14ac:dyDescent="0.25">
      <c r="A10">
        <v>2013</v>
      </c>
      <c r="B10" t="s">
        <v>4</v>
      </c>
      <c r="C10">
        <v>2.0625414000000002</v>
      </c>
      <c r="D10">
        <v>0.26828829999999998</v>
      </c>
      <c r="E10">
        <v>0.36021300000000001</v>
      </c>
      <c r="F10">
        <v>1.9478499999999999E-2</v>
      </c>
      <c r="G10">
        <v>5.4074950098969218E-2</v>
      </c>
      <c r="I10">
        <v>2013</v>
      </c>
    </row>
    <row r="11" spans="1:17" x14ac:dyDescent="0.25">
      <c r="A11">
        <v>2013</v>
      </c>
      <c r="B11" t="s">
        <v>5</v>
      </c>
      <c r="E11">
        <v>4.02056999999999E-2</v>
      </c>
      <c r="F11">
        <v>3.5792035649156494E-3</v>
      </c>
      <c r="G11">
        <v>8.9022291986351643E-2</v>
      </c>
      <c r="I11">
        <v>2013</v>
      </c>
      <c r="J11" t="s">
        <v>5</v>
      </c>
      <c r="M11">
        <f>E11</f>
        <v>4.02056999999999E-2</v>
      </c>
      <c r="N11">
        <f>F11</f>
        <v>3.5792035649156494E-3</v>
      </c>
      <c r="O11">
        <f>N11/M11</f>
        <v>8.9022291986351643E-2</v>
      </c>
    </row>
    <row r="12" spans="1:17" x14ac:dyDescent="0.25">
      <c r="A12">
        <v>2015</v>
      </c>
      <c r="B12" t="s">
        <v>1</v>
      </c>
      <c r="C12">
        <v>13.867630999999999</v>
      </c>
      <c r="D12">
        <v>3.6044502999999999</v>
      </c>
      <c r="E12">
        <v>2.9726300000000001E-2</v>
      </c>
      <c r="F12">
        <v>5.8361000000000003E-3</v>
      </c>
      <c r="G12">
        <v>0.19632783091067507</v>
      </c>
      <c r="I12">
        <v>2015</v>
      </c>
      <c r="J12" t="s">
        <v>0</v>
      </c>
      <c r="K12">
        <f>C12*(E12/(E12+E13)) + C13*(E13/(E12+E13))</f>
        <v>6.3154383027035657</v>
      </c>
      <c r="L12">
        <f>SQRT(D12^2*(E12/(E12+E13))^2 + D13^2*(E13/(E12+E13))^2)</f>
        <v>0.8137611886415288</v>
      </c>
      <c r="M12">
        <f>E12+E13</f>
        <v>0.17976630000000002</v>
      </c>
      <c r="N12">
        <f>SQRT(F12^2+F13^2)</f>
        <v>1.4584673202372415E-2</v>
      </c>
      <c r="O12">
        <f>N12/M12</f>
        <v>8.1131297703587457E-2</v>
      </c>
      <c r="Q12">
        <f>SUM(M12:M16)</f>
        <v>1</v>
      </c>
    </row>
    <row r="13" spans="1:17" x14ac:dyDescent="0.25">
      <c r="A13">
        <v>2015</v>
      </c>
      <c r="B13" t="s">
        <v>2</v>
      </c>
      <c r="C13">
        <v>4.8191790000000001</v>
      </c>
      <c r="D13">
        <v>0.66379639999999995</v>
      </c>
      <c r="E13">
        <v>0.15004000000000001</v>
      </c>
      <c r="F13">
        <v>1.3366100000000001E-2</v>
      </c>
      <c r="G13">
        <v>8.9083577712609968E-2</v>
      </c>
      <c r="I13">
        <v>2015</v>
      </c>
    </row>
    <row r="14" spans="1:17" x14ac:dyDescent="0.25">
      <c r="A14">
        <v>2015</v>
      </c>
      <c r="B14" t="s">
        <v>3</v>
      </c>
      <c r="C14">
        <v>10.0425512</v>
      </c>
      <c r="D14">
        <v>1.1733715</v>
      </c>
      <c r="E14">
        <v>0.40897309999999998</v>
      </c>
      <c r="F14">
        <v>2.1975000000000001E-2</v>
      </c>
      <c r="G14">
        <v>5.3732140329033874E-2</v>
      </c>
      <c r="I14">
        <v>2015</v>
      </c>
      <c r="J14" t="s">
        <v>13</v>
      </c>
      <c r="K14">
        <f>C14*(E14/(E14+E15)) + C15*(E15/(E14+E15))</f>
        <v>6.4971619587536615</v>
      </c>
      <c r="L14">
        <f>SQRT(D14^2*(E14/(E14+E15))^2 + D15^2*(E15/(E14+E15))^2)</f>
        <v>0.66219613983858816</v>
      </c>
      <c r="M14">
        <f>E14+E15</f>
        <v>0.73748799999999992</v>
      </c>
      <c r="N14">
        <f>SQRT(F14^2+F15^2)</f>
        <v>2.981995075046235E-2</v>
      </c>
      <c r="O14">
        <f>N14/M14</f>
        <v>4.0434489443167014E-2</v>
      </c>
    </row>
    <row r="15" spans="1:17" x14ac:dyDescent="0.25">
      <c r="A15">
        <v>2015</v>
      </c>
      <c r="B15" t="s">
        <v>4</v>
      </c>
      <c r="C15">
        <v>2.0834540000000001</v>
      </c>
      <c r="D15">
        <v>0.27589570000000002</v>
      </c>
      <c r="E15">
        <v>0.3285149</v>
      </c>
      <c r="F15">
        <v>2.0157600000000001E-2</v>
      </c>
      <c r="G15">
        <v>6.1359773940238331E-2</v>
      </c>
      <c r="I15">
        <v>2015</v>
      </c>
    </row>
    <row r="16" spans="1:17" x14ac:dyDescent="0.25">
      <c r="A16">
        <v>2015</v>
      </c>
      <c r="B16" t="s">
        <v>5</v>
      </c>
      <c r="E16">
        <v>8.2745700000000033E-2</v>
      </c>
      <c r="F16">
        <v>8.2849819512676726E-3</v>
      </c>
      <c r="G16">
        <v>0.10012583072313933</v>
      </c>
      <c r="I16">
        <v>2015</v>
      </c>
      <c r="J16" t="s">
        <v>5</v>
      </c>
      <c r="M16">
        <f>E16</f>
        <v>8.2745700000000033E-2</v>
      </c>
      <c r="N16">
        <f>F16</f>
        <v>8.2849819512676726E-3</v>
      </c>
      <c r="O16">
        <f>N16/M16</f>
        <v>0.10012583072313933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Tinker</dc:creator>
  <cp:lastModifiedBy>Martin Tinker</cp:lastModifiedBy>
  <dcterms:created xsi:type="dcterms:W3CDTF">2021-11-26T01:23:06Z</dcterms:created>
  <dcterms:modified xsi:type="dcterms:W3CDTF">2021-12-10T13:02:19Z</dcterms:modified>
</cp:coreProperties>
</file>